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WA\2021 Dockets\UE-21XXXX LIRF\7-1-21 Application\Working docs\Meredith\"/>
    </mc:Choice>
  </mc:AlternateContent>
  <xr:revisionPtr revIDLastSave="0" documentId="8_{DBB05712-A370-4D32-8662-DFBB816F1EED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Exhibit No.__(RMM-2)pg1" sheetId="12882" r:id="rId1"/>
    <sheet name="Exhibit No.__(RMM-2)pg2" sheetId="12783" r:id="rId2"/>
    <sheet name="Exhibit No.__(RMM-3)" sheetId="12843" r:id="rId3"/>
    <sheet name="Exhibit No.__(RMM-4) p1" sheetId="12833" r:id="rId4"/>
    <sheet name="Exhibit No.__(RMM-4) p2" sheetId="12769" r:id="rId5"/>
    <sheet name="Exhibit No.__(RMM-4) p3" sheetId="12770" r:id="rId6"/>
    <sheet name="Exhibit No.__(RMM-4) p4" sheetId="12771" r:id="rId7"/>
    <sheet name="Exhibit No.__(RMM-4) p5" sheetId="12772" r:id="rId8"/>
    <sheet name="Exhibit No.__(RMM-4) p6" sheetId="12881" r:id="rId9"/>
    <sheet name="Exhibit No.__(RMM-4) p7" sheetId="12791" r:id="rId10"/>
    <sheet name="Not Exhibit &gt;&gt;&gt;&gt;" sheetId="12884" r:id="rId11"/>
    <sheet name="G+T+D+C+CO (GRC Settlement)" sheetId="12883" r:id="rId12"/>
    <sheet name="Rate Design Work-Res NM" sheetId="12859" state="hidden" r:id="rId13"/>
    <sheet name="Table A by class" sheetId="12837" state="hidden" r:id="rId14"/>
    <sheet name="SBC (Old)" sheetId="12761" state="hidden" r:id="rId15"/>
    <sheet name="Billing Determinants (2)" sheetId="12787" state="hidden" r:id="rId16"/>
    <sheet name="Blocking - detail" sheetId="12766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0" localSheetId="12">[1]Jan!#REF!</definedName>
    <definedName name="\0" localSheetId="13">[1]Jan!#REF!</definedName>
    <definedName name="\A" localSheetId="12">#REF!</definedName>
    <definedName name="\B" localSheetId="12">#REF!</definedName>
    <definedName name="\BACK1" localSheetId="12">#REF!</definedName>
    <definedName name="\BLOCK" localSheetId="12">#REF!</definedName>
    <definedName name="\BLOCKT" localSheetId="12">#REF!</definedName>
    <definedName name="\C" localSheetId="12">#REF!</definedName>
    <definedName name="\COMP" localSheetId="12">#REF!</definedName>
    <definedName name="\COMPT" localSheetId="12">#REF!</definedName>
    <definedName name="\G" localSheetId="12">#REF!</definedName>
    <definedName name="\I" localSheetId="12">#REF!</definedName>
    <definedName name="\K" localSheetId="12">#REF!</definedName>
    <definedName name="\L" localSheetId="12">#REF!</definedName>
    <definedName name="\M" localSheetId="12">#REF!</definedName>
    <definedName name="\P" localSheetId="12">#REF!</definedName>
    <definedName name="\Q" localSheetId="12">[2]Actual!#REF!</definedName>
    <definedName name="\Q" localSheetId="13">[3]Actual!#REF!</definedName>
    <definedName name="\R" localSheetId="12">#REF!</definedName>
    <definedName name="\S" localSheetId="12">#REF!</definedName>
    <definedName name="\TABLE1" localSheetId="12">#REF!</definedName>
    <definedName name="\TABLE2" localSheetId="12">#REF!</definedName>
    <definedName name="\TABLEA" localSheetId="12">#REF!</definedName>
    <definedName name="\TBL2" localSheetId="12">#REF!</definedName>
    <definedName name="\TBL3" localSheetId="12">#REF!</definedName>
    <definedName name="\TBL4" localSheetId="12">#REF!</definedName>
    <definedName name="\TBL5" localSheetId="12">#REF!</definedName>
    <definedName name="\W" localSheetId="12">#REF!</definedName>
    <definedName name="\WORK1" localSheetId="12">#REF!</definedName>
    <definedName name="\X" localSheetId="12">#REF!</definedName>
    <definedName name="\Z" localSheetId="12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hidden="1">{#N/A,#N/A,FALSE,"CRPT";#N/A,#N/A,FALSE,"TREND";#N/A,#N/A,FALSE,"%Curve"}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hidden="1">{#N/A,#N/A,FALSE,"CRPT";#N/A,#N/A,FALSE,"TREND";#N/A,#N/A,FALSE,"%Curve"}</definedName>
    <definedName name="________www1" hidden="1">{#N/A,#N/A,FALSE,"schA"}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hidden="1">{#N/A,#N/A,FALSE,"CRPT";#N/A,#N/A,FALSE,"TREND";#N/A,#N/A,FALSE,"%Curve"}</definedName>
    <definedName name="_______www1" hidden="1">{#N/A,#N/A,FALSE,"schA"}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hidden="1">{#N/A,#N/A,FALSE,"CRPT";#N/A,#N/A,FALSE,"TREND";#N/A,#N/A,FALSE,"%Curve"}</definedName>
    <definedName name="______www1" hidden="1">{#N/A,#N/A,FALSE,"schA"}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ix6" hidden="1">{#N/A,#N/A,FALSE,"CRPT";#N/A,#N/A,FALSE,"TREND";#N/A,#N/A,FALSE,"%Curve"}</definedName>
    <definedName name="_____www1" hidden="1">{#N/A,#N/A,FALSE,"schA"}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ix6" hidden="1">{#N/A,#N/A,FALSE,"CRPT";#N/A,#N/A,FALSE,"TREND";#N/A,#N/A,FALSE,"%Curve"}</definedName>
    <definedName name="____www1" hidden="1">{#N/A,#N/A,FALSE,"schA"}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six6" hidden="1">{#N/A,#N/A,FALSE,"CRPT";#N/A,#N/A,FALSE,"TREND";#N/A,#N/A,FALSE,"%Curve"}</definedName>
    <definedName name="___www1" hidden="1">{#N/A,#N/A,FALSE,"schA"}</definedName>
    <definedName name="__123Graph_A" localSheetId="15" hidden="1">[4]Inputs!#REF!</definedName>
    <definedName name="__123Graph_A" localSheetId="16" hidden="1">[4]Inputs!#REF!</definedName>
    <definedName name="__123Graph_A" localSheetId="0" hidden="1">[5]Inputs!#REF!</definedName>
    <definedName name="__123Graph_A" localSheetId="1" hidden="1">[5]Inputs!#REF!</definedName>
    <definedName name="__123Graph_A" localSheetId="2" hidden="1">[4]Inputs!#REF!</definedName>
    <definedName name="__123Graph_A" localSheetId="3" hidden="1">[6]Inputs!#REF!</definedName>
    <definedName name="__123Graph_A" localSheetId="4" hidden="1">[6]Inputs!#REF!</definedName>
    <definedName name="__123Graph_A" localSheetId="5" hidden="1">[6]Inputs!#REF!</definedName>
    <definedName name="__123Graph_A" localSheetId="6" hidden="1">[6]Inputs!#REF!</definedName>
    <definedName name="__123Graph_A" localSheetId="7" hidden="1">[6]Inputs!#REF!</definedName>
    <definedName name="__123Graph_A" localSheetId="8" hidden="1">[6]Inputs!#REF!</definedName>
    <definedName name="__123Graph_A" localSheetId="9" hidden="1">[6]Inputs!#REF!</definedName>
    <definedName name="__123Graph_A" localSheetId="12" hidden="1">[4]Inputs!#REF!</definedName>
    <definedName name="__123Graph_A" localSheetId="13" hidden="1">[7]Inputs!#REF!</definedName>
    <definedName name="__123Graph_A" hidden="1">[8]Inputs!#REF!</definedName>
    <definedName name="__123Graph_B" localSheetId="15" hidden="1">[4]Inputs!#REF!</definedName>
    <definedName name="__123Graph_B" localSheetId="16" hidden="1">[4]Inputs!#REF!</definedName>
    <definedName name="__123Graph_B" localSheetId="0" hidden="1">[5]Inputs!#REF!</definedName>
    <definedName name="__123Graph_B" localSheetId="1" hidden="1">[5]Inputs!#REF!</definedName>
    <definedName name="__123Graph_B" localSheetId="2" hidden="1">[4]Inputs!#REF!</definedName>
    <definedName name="__123Graph_B" localSheetId="3" hidden="1">[6]Inputs!#REF!</definedName>
    <definedName name="__123Graph_B" localSheetId="4" hidden="1">[6]Inputs!#REF!</definedName>
    <definedName name="__123Graph_B" localSheetId="5" hidden="1">[6]Inputs!#REF!</definedName>
    <definedName name="__123Graph_B" localSheetId="6" hidden="1">[6]Inputs!#REF!</definedName>
    <definedName name="__123Graph_B" localSheetId="7" hidden="1">[6]Inputs!#REF!</definedName>
    <definedName name="__123Graph_B" localSheetId="8" hidden="1">[6]Inputs!#REF!</definedName>
    <definedName name="__123Graph_B" localSheetId="9" hidden="1">[6]Inputs!#REF!</definedName>
    <definedName name="__123Graph_B" localSheetId="12" hidden="1">[4]Inputs!#REF!</definedName>
    <definedName name="__123Graph_B" localSheetId="13" hidden="1">[7]Inputs!#REF!</definedName>
    <definedName name="__123Graph_B" hidden="1">[8]Inputs!#REF!</definedName>
    <definedName name="__123Graph_D" localSheetId="15" hidden="1">[4]Inputs!#REF!</definedName>
    <definedName name="__123Graph_D" localSheetId="16" hidden="1">[4]Inputs!#REF!</definedName>
    <definedName name="__123Graph_D" localSheetId="0" hidden="1">[5]Inputs!#REF!</definedName>
    <definedName name="__123Graph_D" localSheetId="1" hidden="1">[5]Inputs!#REF!</definedName>
    <definedName name="__123Graph_D" localSheetId="2" hidden="1">[4]Inputs!#REF!</definedName>
    <definedName name="__123Graph_D" localSheetId="3" hidden="1">[6]Inputs!#REF!</definedName>
    <definedName name="__123Graph_D" localSheetId="4" hidden="1">[6]Inputs!#REF!</definedName>
    <definedName name="__123Graph_D" localSheetId="5" hidden="1">[6]Inputs!#REF!</definedName>
    <definedName name="__123Graph_D" localSheetId="6" hidden="1">[6]Inputs!#REF!</definedName>
    <definedName name="__123Graph_D" localSheetId="7" hidden="1">[6]Inputs!#REF!</definedName>
    <definedName name="__123Graph_D" localSheetId="8" hidden="1">[6]Inputs!#REF!</definedName>
    <definedName name="__123Graph_D" localSheetId="9" hidden="1">[6]Inputs!#REF!</definedName>
    <definedName name="__123Graph_D" localSheetId="12" hidden="1">[4]Inputs!#REF!</definedName>
    <definedName name="__123Graph_D" localSheetId="13" hidden="1">[7]Inputs!#REF!</definedName>
    <definedName name="__123Graph_D" hidden="1">[8]Inputs!#REF!</definedName>
    <definedName name="__123Graph_E" hidden="1">[9]Input!$E$22:$E$37</definedName>
    <definedName name="__123Graph_ECURRENT" hidden="1">[10]ConsolidatingPL!#REF!</definedName>
    <definedName name="__123Graph_F" hidden="1">[9]Input!$D$22:$D$37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six6" hidden="1">{#N/A,#N/A,FALSE,"CRPT";#N/A,#N/A,FALSE,"TREND";#N/A,#N/A,FALSE,"%Curve"}</definedName>
    <definedName name="__www1" hidden="1">{#N/A,#N/A,FALSE,"schA"}</definedName>
    <definedName name="_1Price_Ta" localSheetId="12">#REF!</definedName>
    <definedName name="_2Price_Ta" localSheetId="12">#REF!</definedName>
    <definedName name="_B" localSheetId="12">'[11]Rate Design'!#REF!</definedName>
    <definedName name="_ex1" hidden="1">{#N/A,#N/A,FALSE,"Summ";#N/A,#N/A,FALSE,"General"}</definedName>
    <definedName name="_Fill" localSheetId="2" hidden="1">#REF!</definedName>
    <definedName name="_Fill" localSheetId="3" hidden="1">#REF!</definedName>
    <definedName name="_Fill" localSheetId="8" hidden="1">#REF!</definedName>
    <definedName name="_Fill" localSheetId="11" hidden="1">#REF!</definedName>
    <definedName name="_Fill" localSheetId="12" hidden="1">#REF!</definedName>
    <definedName name="_Fill" hidden="1">#REF!</definedName>
    <definedName name="_xlnm._FilterDatabase" localSheetId="8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localSheetId="2" hidden="1">#REF!</definedName>
    <definedName name="_Key1" localSheetId="3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8" hidden="1">#REF!</definedName>
    <definedName name="_Key2" localSheetId="11" hidden="1">#REF!</definedName>
    <definedName name="_Key2" localSheetId="12" hidden="1">#REF!</definedName>
    <definedName name="_Key2" hidden="1">#REF!</definedName>
    <definedName name="_MEN2" localSheetId="12">[1]Jan!#REF!</definedName>
    <definedName name="_MEN2" localSheetId="13">[1]Jan!#REF!</definedName>
    <definedName name="_MEN3" localSheetId="12">[1]Jan!#REF!</definedName>
    <definedName name="_new1" hidden="1">{#N/A,#N/A,FALSE,"Summ";#N/A,#N/A,FALSE,"General"}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1" hidden="1">255</definedName>
    <definedName name="_Order1" localSheetId="13" hidden="1">255</definedName>
    <definedName name="_Order1" hidden="1">0</definedName>
    <definedName name="_Order2" localSheetId="11" hidden="1">255</definedName>
    <definedName name="_Order2" hidden="1">0</definedName>
    <definedName name="_P" localSheetId="12">#REF!</definedName>
    <definedName name="_Regression_Int" hidden="1">1</definedName>
    <definedName name="_Regression_Out" localSheetId="8" hidden="1">#REF!</definedName>
    <definedName name="_Regression_Out" hidden="1">#REF!</definedName>
    <definedName name="_Regression_X" localSheetId="8" hidden="1">#REF!</definedName>
    <definedName name="_Regression_X" hidden="1">#REF!</definedName>
    <definedName name="_Regression_Y" localSheetId="8" hidden="1">#REF!</definedName>
    <definedName name="_Regression_Y" hidden="1">#REF!</definedName>
    <definedName name="_six6" hidden="1">{#N/A,#N/A,FALSE,"CRPT";#N/A,#N/A,FALSE,"TREND";#N/A,#N/A,FALSE,"%Curve"}</definedName>
    <definedName name="_Sort" localSheetId="2" hidden="1">#REF!</definedName>
    <definedName name="_Sort" localSheetId="3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TOP1" localSheetId="12">[1]Jan!#REF!</definedName>
    <definedName name="_TOP1" localSheetId="13">[1]Jan!#REF!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15" hidden="1">#REF!</definedName>
    <definedName name="a" localSheetId="16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2" hidden="1">#REF!</definedName>
    <definedName name="a" localSheetId="13" hidden="1">'[7]DSM Output'!$J$21:$J$23</definedName>
    <definedName name="a" hidden="1">'[8]DSM Output'!$J$21:$J$23</definedName>
    <definedName name="Access_Button1" hidden="1">"Headcount_Workbook_Schedules_List"</definedName>
    <definedName name="AccessDatabase" hidden="1">"P:\HR\SharonPlummer\Headcount Workbook.mdb"</definedName>
    <definedName name="Acct108364" localSheetId="12">'[12]Func Study'!#REF!</definedName>
    <definedName name="Acct108364" localSheetId="13">'[12]Func Study'!#REF!</definedName>
    <definedName name="Acct108364S" localSheetId="12">'[12]Func Study'!#REF!</definedName>
    <definedName name="Acct228.42TROJD" localSheetId="12">'[13]Func Study'!#REF!</definedName>
    <definedName name="Acct22842TROJD" localSheetId="12">'[13]Func Study'!#REF!</definedName>
    <definedName name="Acct22842TROJD" localSheetId="13">'[13]Func Study'!#REF!</definedName>
    <definedName name="Acct41011" localSheetId="12">'[14]Functional Study'!#REF!</definedName>
    <definedName name="Acct41011" localSheetId="13">'[15]Functional Study'!#REF!</definedName>
    <definedName name="Acct41011BADDEBT" localSheetId="12">'[14]Functional Study'!#REF!</definedName>
    <definedName name="Acct41011BADDEBT" localSheetId="13">'[15]Functional Study'!#REF!</definedName>
    <definedName name="Acct41011DITEXP" localSheetId="12">'[14]Functional Study'!#REF!</definedName>
    <definedName name="Acct41011DITEXP" localSheetId="13">'[15]Functional Study'!#REF!</definedName>
    <definedName name="Acct41011S" localSheetId="12">'[14]Functional Study'!#REF!</definedName>
    <definedName name="Acct41011S" localSheetId="13">'[15]Functional Study'!#REF!</definedName>
    <definedName name="Acct41011SE" localSheetId="12">'[14]Functional Study'!#REF!</definedName>
    <definedName name="Acct41011SE" localSheetId="13">'[15]Functional Study'!#REF!</definedName>
    <definedName name="Acct41011SG1" localSheetId="12">'[14]Functional Study'!#REF!</definedName>
    <definedName name="Acct41011SG1" localSheetId="13">'[15]Functional Study'!#REF!</definedName>
    <definedName name="Acct41011SG2" localSheetId="12">'[14]Functional Study'!#REF!</definedName>
    <definedName name="Acct41011SG2" localSheetId="13">'[15]Functional Study'!#REF!</definedName>
    <definedName name="ACCT41011SGCT" localSheetId="12">'[14]Functional Study'!#REF!</definedName>
    <definedName name="ACCT41011SGCT" localSheetId="13">'[15]Functional Study'!#REF!</definedName>
    <definedName name="Acct41011SGPP" localSheetId="12">'[14]Functional Study'!#REF!</definedName>
    <definedName name="Acct41011SGPP" localSheetId="13">'[15]Functional Study'!#REF!</definedName>
    <definedName name="Acct41011SNP" localSheetId="12">'[14]Functional Study'!#REF!</definedName>
    <definedName name="Acct41011SNP" localSheetId="13">'[15]Functional Study'!#REF!</definedName>
    <definedName name="ACCT41011SNPD" localSheetId="12">'[14]Functional Study'!#REF!</definedName>
    <definedName name="ACCT41011SNPD" localSheetId="13">'[15]Functional Study'!#REF!</definedName>
    <definedName name="Acct41011SO" localSheetId="12">'[14]Functional Study'!#REF!</definedName>
    <definedName name="Acct41011SO" localSheetId="13">'[15]Functional Study'!#REF!</definedName>
    <definedName name="Acct41011TROJP" localSheetId="12">'[14]Functional Study'!#REF!</definedName>
    <definedName name="Acct41011TROJP" localSheetId="13">'[15]Functional Study'!#REF!</definedName>
    <definedName name="Acct41111" localSheetId="12">'[14]Functional Study'!#REF!</definedName>
    <definedName name="Acct41111" localSheetId="13">'[15]Functional Study'!#REF!</definedName>
    <definedName name="Acct41111BADDEBT" localSheetId="12">'[14]Functional Study'!#REF!</definedName>
    <definedName name="Acct41111BADDEBT" localSheetId="13">'[15]Functional Study'!#REF!</definedName>
    <definedName name="Acct41111DITEXP" localSheetId="12">'[14]Functional Study'!#REF!</definedName>
    <definedName name="Acct41111DITEXP" localSheetId="13">'[15]Functional Study'!#REF!</definedName>
    <definedName name="Acct41111S" localSheetId="12">'[14]Functional Study'!#REF!</definedName>
    <definedName name="Acct41111S" localSheetId="13">'[15]Functional Study'!#REF!</definedName>
    <definedName name="Acct41111SE" localSheetId="12">'[14]Functional Study'!#REF!</definedName>
    <definedName name="Acct41111SE" localSheetId="13">'[15]Functional Study'!#REF!</definedName>
    <definedName name="Acct41111SG1" localSheetId="12">'[14]Functional Study'!#REF!</definedName>
    <definedName name="Acct41111SG1" localSheetId="13">'[15]Functional Study'!#REF!</definedName>
    <definedName name="Acct41111SG2" localSheetId="12">'[14]Functional Study'!#REF!</definedName>
    <definedName name="Acct41111SG2" localSheetId="13">'[15]Functional Study'!#REF!</definedName>
    <definedName name="Acct41111SG3" localSheetId="12">'[14]Functional Study'!#REF!</definedName>
    <definedName name="Acct41111SG3" localSheetId="13">'[15]Functional Study'!#REF!</definedName>
    <definedName name="Acct41111SGPP" localSheetId="12">'[14]Functional Study'!#REF!</definedName>
    <definedName name="Acct41111SGPP" localSheetId="13">'[15]Functional Study'!#REF!</definedName>
    <definedName name="Acct41111SNP" localSheetId="12">'[14]Functional Study'!#REF!</definedName>
    <definedName name="Acct41111SNP" localSheetId="13">'[15]Functional Study'!#REF!</definedName>
    <definedName name="Acct41111SNTP" localSheetId="12">'[14]Functional Study'!#REF!</definedName>
    <definedName name="Acct41111SNTP" localSheetId="13">'[15]Functional Study'!#REF!</definedName>
    <definedName name="Acct41111SO" localSheetId="12">'[14]Functional Study'!#REF!</definedName>
    <definedName name="Acct41111SO" localSheetId="13">'[15]Functional Study'!#REF!</definedName>
    <definedName name="Acct41111TROJP" localSheetId="12">'[14]Functional Study'!#REF!</definedName>
    <definedName name="Acct41111TROJP" localSheetId="13">'[15]Functional Study'!#REF!</definedName>
    <definedName name="Acct411BADDEBT" localSheetId="12">'[14]Functional Study'!#REF!</definedName>
    <definedName name="Acct411BADDEBT" localSheetId="13">'[15]Functional Study'!#REF!</definedName>
    <definedName name="Acct411DGP" localSheetId="12">'[14]Functional Study'!#REF!</definedName>
    <definedName name="Acct411DGP" localSheetId="13">'[15]Functional Study'!#REF!</definedName>
    <definedName name="Acct411DGU" localSheetId="12">'[14]Functional Study'!#REF!</definedName>
    <definedName name="Acct411DGU" localSheetId="13">'[15]Functional Study'!#REF!</definedName>
    <definedName name="Acct411DITEXP" localSheetId="12">'[14]Functional Study'!#REF!</definedName>
    <definedName name="Acct411DITEXP" localSheetId="13">'[15]Functional Study'!#REF!</definedName>
    <definedName name="Acct411DNPP" localSheetId="12">'[14]Functional Study'!#REF!</definedName>
    <definedName name="Acct411DNPP" localSheetId="13">'[15]Functional Study'!#REF!</definedName>
    <definedName name="Acct411DNPTP" localSheetId="12">'[14]Functional Study'!#REF!</definedName>
    <definedName name="Acct411DNPTP" localSheetId="13">'[15]Functional Study'!#REF!</definedName>
    <definedName name="Acct411S" localSheetId="12">'[14]Functional Study'!#REF!</definedName>
    <definedName name="Acct411S" localSheetId="13">'[15]Functional Study'!#REF!</definedName>
    <definedName name="Acct411SE" localSheetId="12">'[14]Functional Study'!#REF!</definedName>
    <definedName name="Acct411SE" localSheetId="13">'[15]Functional Study'!#REF!</definedName>
    <definedName name="Acct411SG" localSheetId="12">'[14]Functional Study'!#REF!</definedName>
    <definedName name="Acct411SG" localSheetId="13">'[15]Functional Study'!#REF!</definedName>
    <definedName name="Acct411SGPP" localSheetId="12">'[14]Functional Study'!#REF!</definedName>
    <definedName name="Acct411SGPP" localSheetId="13">'[15]Functional Study'!#REF!</definedName>
    <definedName name="Acct411SO" localSheetId="12">'[14]Functional Study'!#REF!</definedName>
    <definedName name="Acct411SO" localSheetId="13">'[15]Functional Study'!#REF!</definedName>
    <definedName name="Acct411TROJP" localSheetId="12">'[14]Functional Study'!#REF!</definedName>
    <definedName name="Acct411TROJP" localSheetId="13">'[15]Functional Study'!#REF!</definedName>
    <definedName name="Acct447DGU" localSheetId="12">'[13]Func Study'!#REF!</definedName>
    <definedName name="Acct510" localSheetId="12">'[16]Func Study'!#REF!</definedName>
    <definedName name="Acct510DNPPSU" localSheetId="12">'[16]Func Study'!#REF!</definedName>
    <definedName name="ACCT510JBG" localSheetId="12">'[16]Func Study'!#REF!</definedName>
    <definedName name="ACCT510SSGCH" localSheetId="12">'[16]Func Study'!#REF!</definedName>
    <definedName name="ACCT904SG" localSheetId="12">'[17]Functional Study'!#REF!</definedName>
    <definedName name="ACCT904SG" localSheetId="13">'[18]Functional Study'!#REF!</definedName>
    <definedName name="AcctDFAD" localSheetId="12">'[16]Func Study'!#REF!</definedName>
    <definedName name="AcctDFAP" localSheetId="12">'[16]Func Study'!#REF!</definedName>
    <definedName name="AcctDFAT" localSheetId="12">'[16]Func Study'!#REF!</definedName>
    <definedName name="anscount" hidden="1">1</definedName>
    <definedName name="APR" localSheetId="15">#REF!</definedName>
    <definedName name="APR" localSheetId="16">#REF!</definedName>
    <definedName name="APR" localSheetId="12">#REF!</definedName>
    <definedName name="APR" localSheetId="13">[19]Backup!#REF!</definedName>
    <definedName name="APRT" localSheetId="12">#REF!</definedName>
    <definedName name="AS2DocOpenMode" hidden="1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UG" localSheetId="15">#REF!</definedName>
    <definedName name="AUG" localSheetId="16">#REF!</definedName>
    <definedName name="AUG" localSheetId="12">#REF!</definedName>
    <definedName name="AUG" localSheetId="13">[19]Backup!#REF!</definedName>
    <definedName name="AUGT" localSheetId="12">#REF!</definedName>
    <definedName name="b" hidden="1">{#N/A,#N/A,FALSE,"Coversheet";#N/A,#N/A,FALSE,"QA"}</definedName>
    <definedName name="BACK1" localSheetId="12">#REF!</definedName>
    <definedName name="BACK2" localSheetId="12">#REF!</definedName>
    <definedName name="BACK3" localSheetId="12">#REF!</definedName>
    <definedName name="BACKUP1" localSheetId="12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ADJ" localSheetId="12">#REF!</definedName>
    <definedName name="Camas" hidden="1">{#N/A,#N/A,FALSE,"Summary";#N/A,#N/A,FALSE,"SmPlants";#N/A,#N/A,FALSE,"Utah";#N/A,#N/A,FALSE,"Idaho";#N/A,#N/A,FALSE,"Lewis River";#N/A,#N/A,FALSE,"NrthUmpq";#N/A,#N/A,FALSE,"KlamRog"}</definedName>
    <definedName name="CBWorkbookPriority" hidden="1">-2060790043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12">#REF!</definedName>
    <definedName name="Classes">'[20]COS Factor Table'!$F$13:$L$13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12">#REF!</definedName>
    <definedName name="combined1" hidden="1">{"YTD-Total",#N/A,TRUE,"Provision";"YTD-Utility",#N/A,TRUE,"Prov Utility";"YTD-NonUtility",#N/A,TRUE,"Prov NonUtility"}</definedName>
    <definedName name="COMP" localSheetId="12">#REF!</definedName>
    <definedName name="COMPACTUAL" localSheetId="12">#REF!</definedName>
    <definedName name="COMPT" localSheetId="12">#REF!</definedName>
    <definedName name="COMPWEATHER" localSheetId="12">#REF!</definedName>
    <definedName name="copy" localSheetId="8" hidden="1">#REF!</definedName>
    <definedName name="copy" hidden="1">#REF!</definedName>
    <definedName name="COSAllocOptions">'[20]COS Allocation Options'!$D$3:$G$1310</definedName>
    <definedName name="COSFactors">'[20]COS Factor Table'!$A$15:$A$113</definedName>
    <definedName name="COSFactorTbl">'[20]COS Factor Table'!$F$15:$L$113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_xlnm.Database" localSheetId="12">[21]Invoice!#REF!</definedName>
    <definedName name="DATE" localSheetId="12">[22]Jan!#REF!</definedName>
    <definedName name="DEC" localSheetId="15">#REF!</definedName>
    <definedName name="DEC" localSheetId="16">#REF!</definedName>
    <definedName name="DEC" localSheetId="12">#REF!</definedName>
    <definedName name="DEC" localSheetId="13">[19]Backup!#REF!</definedName>
    <definedName name="DECT" localSheetId="12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and">[20]Inputs!$D$9</definedName>
    <definedName name="Demand2">[20]Inputs!$D$11</definedName>
    <definedName name="DFIT" hidden="1">{#N/A,#N/A,FALSE,"Coversheet";#N/A,#N/A,FALSE,"QA"}</definedName>
    <definedName name="Dist_factor" localSheetId="12">#REF!</definedName>
    <definedName name="DistFuncAllocOptions">'[20]Func Allocation Options'!$H$5:$L$2161</definedName>
    <definedName name="DistFuncFactors">'[20]Func Dist Factor Table'!$A$12:$A$25</definedName>
    <definedName name="DistFuncFactorTbl">'[20]Func Dist Factor Table'!$B$12:$F$25</definedName>
    <definedName name="DistFunctions">'[20]Func Dist Factor Table'!$B$11:$F$11</definedName>
    <definedName name="DistPeakMethod" localSheetId="12">[17]Inputs!#REF!</definedName>
    <definedName name="DistPeakMethod" localSheetId="13">[18]Inputs!#REF!</definedName>
    <definedName name="DistPeakMethod">[20]Inputs!$X$13</definedName>
    <definedName name="dsd" localSheetId="8" hidden="1">[8]Inputs!#REF!</definedName>
    <definedName name="dsd" hidden="1">[8]Inputs!#REF!</definedName>
    <definedName name="DUDE" localSheetId="2" hidden="1">#REF!</definedName>
    <definedName name="DUDE" localSheetId="3" hidden="1">#REF!</definedName>
    <definedName name="DUDE" localSheetId="8" hidden="1">#REF!</definedName>
    <definedName name="DUDE" localSheetId="12" hidden="1">#REF!</definedName>
    <definedName name="DUDE" hidden="1">#REF!</definedName>
    <definedName name="ee" hidden="1">{#N/A,#N/A,FALSE,"Month ";#N/A,#N/A,FALSE,"YTD";#N/A,#N/A,FALSE,"12 mo ended"}</definedName>
    <definedName name="Engy">[20]Inputs!$D$10</definedName>
    <definedName name="Engy2">[20]Inputs!$D$12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101top" localSheetId="12">#REF!</definedName>
    <definedName name="f104top" localSheetId="12">#REF!</definedName>
    <definedName name="f138top" localSheetId="12">#REF!</definedName>
    <definedName name="f140top" localSheetId="12">#REF!</definedName>
    <definedName name="FACTP" localSheetId="12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15">#REF!</definedName>
    <definedName name="FEB" localSheetId="16">#REF!</definedName>
    <definedName name="FEB" localSheetId="12">#REF!</definedName>
    <definedName name="FEB" localSheetId="13">[19]Backup!#REF!</definedName>
    <definedName name="FEBT" localSheetId="12">#REF!</definedName>
    <definedName name="FERCJAMFactor">'[20]JAM Download'!$Q$6:$Q$2884</definedName>
    <definedName name="ffff" hidden="1">{#N/A,#N/A,FALSE,"Coversheet";#N/A,#N/A,FALSE,"QA"}</definedName>
    <definedName name="fffgf" hidden="1">{#N/A,#N/A,FALSE,"Coversheet";#N/A,#N/A,FALSE,"QA"}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unc_Ftrs" localSheetId="12">#REF!</definedName>
    <definedName name="Func_GTD_Percents" localSheetId="12">#REF!</definedName>
    <definedName name="Func_MC" localSheetId="12">#REF!</definedName>
    <definedName name="Func_Percents" localSheetId="12">#REF!</definedName>
    <definedName name="Func_Rev_Req1" localSheetId="12">#REF!</definedName>
    <definedName name="Func_Rev_Req2" localSheetId="12">#REF!</definedName>
    <definedName name="Func_Revenue" localSheetId="12">#REF!</definedName>
    <definedName name="FuncAllocOptions">'[20]Func Allocation Options'!$B$5:$F$2159</definedName>
    <definedName name="FuncFactors">'[20]Func Factors'!$A$11:$A$78</definedName>
    <definedName name="FuncFactorTbl">'[20]Func Factors'!$B$11:$G$78</definedName>
    <definedName name="FuncStudy">[20]FuncStudy!$1:$1048576</definedName>
    <definedName name="Functions">'[20]Func Factors'!$B$10:$G$10</definedName>
    <definedName name="GREATER10MW" localSheetId="12">#REF!</definedName>
    <definedName name="GTD_Percents" localSheetId="12">#REF!</definedName>
    <definedName name="HEIGHT" localSheetId="12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D_0303_RVN_data" localSheetId="12">#REF!</definedName>
    <definedName name="IDcontractsRVN" localSheetId="12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12">#REF!</definedName>
    <definedName name="INPUT" localSheetId="12">[23]Summary!#REF!</definedName>
    <definedName name="INPUT" localSheetId="13">[24]Summary!#REF!</definedName>
    <definedName name="Instructions" localSheetId="12">#REF!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MValue">'[20]JAM Download'!$R$6:$R$2884</definedName>
    <definedName name="JAN" localSheetId="15">#REF!</definedName>
    <definedName name="JAN" localSheetId="16">#REF!</definedName>
    <definedName name="JAN" localSheetId="12">#REF!</definedName>
    <definedName name="JAN" localSheetId="13">[19]Backup!#REF!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12">#REF!</definedName>
    <definedName name="jfkljsdkljiejgr" hidden="1">{#N/A,#N/A,FALSE,"Summ";#N/A,#N/A,FALSE,"General"}</definedName>
    <definedName name="jjj" localSheetId="13">[25]Inputs!$N$18</definedName>
    <definedName name="JUL" localSheetId="15">#REF!</definedName>
    <definedName name="JUL" localSheetId="16">#REF!</definedName>
    <definedName name="JUL" localSheetId="12">#REF!</definedName>
    <definedName name="JUL" localSheetId="13">[19]Backup!#REF!</definedName>
    <definedName name="JULT" localSheetId="12">#REF!</definedName>
    <definedName name="JUN" localSheetId="15">#REF!</definedName>
    <definedName name="JUN" localSheetId="16">#REF!</definedName>
    <definedName name="JUN" localSheetId="12">#REF!</definedName>
    <definedName name="JUN" localSheetId="13">[19]Backup!#REF!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12">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12">#REF!</definedName>
    <definedName name="LABORROLL" localSheetId="12">#REF!</definedName>
    <definedName name="limcount" hidden="1">1</definedName>
    <definedName name="Line_Ext_Credit" localSheetId="12">#REF!</definedName>
    <definedName name="ListOffset" hidden="1">1</definedName>
    <definedName name="LOG" localSheetId="12">[19]Backup!#REF!</definedName>
    <definedName name="LOG" localSheetId="13">[19]Backup!#REF!</definedName>
    <definedName name="lookup" hidden="1">{#N/A,#N/A,FALSE,"Coversheet";#N/A,#N/A,FALSE,"QA"}</definedName>
    <definedName name="LOSS" localSheetId="12">[19]Backup!#REF!</definedName>
    <definedName name="MACTIT" localSheetId="12">#REF!</definedName>
    <definedName name="MAR" localSheetId="15">#REF!</definedName>
    <definedName name="MAR" localSheetId="16">#REF!</definedName>
    <definedName name="MAR" localSheetId="12">#REF!</definedName>
    <definedName name="MAR" localSheetId="13">[19]Backup!#REF!</definedName>
    <definedName name="MART" localSheetId="12">#REF!</definedName>
    <definedName name="Master" hidden="1">{#N/A,#N/A,FALSE,"Actual";#N/A,#N/A,FALSE,"Normalized";#N/A,#N/A,FALSE,"Electric Actual";#N/A,#N/A,FALSE,"Electric Normalized"}</definedName>
    <definedName name="MAY" localSheetId="15">#REF!</definedName>
    <definedName name="MAY" localSheetId="16">#REF!</definedName>
    <definedName name="MAY" localSheetId="12">#REF!</definedName>
    <definedName name="MAY" localSheetId="13">[19]Backup!#REF!</definedName>
    <definedName name="MAYT" localSheetId="12">#REF!</definedName>
    <definedName name="MCtoREV" localSheetId="12">#REF!</definedName>
    <definedName name="MEN" localSheetId="12">[1]Jan!#REF!</definedName>
    <definedName name="MEN" localSheetId="13">[1]Jan!#REF!</definedName>
    <definedName name="Menu_Begin" localSheetId="12">#REF!</definedName>
    <definedName name="Menu_Caption" localSheetId="12">#REF!</definedName>
    <definedName name="Menu_Large" localSheetId="12">#REF!</definedName>
    <definedName name="Menu_Name" localSheetId="12">#REF!</definedName>
    <definedName name="Menu_OnAction" localSheetId="12">#REF!</definedName>
    <definedName name="Menu_Parent" localSheetId="12">#REF!</definedName>
    <definedName name="Menu_Small" localSheetId="12">#REF!</definedName>
    <definedName name="Miller" hidden="1">{#N/A,#N/A,FALSE,"Expenditures";#N/A,#N/A,FALSE,"Property Placed In-Service";#N/A,#N/A,FALSE,"CWIP Balances"}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12">[19]Backup!#REF!</definedName>
    <definedName name="MTKWH" localSheetId="12">#REF!</definedName>
    <definedName name="MTREV" localSheetId="12">#REF!</definedName>
    <definedName name="MULT" localSheetId="12">#REF!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 localSheetId="12">[1]Jan!#REF!</definedName>
    <definedName name="NEWMO1" localSheetId="13">[1]Jan!#REF!</definedName>
    <definedName name="NEWMO2" localSheetId="12">[1]Jan!#REF!</definedName>
    <definedName name="NEWMONTH" localSheetId="12">[1]Jan!#REF!</definedName>
    <definedName name="NORMALIZE" localSheetId="12">#REF!</definedName>
    <definedName name="NOV" localSheetId="15">#REF!</definedName>
    <definedName name="NOV" localSheetId="16">#REF!</definedName>
    <definedName name="NOV" localSheetId="12">#REF!</definedName>
    <definedName name="NOV" localSheetId="13">[19]Backup!#REF!</definedName>
    <definedName name="NOVT" localSheetId="12">#REF!</definedName>
    <definedName name="NPC" localSheetId="13">[18]Inputs!$N$18</definedName>
    <definedName name="NUM" localSheetId="12">#REF!</definedName>
    <definedName name="OCT" localSheetId="15">#REF!</definedName>
    <definedName name="OCT" localSheetId="16">#REF!</definedName>
    <definedName name="OCT" localSheetId="12">#REF!</definedName>
    <definedName name="OCT" localSheetId="13">[19]Backup!#REF!</definedName>
    <definedName name="OCTT" localSheetId="12">#REF!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NE" localSheetId="12">[1]Jan!#REF!</definedName>
    <definedName name="ONE" localSheetId="13">[1]Jan!#REF!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2">#REF!</definedName>
    <definedName name="Page110" localSheetId="12">#REF!</definedName>
    <definedName name="Page120" localSheetId="12">#REF!</definedName>
    <definedName name="Page2" localSheetId="12">#REF!</definedName>
    <definedName name="PAGE3" localSheetId="12">#REF!</definedName>
    <definedName name="Page4" localSheetId="12">#REF!</definedName>
    <definedName name="Page5" localSheetId="12">#REF!</definedName>
    <definedName name="Page6" localSheetId="12">#REF!</definedName>
    <definedName name="Page62" localSheetId="12">[26]TransInvest!#REF!</definedName>
    <definedName name="Page62" localSheetId="13">[26]TransInvest!#REF!</definedName>
    <definedName name="page65" localSheetId="12">#REF!</definedName>
    <definedName name="page66" localSheetId="12">#REF!</definedName>
    <definedName name="page67" localSheetId="12">#REF!</definedName>
    <definedName name="page68" localSheetId="12">#REF!</definedName>
    <definedName name="page69" localSheetId="12">#REF!</definedName>
    <definedName name="Page7" localSheetId="12">#REF!</definedName>
    <definedName name="page8" localSheetId="12">#REF!</definedName>
    <definedName name="PALL" localSheetId="12">#REF!</definedName>
    <definedName name="PBLOCK" localSheetId="12">#REF!</definedName>
    <definedName name="PBLOCKWZ" localSheetId="12">#REF!</definedName>
    <definedName name="PCOMP" localSheetId="12">#REF!</definedName>
    <definedName name="PCOMPOSITES" localSheetId="12">#REF!</definedName>
    <definedName name="PCOMPWZ" localSheetId="12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MAC" localSheetId="12">[19]Backup!#REF!</definedName>
    <definedName name="PRESENT" localSheetId="12">#REF!</definedName>
    <definedName name="PRICCHNG" localSheetId="12">#REF!</definedName>
    <definedName name="PricingInfo" localSheetId="8" hidden="1">[27]Inputs!#REF!</definedName>
    <definedName name="PricingInfo" hidden="1">[27]Inputs!#REF!</definedName>
    <definedName name="_xlnm.Print_Area" localSheetId="15">'Billing Determinants (2)'!$A$1:$K$1038</definedName>
    <definedName name="_xlnm.Print_Area" localSheetId="16">'Blocking - detail'!$A$1:$K$1009</definedName>
    <definedName name="_xlnm.Print_Area" localSheetId="2">'Exhibit No.__(RMM-3)'!$A$1:$L$1132</definedName>
    <definedName name="_xlnm.Print_Area" localSheetId="3">'Exhibit No.__(RMM-4) p1'!$A$1:$K$39</definedName>
    <definedName name="_xlnm.Print_Area" localSheetId="4">'Exhibit No.__(RMM-4) p2'!$A$1:$Q$36</definedName>
    <definedName name="_xlnm.Print_Area" localSheetId="5">'Exhibit No.__(RMM-4) p3'!$A$1:$L$44</definedName>
    <definedName name="_xlnm.Print_Area" localSheetId="6">'Exhibit No.__(RMM-4) p4'!$A$1:$R$39</definedName>
    <definedName name="_xlnm.Print_Area" localSheetId="7">'Exhibit No.__(RMM-4) p5'!$A$1:$L$34</definedName>
    <definedName name="_xlnm.Print_Area" localSheetId="8">'Exhibit No.__(RMM-4) p6'!$A$1:$L$34</definedName>
    <definedName name="_xlnm.Print_Area" localSheetId="9">'Exhibit No.__(RMM-4) p7'!$A$1:$L$35</definedName>
    <definedName name="_xlnm.Print_Area" localSheetId="11">'G+T+D+C+CO (GRC Settlement)'!$A$1:$O$1423</definedName>
    <definedName name="_xlnm.Print_Area" localSheetId="12">'Rate Design Work-Res NM'!$A$1:$V$107</definedName>
    <definedName name="_xlnm.Print_Area" localSheetId="13">'Table A by class'!$B$1:$W$61</definedName>
    <definedName name="_xlnm.Print_Titles" localSheetId="15">'Billing Determinants (2)'!$1:$6</definedName>
    <definedName name="_xlnm.Print_Titles" localSheetId="16">'Blocking - detail'!$1:$6</definedName>
    <definedName name="_xlnm.Print_Titles" localSheetId="12">'Rate Design Work-Res NM'!$1:$10</definedName>
    <definedName name="_xlnm.Print_Titles" localSheetId="13">'Table A by class'!$B:$F</definedName>
    <definedName name="PTABLES" localSheetId="12">#REF!</definedName>
    <definedName name="PTDMOD" localSheetId="12">#REF!</definedName>
    <definedName name="PTDROLL" localSheetId="12">#REF!</definedName>
    <definedName name="PTMOD" localSheetId="12">#REF!</definedName>
    <definedName name="PTROLL" localSheetId="12">#REF!</definedName>
    <definedName name="PWORKBACK" localSheetId="12">#REF!</definedName>
    <definedName name="q" hidden="1">{#N/A,#N/A,FALSE,"Coversheet";#N/A,#N/A,FALSE,"QA"}</definedName>
    <definedName name="qqq" hidden="1">{#N/A,#N/A,FALSE,"schA"}</definedName>
    <definedName name="Query1" localSheetId="12">#REF!</definedName>
    <definedName name="RC_ADJ" localSheetId="12">#REF!</definedName>
    <definedName name="RESADJ" localSheetId="12">#REF!</definedName>
    <definedName name="retail" hidden="1">{#N/A,#N/A,FALSE,"Loans";#N/A,#N/A,FALSE,"Program Costs";#N/A,#N/A,FALSE,"Measures";#N/A,#N/A,FALSE,"Net Lost Rev";#N/A,#N/A,FALSE,"Incentive"}</definedName>
    <definedName name="retail_CC" localSheetId="9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9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12">#REF!</definedName>
    <definedName name="Revenue_by_month_take_2" localSheetId="12">#REF!</definedName>
    <definedName name="RevenueCheck" localSheetId="12">#REF!</definedName>
    <definedName name="RevReqSettle" localSheetId="12">#REF!</definedName>
    <definedName name="REVVSTRS" localSheetId="12">#REF!</definedName>
    <definedName name="RISFORM" localSheetId="12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hrIndnt" hidden="1">"Wide"</definedName>
    <definedName name="SAPBEXrevision" hidden="1">1</definedName>
    <definedName name="SAPBEXsysID" hidden="1">"BWP"</definedName>
    <definedName name="SAPBEXwbID" hidden="1">"44KU92Q9LH2VK4DK86GZ93AXN"</definedName>
    <definedName name="SAPsysID" hidden="1">"708C5W7SBKP804JT78WJ0JNKI"</definedName>
    <definedName name="SAPwbID" hidden="1">"ARS"</definedName>
    <definedName name="SCH33CUSTS" localSheetId="12">#REF!</definedName>
    <definedName name="SCH48ADJ" localSheetId="12">#REF!</definedName>
    <definedName name="SCH98NOR" localSheetId="12">#REF!</definedName>
    <definedName name="SCHED47" localSheetId="12">#REF!</definedName>
    <definedName name="Schedule" localSheetId="13">[18]Inputs!$N$14</definedName>
    <definedName name="sdlfhsdlhfkl" hidden="1">{#N/A,#N/A,FALSE,"Summ";#N/A,#N/A,FALSE,"General"}</definedName>
    <definedName name="se" localSheetId="12">#REF!</definedName>
    <definedName name="SECOND" localSheetId="12">[1]Jan!#REF!</definedName>
    <definedName name="SECOND" localSheetId="13">[1]Jan!#REF!</definedName>
    <definedName name="SEP" localSheetId="15">#REF!</definedName>
    <definedName name="SEP" localSheetId="16">#REF!</definedName>
    <definedName name="SEP" localSheetId="12">#REF!</definedName>
    <definedName name="SEP" localSheetId="13">[19]Backup!#REF!</definedName>
    <definedName name="SEPT" localSheetId="12">#REF!</definedName>
    <definedName name="SERVICES_3" localSheetId="12">#REF!</definedName>
    <definedName name="seven" hidden="1">{#N/A,#N/A,FALSE,"CRPT";#N/A,#N/A,FALSE,"TREND";#N/A,#N/A,FALSE,"%Curve"}</definedName>
    <definedName name="sg" localSheetId="12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hidden="1">{#N/A,#N/A,FALSE,"Drill Sites";"WP 212",#N/A,FALSE,"MWAG EOR";"WP 213",#N/A,FALSE,"MWAG EOR";#N/A,#N/A,FALSE,"Misc. Facility";#N/A,#N/A,FALSE,"WWTP"}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hidden="1">{"YTD-Total",#N/A,FALSE,"Provision"}</definedName>
    <definedName name="START" localSheetId="12">[1]Jan!#REF!</definedName>
    <definedName name="START" localSheetId="13">[1]Jan!#REF!</definedName>
    <definedName name="SUM_TAB1" localSheetId="12">#REF!</definedName>
    <definedName name="SUM_TAB2" localSheetId="12">#REF!</definedName>
    <definedName name="SUM_TAB3" localSheetId="12">#REF!</definedName>
    <definedName name="t" hidden="1">{#N/A,#N/A,FALSE,"CESTSUM";#N/A,#N/A,FALSE,"est sum A";#N/A,#N/A,FALSE,"est detail A"}</definedName>
    <definedName name="TABLE_1" localSheetId="15">#REF!</definedName>
    <definedName name="TABLE_1" localSheetId="16">#REF!</definedName>
    <definedName name="TABLE_1" localSheetId="12">#REF!</definedName>
    <definedName name="TABLE_2" localSheetId="15">#REF!</definedName>
    <definedName name="TABLE_2" localSheetId="16">#REF!</definedName>
    <definedName name="TABLE_2" localSheetId="12">#REF!</definedName>
    <definedName name="TABLE_3" localSheetId="12">#REF!</definedName>
    <definedName name="TABLE_4" localSheetId="15">#REF!</definedName>
    <definedName name="TABLE_4" localSheetId="16">#REF!</definedName>
    <definedName name="TABLE_4" localSheetId="12">#REF!</definedName>
    <definedName name="TABLE_4_A" localSheetId="12">#REF!</definedName>
    <definedName name="TABLE_5" localSheetId="12">#REF!</definedName>
    <definedName name="TABLE_6" localSheetId="12">#REF!</definedName>
    <definedName name="TABLE_7" localSheetId="12">#REF!</definedName>
    <definedName name="TABLE1" localSheetId="12">#REF!</definedName>
    <definedName name="TABLE2" localSheetId="12">#REF!</definedName>
    <definedName name="TABLEA" localSheetId="12">#REF!</definedName>
    <definedName name="TABLEA" localSheetId="13">#REF!</definedName>
    <definedName name="TABLEONE" localSheetId="12">#REF!</definedName>
    <definedName name="TDMOD" localSheetId="12">#REF!</definedName>
    <definedName name="TDROLL" localSheetId="12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2">#REF!</definedName>
    <definedName name="Test" localSheetId="12">#REF!</definedName>
    <definedName name="Test1" localSheetId="12">#REF!</definedName>
    <definedName name="Test2" localSheetId="12">#REF!</definedName>
    <definedName name="Test3" localSheetId="12">#REF!</definedName>
    <definedName name="Test4" localSheetId="12">#REF!</definedName>
    <definedName name="Test5" localSheetId="12">#REF!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AACT115S" localSheetId="12">'[17]Functional Study'!#REF!</definedName>
    <definedName name="UAACT115S" localSheetId="13">'[18]Functional Study'!#REF!</definedName>
    <definedName name="UACCT115" localSheetId="12">'[17]Functional Study'!#REF!</definedName>
    <definedName name="UACCT115" localSheetId="13">'[18]Functional Study'!#REF!</definedName>
    <definedName name="UACCT115DGP" localSheetId="12">'[17]Functional Study'!#REF!</definedName>
    <definedName name="UACCT115DGP" localSheetId="13">'[18]Functional Study'!#REF!</definedName>
    <definedName name="UACCT115SG" localSheetId="12">'[17]Functional Study'!#REF!</definedName>
    <definedName name="UACCT115SG" localSheetId="13">'[18]Functional Study'!#REF!</definedName>
    <definedName name="UAcct22842Trojd" localSheetId="12">'[13]Func Study'!#REF!</definedName>
    <definedName name="UAcct22842Trojd" localSheetId="13">'[13]Func Study'!#REF!</definedName>
    <definedName name="UACCT41020" localSheetId="12">'[14]Functional Study'!#REF!</definedName>
    <definedName name="UACCT41020" localSheetId="13">'[15]Functional Study'!#REF!</definedName>
    <definedName name="UACCT41020BADDEBT" localSheetId="12">'[14]Functional Study'!#REF!</definedName>
    <definedName name="UACCT41020BADDEBT" localSheetId="13">'[15]Functional Study'!#REF!</definedName>
    <definedName name="UACCT41020DITEXP" localSheetId="12">'[14]Functional Study'!#REF!</definedName>
    <definedName name="UACCT41020DITEXP" localSheetId="13">'[15]Functional Study'!#REF!</definedName>
    <definedName name="UACCT41020DNPU" localSheetId="12">'[14]Functional Study'!#REF!</definedName>
    <definedName name="UACCT41020DNPU" localSheetId="13">'[15]Functional Study'!#REF!</definedName>
    <definedName name="UACCT41020S" localSheetId="12">'[14]Functional Study'!#REF!</definedName>
    <definedName name="UACCT41020S" localSheetId="13">'[15]Functional Study'!#REF!</definedName>
    <definedName name="UACCT41020SE" localSheetId="12">'[14]Functional Study'!#REF!</definedName>
    <definedName name="UACCT41020SE" localSheetId="13">'[15]Functional Study'!#REF!</definedName>
    <definedName name="UACCT41020SG" localSheetId="12">'[14]Functional Study'!#REF!</definedName>
    <definedName name="UACCT41020SG" localSheetId="13">'[15]Functional Study'!#REF!</definedName>
    <definedName name="UACCT41020SGCT" localSheetId="12">'[14]Functional Study'!#REF!</definedName>
    <definedName name="UACCT41020SGCT" localSheetId="13">'[15]Functional Study'!#REF!</definedName>
    <definedName name="UACCT41020SGPP" localSheetId="12">'[14]Functional Study'!#REF!</definedName>
    <definedName name="UACCT41020SGPP" localSheetId="13">'[15]Functional Study'!#REF!</definedName>
    <definedName name="UACCT41020SO" localSheetId="12">'[14]Functional Study'!#REF!</definedName>
    <definedName name="UACCT41020SO" localSheetId="13">'[15]Functional Study'!#REF!</definedName>
    <definedName name="UACCT41020TROJP" localSheetId="12">'[14]Functional Study'!#REF!</definedName>
    <definedName name="UACCT41020TROJP" localSheetId="13">'[15]Functional Study'!#REF!</definedName>
    <definedName name="UACCT4102SNPD" localSheetId="12">'[14]Functional Study'!#REF!</definedName>
    <definedName name="UACCT4102SNPD" localSheetId="13">'[15]Functional Study'!#REF!</definedName>
    <definedName name="UAcct41111" localSheetId="12">'[14]Functional Study'!#REF!</definedName>
    <definedName name="UAcct41111" localSheetId="13">'[15]Functional Study'!#REF!</definedName>
    <definedName name="UAcct41111Baddebt" localSheetId="12">'[14]Functional Study'!#REF!</definedName>
    <definedName name="UAcct41111Baddebt" localSheetId="13">'[15]Functional Study'!#REF!</definedName>
    <definedName name="UAcct41111Dgp" localSheetId="12">'[14]Functional Study'!#REF!</definedName>
    <definedName name="UAcct41111Dgp" localSheetId="13">'[15]Functional Study'!#REF!</definedName>
    <definedName name="UAcct41111Dgu" localSheetId="12">'[14]Functional Study'!#REF!</definedName>
    <definedName name="UAcct41111Dgu" localSheetId="13">'[15]Functional Study'!#REF!</definedName>
    <definedName name="UAcct41111Ditexp" localSheetId="12">'[14]Functional Study'!#REF!</definedName>
    <definedName name="UAcct41111Ditexp" localSheetId="13">'[15]Functional Study'!#REF!</definedName>
    <definedName name="UAcct41111Dnpp" localSheetId="12">'[14]Functional Study'!#REF!</definedName>
    <definedName name="UAcct41111Dnpp" localSheetId="13">'[15]Functional Study'!#REF!</definedName>
    <definedName name="UAcct41111Dnptp" localSheetId="12">'[14]Functional Study'!#REF!</definedName>
    <definedName name="UAcct41111Dnptp" localSheetId="13">'[15]Functional Study'!#REF!</definedName>
    <definedName name="UAcct41111S" localSheetId="12">'[14]Functional Study'!#REF!</definedName>
    <definedName name="UAcct41111S" localSheetId="13">'[15]Functional Study'!#REF!</definedName>
    <definedName name="UAcct41111Se" localSheetId="12">'[14]Functional Study'!#REF!</definedName>
    <definedName name="UAcct41111Se" localSheetId="13">'[15]Functional Study'!#REF!</definedName>
    <definedName name="UAcct41111Sg" localSheetId="12">'[14]Functional Study'!#REF!</definedName>
    <definedName name="UAcct41111Sg" localSheetId="13">'[15]Functional Study'!#REF!</definedName>
    <definedName name="UAcct41111Sgpp" localSheetId="12">'[14]Functional Study'!#REF!</definedName>
    <definedName name="UAcct41111Sgpp" localSheetId="13">'[15]Functional Study'!#REF!</definedName>
    <definedName name="UAcct41111So" localSheetId="12">'[14]Functional Study'!#REF!</definedName>
    <definedName name="UAcct41111So" localSheetId="13">'[15]Functional Study'!#REF!</definedName>
    <definedName name="UAcct41111Trojp" localSheetId="12">'[14]Functional Study'!#REF!</definedName>
    <definedName name="UAcct41111Trojp" localSheetId="13">'[15]Functional Study'!#REF!</definedName>
    <definedName name="UAcct447CAEE" localSheetId="12">'[12]Func Study'!#REF!</definedName>
    <definedName name="UAcct447CAEE" localSheetId="13">'[12]Func Study'!#REF!</definedName>
    <definedName name="UAcct447CAGE" localSheetId="12">'[12]Func Study'!#REF!</definedName>
    <definedName name="UAcct447Dgu" localSheetId="12">'[13]Func Study'!#REF!</definedName>
    <definedName name="UAcct453CAGE" localSheetId="12">'[12]Func Study'!#REF!</definedName>
    <definedName name="UAcct453CAGE" localSheetId="13">'[12]Func Study'!#REF!</definedName>
    <definedName name="UAcct453CAGW" localSheetId="12">'[12]Func Study'!#REF!</definedName>
    <definedName name="UAcct502JBG" localSheetId="12">'[12]Func Study'!#REF!</definedName>
    <definedName name="UAcct502JBG" localSheetId="13">'[12]Func Study'!#REF!</definedName>
    <definedName name="UAcct505JBG" localSheetId="12">'[12]Func Study'!#REF!</definedName>
    <definedName name="UAcct505JBG" localSheetId="13">'[12]Func Study'!#REF!</definedName>
    <definedName name="UAcct506JBG" localSheetId="12">'[12]Func Study'!#REF!</definedName>
    <definedName name="UAcct506JBG" localSheetId="13">'[12]Func Study'!#REF!</definedName>
    <definedName name="UAcct507JBG" localSheetId="12">'[12]Func Study'!#REF!</definedName>
    <definedName name="UAcct507JBG" localSheetId="13">'[12]Func Study'!#REF!</definedName>
    <definedName name="UAcct510JBG" localSheetId="12">'[12]Func Study'!#REF!</definedName>
    <definedName name="UAcct510JBG" localSheetId="13">'[12]Func Study'!#REF!</definedName>
    <definedName name="UAcct511JBG" localSheetId="12">'[12]Func Study'!#REF!</definedName>
    <definedName name="UAcct511JBG" localSheetId="13">'[12]Func Study'!#REF!</definedName>
    <definedName name="UAcct512JBG" localSheetId="12">'[12]Func Study'!#REF!</definedName>
    <definedName name="UAcct512JBG" localSheetId="13">'[12]Func Study'!#REF!</definedName>
    <definedName name="UAcct513JBG" localSheetId="12">'[12]Func Study'!#REF!</definedName>
    <definedName name="UAcct513JBG" localSheetId="13">'[12]Func Study'!#REF!</definedName>
    <definedName name="UAcct514JBG" localSheetId="12">'[12]Func Study'!#REF!</definedName>
    <definedName name="UAcct514JBG" localSheetId="13">'[12]Func Study'!#REF!</definedName>
    <definedName name="UAcct5506SE" localSheetId="12">'[12]Func Study'!#REF!</definedName>
    <definedName name="UAcct5506SE" localSheetId="13">'[12]Func Study'!#REF!</definedName>
    <definedName name="UAcct555CAEE" localSheetId="12">'[12]Func Study'!#REF!</definedName>
    <definedName name="UAcct555CAEE" localSheetId="13">'[12]Func Study'!#REF!</definedName>
    <definedName name="UAcct555CAGE" localSheetId="12">'[12]Func Study'!#REF!</definedName>
    <definedName name="UAcct555CAGE" localSheetId="13">'[12]Func Study'!#REF!</definedName>
    <definedName name="Uacct904SG" localSheetId="12">'[17]Functional Study'!#REF!</definedName>
    <definedName name="Uacct904SG" localSheetId="13">'[18]Functional Study'!#REF!</definedName>
    <definedName name="UAcctdfa" localSheetId="12">'[16]Func Study'!#REF!</definedName>
    <definedName name="UAcctdfad" localSheetId="12">'[16]Func Study'!#REF!</definedName>
    <definedName name="UAcctdfap" localSheetId="12">'[16]Func Study'!#REF!</definedName>
    <definedName name="UAcctdfat" localSheetId="12">'[16]Func Study'!#REF!</definedName>
    <definedName name="UNBILREV" localSheetId="12">#REF!</definedName>
    <definedName name="UnbundledCategories">[20]FuncStudy!$91:$91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VAR" localSheetId="12">[19]Backup!#REF!</definedName>
    <definedName name="VAR" localSheetId="13">[19]Backup!#REF!</definedName>
    <definedName name="VARIABLE" localSheetId="12">[23]Summary!#REF!</definedName>
    <definedName name="VARIABLE" localSheetId="13">[24]Summary!#REF!</definedName>
    <definedName name="VOUCHER" localSheetId="12">#REF!</definedName>
    <definedName name="w" localSheetId="8" hidden="1">[28]Inputs!#REF!</definedName>
    <definedName name="w" hidden="1">[28]Inputs!#REF!</definedName>
    <definedName name="we" hidden="1">{#N/A,#N/A,FALSE,"Pg 6b CustCount_Gas";#N/A,#N/A,FALSE,"QA";#N/A,#N/A,FALSE,"Report";#N/A,#N/A,FALSE,"forecast"}</definedName>
    <definedName name="WEATHER" localSheetId="12">#REF!</definedName>
    <definedName name="WEATHRNORM" localSheetId="12">#REF!</definedName>
    <definedName name="WH" hidden="1">{#N/A,#N/A,FALSE,"Coversheet";#N/A,#N/A,FALSE,"QA"}</definedName>
    <definedName name="WIDTH" localSheetId="12">#REF!</definedName>
    <definedName name="WORK1" localSheetId="12">#REF!</definedName>
    <definedName name="WORK2" localSheetId="12">#REF!</definedName>
    <definedName name="WORK3" localSheetId="12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hidden="1">{#N/A,#N/A,FALSE,"CESTSUM";#N/A,#N/A,FALSE,"est sum A";#N/A,#N/A,FALSE,"est detail A"}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hidden="1">{"Open issues Only",#N/A,FALSE,"TIMELINE"}</definedName>
    <definedName name="wrn.OR._.Carrying._.Charge._.JV." localSheetId="9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9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hidden="1">{#N/A,#N/A,FALSE,"7617 Fab";#N/A,#N/A,FALSE,"7617 NSK"}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{#N/A,#N/A,FALSE,"Sum Qtr";#N/A,#N/A,FALSE,"Oper Sum";#N/A,#N/A,FALSE,"Land Sales";#N/A,#N/A,FALSE,"Finance";#N/A,#N/A,FALSE,"Oper Ass"}</definedName>
    <definedName name="wrn.Summary._.View." hidden="1">{#N/A,#N/A,FALSE,"Consltd-For contngcy"}</definedName>
    <definedName name="wrn.Total._.Summary." hidden="1">{"Total Summary",#N/A,FALSE,"Summary"}</definedName>
    <definedName name="wrn.UK._.Conversion._.Only." hidden="1">{#N/A,#N/A,FALSE,"Dec 1999 UK Continuing Ops"}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ww" hidden="1">{#N/A,#N/A,FALSE,"schA"}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5" hidden="1">#REF!</definedName>
    <definedName name="y" localSheetId="16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9" hidden="1">#REF!</definedName>
    <definedName name="y" localSheetId="12" hidden="1">#REF!</definedName>
    <definedName name="y" localSheetId="13" hidden="1">'[7]DSM Output'!$B$21:$B$23</definedName>
    <definedName name="y" hidden="1">'[8]DSM Output'!$B$21:$B$23</definedName>
    <definedName name="Year" localSheetId="12">#REF!</definedName>
    <definedName name="yuf" hidden="1">{#N/A,#N/A,FALSE,"Summ";#N/A,#N/A,FALSE,"General"}</definedName>
    <definedName name="z" localSheetId="15" hidden="1">#REF!</definedName>
    <definedName name="z" localSheetId="16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9" hidden="1">#REF!</definedName>
    <definedName name="z" localSheetId="12" hidden="1">#REF!</definedName>
    <definedName name="z" localSheetId="13" hidden="1">'[7]DSM Output'!$G$21:$G$23</definedName>
    <definedName name="z" hidden="1">'[8]DSM Output'!$G$21:$G$23</definedName>
    <definedName name="Z_01844156_6462_4A28_9785_1A86F4D0C834_.wvu.PrintTitles" localSheetId="8" hidden="1">#REF!</definedName>
    <definedName name="Z_01844156_6462_4A28_9785_1A86F4D0C834_.wvu.PrintTitles" hidden="1">#REF!</definedName>
    <definedName name="ZA" localSheetId="12">'[29] annual balance '!#REF!</definedName>
    <definedName name="ZA" localSheetId="13">'[29] annual balance '!#REF!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2" i="12882" l="1"/>
  <c r="S17" i="12791" l="1"/>
  <c r="T16" i="12791"/>
  <c r="S16" i="12791"/>
  <c r="R17" i="12881"/>
  <c r="S16" i="12881"/>
  <c r="R16" i="12881"/>
  <c r="S15" i="12881"/>
  <c r="R15" i="12881"/>
  <c r="R17" i="12772"/>
  <c r="S16" i="12772"/>
  <c r="R16" i="12772"/>
  <c r="S15" i="12772"/>
  <c r="R15" i="12772"/>
  <c r="W21" i="12771"/>
  <c r="W20" i="12771"/>
  <c r="W19" i="12771"/>
  <c r="W18" i="12771"/>
  <c r="W17" i="12771"/>
  <c r="R18" i="12770"/>
  <c r="S16" i="12770"/>
  <c r="R16" i="12770"/>
  <c r="S15" i="12770"/>
  <c r="R15" i="12770"/>
  <c r="R14" i="12770"/>
  <c r="X20" i="12769"/>
  <c r="X18" i="12769"/>
  <c r="Y14" i="12769"/>
  <c r="X14" i="12769"/>
  <c r="O8" i="12833"/>
  <c r="O15" i="12833" l="1"/>
  <c r="O17" i="12833"/>
  <c r="I36" i="12882" l="1"/>
  <c r="I35" i="12882" a="1"/>
  <c r="I35" i="12882" s="1"/>
  <c r="I40" i="12882" s="1"/>
  <c r="I42" i="12882" s="1"/>
  <c r="I37" i="12882"/>
  <c r="I32" i="12882"/>
  <c r="I29" i="12882"/>
  <c r="I28" i="12882"/>
  <c r="I27" i="12882"/>
  <c r="I26" i="12882"/>
  <c r="I25" i="12882"/>
  <c r="I24" i="12882"/>
  <c r="I23" i="12882"/>
  <c r="I22" i="12882"/>
  <c r="I16" i="12882"/>
  <c r="I19" i="12882" s="1"/>
  <c r="T25" i="12783" l="1"/>
  <c r="L1042" i="12843"/>
  <c r="L944" i="12843"/>
  <c r="L924" i="12843"/>
  <c r="L905" i="12843"/>
  <c r="O1066" i="12843" l="1"/>
  <c r="O1064" i="12843"/>
  <c r="O1063" i="12843"/>
  <c r="O1062" i="12843"/>
  <c r="O1061" i="12843"/>
  <c r="O1060" i="12843"/>
  <c r="O1059" i="12843"/>
  <c r="O1057" i="12843"/>
  <c r="O1056" i="12843"/>
  <c r="O1055" i="12843"/>
  <c r="O1054" i="12843"/>
  <c r="O1053" i="12843"/>
  <c r="O1052" i="12843"/>
  <c r="K37" i="12882" l="1"/>
  <c r="K36" i="12882"/>
  <c r="K35" i="12882"/>
  <c r="K40" i="12882" s="1"/>
  <c r="K29" i="12882"/>
  <c r="H40" i="12882"/>
  <c r="H32" i="12882"/>
  <c r="H19" i="12882"/>
  <c r="K28" i="12882"/>
  <c r="K27" i="12882"/>
  <c r="K25" i="12882"/>
  <c r="K24" i="12882"/>
  <c r="K22" i="12882"/>
  <c r="K16" i="12882"/>
  <c r="K19" i="12882" s="1"/>
  <c r="O1426" i="12883"/>
  <c r="N1426" i="12883"/>
  <c r="M1426" i="12883"/>
  <c r="L1426" i="12883"/>
  <c r="K1426" i="12883"/>
  <c r="J1426" i="12883"/>
  <c r="I1426" i="12883"/>
  <c r="H1426" i="12883"/>
  <c r="H42" i="12882" l="1"/>
  <c r="K32" i="12882"/>
  <c r="K42" i="12882" l="1"/>
  <c r="M24" i="12882" s="1"/>
  <c r="M25" i="12882"/>
  <c r="M37" i="12882"/>
  <c r="M27" i="12882"/>
  <c r="M36" i="12882"/>
  <c r="M35" i="12882"/>
  <c r="M16" i="12882"/>
  <c r="M22" i="12882"/>
  <c r="M28" i="12882" l="1"/>
  <c r="M29" i="12882"/>
  <c r="B19" i="12882"/>
  <c r="J1118" i="12843"/>
  <c r="L1118" i="12843" s="1"/>
  <c r="J1117" i="12843"/>
  <c r="L1117" i="12843" s="1"/>
  <c r="J1042" i="12843"/>
  <c r="J1037" i="12843"/>
  <c r="L1037" i="12843" s="1"/>
  <c r="J1036" i="12843"/>
  <c r="L1036" i="12843" s="1"/>
  <c r="L1035" i="12843"/>
  <c r="J1033" i="12843"/>
  <c r="L1033" i="12843" s="1"/>
  <c r="L1032" i="12843"/>
  <c r="J944" i="12843"/>
  <c r="J965" i="12843" s="1"/>
  <c r="J939" i="12843"/>
  <c r="J938" i="12843"/>
  <c r="J937" i="12843"/>
  <c r="J958" i="12843" s="1"/>
  <c r="L958" i="12843" s="1"/>
  <c r="J935" i="12843"/>
  <c r="J934" i="12843"/>
  <c r="J885" i="12843"/>
  <c r="J924" i="12843" s="1"/>
  <c r="J880" i="12843"/>
  <c r="J919" i="12843" s="1"/>
  <c r="L919" i="12843" s="1"/>
  <c r="J879" i="12843"/>
  <c r="J918" i="12843" s="1"/>
  <c r="L918" i="12843" s="1"/>
  <c r="J878" i="12843"/>
  <c r="J917" i="12843" s="1"/>
  <c r="L917" i="12843" s="1"/>
  <c r="J876" i="12843"/>
  <c r="J915" i="12843" s="1"/>
  <c r="L915" i="12843" s="1"/>
  <c r="J875" i="12843"/>
  <c r="J914" i="12843" s="1"/>
  <c r="L914" i="12843" s="1"/>
  <c r="L863" i="12843"/>
  <c r="L843" i="12843" s="1"/>
  <c r="J825" i="12843"/>
  <c r="L825" i="12843" s="1"/>
  <c r="J824" i="12843"/>
  <c r="L824" i="12843" s="1"/>
  <c r="J823" i="12843"/>
  <c r="J815" i="12843"/>
  <c r="L802" i="12843"/>
  <c r="J802" i="12843"/>
  <c r="J801" i="12843"/>
  <c r="L801" i="12843" s="1"/>
  <c r="J781" i="12843"/>
  <c r="J800" i="12843" s="1"/>
  <c r="L800" i="12843" s="1"/>
  <c r="J775" i="12843"/>
  <c r="J794" i="12843" s="1"/>
  <c r="L794" i="12843" s="1"/>
  <c r="J774" i="12843"/>
  <c r="J793" i="12843" s="1"/>
  <c r="L793" i="12843" s="1"/>
  <c r="J773" i="12843"/>
  <c r="J792" i="12843" s="1"/>
  <c r="L792" i="12843" s="1"/>
  <c r="J772" i="12843"/>
  <c r="J791" i="12843" s="1"/>
  <c r="L791" i="12843" s="1"/>
  <c r="J771" i="12843"/>
  <c r="J790" i="12843" s="1"/>
  <c r="L790" i="12843" s="1"/>
  <c r="J769" i="12843"/>
  <c r="J788" i="12843" s="1"/>
  <c r="L788" i="12843" s="1"/>
  <c r="J764" i="12843"/>
  <c r="J787" i="12843" s="1"/>
  <c r="L787" i="12843" s="1"/>
  <c r="J763" i="12843"/>
  <c r="J786" i="12843" s="1"/>
  <c r="L786" i="12843" s="1"/>
  <c r="J762" i="12843"/>
  <c r="J785" i="12843" s="1"/>
  <c r="L785" i="12843" s="1"/>
  <c r="J760" i="12843"/>
  <c r="J783" i="12843" s="1"/>
  <c r="L783" i="12843" s="1"/>
  <c r="J751" i="12843"/>
  <c r="L751" i="12843" s="1"/>
  <c r="J750" i="12843"/>
  <c r="L750" i="12843" s="1"/>
  <c r="J730" i="12843"/>
  <c r="J724" i="12843"/>
  <c r="J723" i="12843"/>
  <c r="L723" i="12843" s="1"/>
  <c r="J722" i="12843"/>
  <c r="L722" i="12843" s="1"/>
  <c r="J721" i="12843"/>
  <c r="L721" i="12843" s="1"/>
  <c r="J720" i="12843"/>
  <c r="J718" i="12843"/>
  <c r="L718" i="12843" s="1"/>
  <c r="J713" i="12843"/>
  <c r="J712" i="12843"/>
  <c r="J711" i="12843"/>
  <c r="J709" i="12843"/>
  <c r="L709" i="12843" s="1"/>
  <c r="J700" i="12843"/>
  <c r="J699" i="12843"/>
  <c r="J697" i="12843"/>
  <c r="J696" i="12843"/>
  <c r="J678" i="12843"/>
  <c r="J677" i="12843"/>
  <c r="J698" i="12843" s="1"/>
  <c r="J669" i="12843"/>
  <c r="J690" i="12843" s="1"/>
  <c r="J668" i="12843"/>
  <c r="J689" i="12843" s="1"/>
  <c r="J667" i="12843"/>
  <c r="J688" i="12843" s="1"/>
  <c r="J666" i="12843"/>
  <c r="J687" i="12843" s="1"/>
  <c r="J665" i="12843"/>
  <c r="J672" i="12843" s="1"/>
  <c r="J693" i="12843" s="1"/>
  <c r="J663" i="12843"/>
  <c r="J684" i="12843" s="1"/>
  <c r="J658" i="12843"/>
  <c r="J683" i="12843" s="1"/>
  <c r="J657" i="12843"/>
  <c r="J682" i="12843" s="1"/>
  <c r="J656" i="12843"/>
  <c r="J681" i="12843" s="1"/>
  <c r="J653" i="12843"/>
  <c r="J679" i="12843" s="1"/>
  <c r="J644" i="12843"/>
  <c r="L644" i="12843" s="1"/>
  <c r="J643" i="12843"/>
  <c r="L643" i="12843" s="1"/>
  <c r="J631" i="12843"/>
  <c r="J642" i="12843" s="1"/>
  <c r="L642" i="12843" s="1"/>
  <c r="J626" i="12843"/>
  <c r="J638" i="12843" s="1"/>
  <c r="L638" i="12843" s="1"/>
  <c r="J624" i="12843"/>
  <c r="L624" i="12843" s="1"/>
  <c r="J623" i="12843"/>
  <c r="J636" i="12843" s="1"/>
  <c r="L636" i="12843" s="1"/>
  <c r="J621" i="12843"/>
  <c r="J635" i="12843" s="1"/>
  <c r="L635" i="12843" s="1"/>
  <c r="J620" i="12843"/>
  <c r="L620" i="12843" s="1"/>
  <c r="J619" i="12843"/>
  <c r="L619" i="12843" s="1"/>
  <c r="J610" i="12843"/>
  <c r="L610" i="12843" s="1"/>
  <c r="J609" i="12843"/>
  <c r="L609" i="12843" s="1"/>
  <c r="J597" i="12843"/>
  <c r="J608" i="12843" s="1"/>
  <c r="L608" i="12843" s="1"/>
  <c r="L570" i="12843" s="1"/>
  <c r="J592" i="12843"/>
  <c r="J593" i="12843" s="1"/>
  <c r="J590" i="12843"/>
  <c r="J603" i="12843" s="1"/>
  <c r="L603" i="12843" s="1"/>
  <c r="J589" i="12843"/>
  <c r="L589" i="12843" s="1"/>
  <c r="J587" i="12843"/>
  <c r="J586" i="12843"/>
  <c r="J600" i="12843" s="1"/>
  <c r="L600" i="12843" s="1"/>
  <c r="J585" i="12843"/>
  <c r="J599" i="12843" s="1"/>
  <c r="L599" i="12843" s="1"/>
  <c r="L574" i="12843"/>
  <c r="J574" i="12843"/>
  <c r="L573" i="12843"/>
  <c r="J573" i="12843"/>
  <c r="J572" i="12843"/>
  <c r="J571" i="12843"/>
  <c r="J560" i="12843"/>
  <c r="J559" i="12843"/>
  <c r="J570" i="12843" s="1"/>
  <c r="J554" i="12843"/>
  <c r="J555" i="12843" s="1"/>
  <c r="J567" i="12843" s="1"/>
  <c r="J552" i="12843"/>
  <c r="J565" i="12843" s="1"/>
  <c r="J551" i="12843"/>
  <c r="J549" i="12843"/>
  <c r="J563" i="12843" s="1"/>
  <c r="J548" i="12843"/>
  <c r="J511" i="12843" s="1"/>
  <c r="J525" i="12843" s="1"/>
  <c r="L525" i="12843" s="1"/>
  <c r="J547" i="12843"/>
  <c r="J561" i="12843" s="1"/>
  <c r="L535" i="12843"/>
  <c r="L534" i="12843"/>
  <c r="J533" i="12843"/>
  <c r="J523" i="12843"/>
  <c r="L522" i="12843"/>
  <c r="J512" i="12843"/>
  <c r="L512" i="12843" s="1"/>
  <c r="L511" i="12843"/>
  <c r="J510" i="12843"/>
  <c r="L510" i="12843" s="1"/>
  <c r="J489" i="12843"/>
  <c r="L489" i="12843" s="1"/>
  <c r="J488" i="12843"/>
  <c r="L488" i="12843" s="1"/>
  <c r="J478" i="12843"/>
  <c r="J487" i="12843" s="1"/>
  <c r="L487" i="12843" s="1"/>
  <c r="J474" i="12843"/>
  <c r="J483" i="12843" s="1"/>
  <c r="L483" i="12843" s="1"/>
  <c r="J471" i="12843"/>
  <c r="L471" i="12843" s="1"/>
  <c r="J470" i="12843"/>
  <c r="J469" i="12843"/>
  <c r="J480" i="12843" s="1"/>
  <c r="L480" i="12843" s="1"/>
  <c r="J460" i="12843"/>
  <c r="L460" i="12843" s="1"/>
  <c r="L431" i="12843" s="1"/>
  <c r="J459" i="12843"/>
  <c r="L459" i="12843" s="1"/>
  <c r="J449" i="12843"/>
  <c r="J458" i="12843" s="1"/>
  <c r="L458" i="12843" s="1"/>
  <c r="L429" i="12843" s="1"/>
  <c r="J445" i="12843"/>
  <c r="J454" i="12843" s="1"/>
  <c r="L454" i="12843" s="1"/>
  <c r="J442" i="12843"/>
  <c r="J441" i="12843"/>
  <c r="L441" i="12843" s="1"/>
  <c r="J440" i="12843"/>
  <c r="J431" i="12843"/>
  <c r="J430" i="12843"/>
  <c r="J420" i="12843"/>
  <c r="J429" i="12843" s="1"/>
  <c r="J416" i="12843"/>
  <c r="J425" i="12843" s="1"/>
  <c r="J413" i="12843"/>
  <c r="J424" i="12843" s="1"/>
  <c r="J412" i="12843"/>
  <c r="J423" i="12843" s="1"/>
  <c r="J411" i="12843"/>
  <c r="J422" i="12843" s="1"/>
  <c r="J401" i="12843"/>
  <c r="L401" i="12843" s="1"/>
  <c r="J400" i="12843"/>
  <c r="L400" i="12843" s="1"/>
  <c r="J390" i="12843"/>
  <c r="J399" i="12843" s="1"/>
  <c r="L399" i="12843" s="1"/>
  <c r="J386" i="12843"/>
  <c r="J395" i="12843" s="1"/>
  <c r="L395" i="12843" s="1"/>
  <c r="L383" i="12843"/>
  <c r="J383" i="12843"/>
  <c r="J394" i="12843" s="1"/>
  <c r="L394" i="12843" s="1"/>
  <c r="J382" i="12843"/>
  <c r="J381" i="12843"/>
  <c r="L381" i="12843" s="1"/>
  <c r="J372" i="12843"/>
  <c r="L372" i="12843" s="1"/>
  <c r="J371" i="12843"/>
  <c r="L371" i="12843" s="1"/>
  <c r="J361" i="12843"/>
  <c r="J357" i="12843"/>
  <c r="L357" i="12843" s="1"/>
  <c r="J354" i="12843"/>
  <c r="J365" i="12843" s="1"/>
  <c r="L365" i="12843" s="1"/>
  <c r="J353" i="12843"/>
  <c r="J364" i="12843" s="1"/>
  <c r="L364" i="12843" s="1"/>
  <c r="J352" i="12843"/>
  <c r="J363" i="12843" s="1"/>
  <c r="L363" i="12843" s="1"/>
  <c r="J343" i="12843"/>
  <c r="J342" i="12843"/>
  <c r="J332" i="12843"/>
  <c r="J341" i="12843" s="1"/>
  <c r="J328" i="12843"/>
  <c r="J337" i="12843" s="1"/>
  <c r="J325" i="12843"/>
  <c r="J336" i="12843" s="1"/>
  <c r="J324" i="12843"/>
  <c r="J335" i="12843" s="1"/>
  <c r="J323" i="12843"/>
  <c r="J334" i="12843" s="1"/>
  <c r="J314" i="12843"/>
  <c r="L314" i="12843" s="1"/>
  <c r="J313" i="12843"/>
  <c r="L313" i="12843" s="1"/>
  <c r="J303" i="12843"/>
  <c r="J312" i="12843" s="1"/>
  <c r="L312" i="12843" s="1"/>
  <c r="J299" i="12843"/>
  <c r="J308" i="12843" s="1"/>
  <c r="L308" i="12843" s="1"/>
  <c r="J297" i="12843"/>
  <c r="L296" i="12843"/>
  <c r="J296" i="12843"/>
  <c r="J306" i="12843" s="1"/>
  <c r="L306" i="12843" s="1"/>
  <c r="J295" i="12843"/>
  <c r="J305" i="12843" s="1"/>
  <c r="L305" i="12843" s="1"/>
  <c r="J286" i="12843"/>
  <c r="L286" i="12843" s="1"/>
  <c r="J285" i="12843"/>
  <c r="L285" i="12843" s="1"/>
  <c r="J275" i="12843"/>
  <c r="L275" i="12843" s="1"/>
  <c r="J271" i="12843"/>
  <c r="J269" i="12843"/>
  <c r="J279" i="12843" s="1"/>
  <c r="L279" i="12843" s="1"/>
  <c r="J268" i="12843"/>
  <c r="J267" i="12843"/>
  <c r="J277" i="12843" s="1"/>
  <c r="L277" i="12843" s="1"/>
  <c r="J257" i="12843"/>
  <c r="L257" i="12843" s="1"/>
  <c r="J256" i="12843"/>
  <c r="L256" i="12843" s="1"/>
  <c r="J246" i="12843"/>
  <c r="J255" i="12843" s="1"/>
  <c r="L255" i="12843" s="1"/>
  <c r="J242" i="12843"/>
  <c r="J251" i="12843" s="1"/>
  <c r="J240" i="12843"/>
  <c r="L240" i="12843" s="1"/>
  <c r="J239" i="12843"/>
  <c r="J249" i="12843" s="1"/>
  <c r="L249" i="12843" s="1"/>
  <c r="J238" i="12843"/>
  <c r="L238" i="12843" s="1"/>
  <c r="J229" i="12843"/>
  <c r="J228" i="12843"/>
  <c r="J218" i="12843"/>
  <c r="J227" i="12843" s="1"/>
  <c r="J214" i="12843"/>
  <c r="J223" i="12843" s="1"/>
  <c r="J212" i="12843"/>
  <c r="J222" i="12843" s="1"/>
  <c r="J211" i="12843"/>
  <c r="J221" i="12843" s="1"/>
  <c r="J210" i="12843"/>
  <c r="J220" i="12843" s="1"/>
  <c r="L198" i="12843"/>
  <c r="J198" i="12843"/>
  <c r="L197" i="12843"/>
  <c r="J197" i="12843"/>
  <c r="L196" i="12843"/>
  <c r="J196" i="12843"/>
  <c r="J195" i="12843"/>
  <c r="J194" i="12843"/>
  <c r="J185" i="12843"/>
  <c r="J184" i="12843"/>
  <c r="J193" i="12843" s="1"/>
  <c r="J180" i="12843"/>
  <c r="J189" i="12843" s="1"/>
  <c r="J177" i="12843"/>
  <c r="J188" i="12843" s="1"/>
  <c r="J176" i="12843"/>
  <c r="J187" i="12843" s="1"/>
  <c r="J175" i="12843"/>
  <c r="J186" i="12843" s="1"/>
  <c r="J173" i="12843"/>
  <c r="J172" i="12843"/>
  <c r="J171" i="12843"/>
  <c r="J160" i="12843"/>
  <c r="L160" i="12843" s="1"/>
  <c r="J159" i="12843"/>
  <c r="L159" i="12843" s="1"/>
  <c r="J156" i="12843"/>
  <c r="L156" i="12843" s="1"/>
  <c r="J147" i="12843"/>
  <c r="L147" i="12843" s="1"/>
  <c r="J146" i="12843"/>
  <c r="L146" i="12843" s="1"/>
  <c r="J143" i="12843"/>
  <c r="L143" i="12843" s="1"/>
  <c r="J125" i="12843"/>
  <c r="J115" i="12843"/>
  <c r="L115" i="12843" s="1"/>
  <c r="J114" i="12843"/>
  <c r="J116" i="12843" s="1"/>
  <c r="L116" i="12843" s="1"/>
  <c r="J111" i="12843"/>
  <c r="L111" i="12843" s="1"/>
  <c r="J102" i="12843"/>
  <c r="L102" i="12843" s="1"/>
  <c r="J101" i="12843"/>
  <c r="J103" i="12843" s="1"/>
  <c r="L103" i="12843" s="1"/>
  <c r="J98" i="12843"/>
  <c r="L98" i="12843" s="1"/>
  <c r="J88" i="12843"/>
  <c r="L88" i="12843" s="1"/>
  <c r="J87" i="12843"/>
  <c r="J89" i="12843" s="1"/>
  <c r="L89" i="12843" s="1"/>
  <c r="J84" i="12843"/>
  <c r="L84" i="12843" s="1"/>
  <c r="J69" i="12843"/>
  <c r="J68" i="12843"/>
  <c r="J70" i="12843" s="1"/>
  <c r="J65" i="12843"/>
  <c r="L474" i="12843" l="1"/>
  <c r="L246" i="12843"/>
  <c r="L299" i="12843"/>
  <c r="L597" i="12843"/>
  <c r="L267" i="12843"/>
  <c r="J604" i="12843"/>
  <c r="L604" i="12843" s="1"/>
  <c r="L623" i="12843"/>
  <c r="L551" i="12843" s="1"/>
  <c r="L445" i="12843"/>
  <c r="L416" i="12843" s="1"/>
  <c r="L469" i="12843"/>
  <c r="L571" i="12843"/>
  <c r="L764" i="12843"/>
  <c r="J895" i="12843"/>
  <c r="L242" i="12843"/>
  <c r="L342" i="12843"/>
  <c r="L585" i="12843"/>
  <c r="L547" i="12843" s="1"/>
  <c r="L700" i="12843"/>
  <c r="L781" i="12843"/>
  <c r="L101" i="12843"/>
  <c r="L228" i="12843"/>
  <c r="L343" i="12843"/>
  <c r="L772" i="12843"/>
  <c r="L666" i="12843" s="1"/>
  <c r="L699" i="12843"/>
  <c r="J250" i="12843"/>
  <c r="L250" i="12843" s="1"/>
  <c r="J515" i="12843"/>
  <c r="L515" i="12843" s="1"/>
  <c r="J627" i="12843"/>
  <c r="J639" i="12843" s="1"/>
  <c r="L639" i="12843" s="1"/>
  <c r="J161" i="12843"/>
  <c r="L161" i="12843" s="1"/>
  <c r="J521" i="12843"/>
  <c r="J896" i="12843"/>
  <c r="L449" i="12843"/>
  <c r="L478" i="12843"/>
  <c r="L586" i="12843"/>
  <c r="L548" i="12843" s="1"/>
  <c r="J726" i="12843"/>
  <c r="L726" i="12843" s="1"/>
  <c r="L295" i="12843"/>
  <c r="L425" i="12843"/>
  <c r="L533" i="12843"/>
  <c r="L572" i="12843"/>
  <c r="L566" i="12843"/>
  <c r="L114" i="12843"/>
  <c r="L229" i="12843"/>
  <c r="L195" i="12843" s="1"/>
  <c r="J284" i="12843"/>
  <c r="L284" i="12843" s="1"/>
  <c r="L227" i="12843" s="1"/>
  <c r="J392" i="12843"/>
  <c r="L392" i="12843" s="1"/>
  <c r="L334" i="12843" s="1"/>
  <c r="L590" i="12843"/>
  <c r="L552" i="12843" s="1"/>
  <c r="L631" i="12843"/>
  <c r="L559" i="12843" s="1"/>
  <c r="J686" i="12843"/>
  <c r="J742" i="12843"/>
  <c r="L742" i="12843" s="1"/>
  <c r="L689" i="12843" s="1"/>
  <c r="L763" i="12843"/>
  <c r="L239" i="12843"/>
  <c r="J452" i="12843"/>
  <c r="L452" i="12843" s="1"/>
  <c r="J517" i="12843"/>
  <c r="L626" i="12843"/>
  <c r="J633" i="12843"/>
  <c r="L633" i="12843" s="1"/>
  <c r="L561" i="12843" s="1"/>
  <c r="J148" i="12843"/>
  <c r="L148" i="12843" s="1"/>
  <c r="L303" i="12843"/>
  <c r="L218" i="12843" s="1"/>
  <c r="J634" i="12843"/>
  <c r="L634" i="12843" s="1"/>
  <c r="L562" i="12843" s="1"/>
  <c r="J671" i="12843"/>
  <c r="J692" i="12843" s="1"/>
  <c r="L773" i="12843"/>
  <c r="L667" i="12843" s="1"/>
  <c r="J637" i="12843"/>
  <c r="L637" i="12843" s="1"/>
  <c r="L565" i="12843" s="1"/>
  <c r="L760" i="12843"/>
  <c r="L653" i="12843" s="1"/>
  <c r="L769" i="12843"/>
  <c r="L663" i="12843" s="1"/>
  <c r="L774" i="12843"/>
  <c r="L668" i="12843" s="1"/>
  <c r="J898" i="12843"/>
  <c r="L353" i="12843"/>
  <c r="J562" i="12843"/>
  <c r="J732" i="12843"/>
  <c r="L732" i="12843" s="1"/>
  <c r="L679" i="12843" s="1"/>
  <c r="J899" i="12843"/>
  <c r="L87" i="12843"/>
  <c r="L336" i="12843"/>
  <c r="L430" i="12843"/>
  <c r="J740" i="12843"/>
  <c r="L740" i="12843" s="1"/>
  <c r="L687" i="12843" s="1"/>
  <c r="L762" i="12843"/>
  <c r="L771" i="12843"/>
  <c r="L775" i="12843"/>
  <c r="J900" i="12843"/>
  <c r="J366" i="12843"/>
  <c r="L366" i="12843" s="1"/>
  <c r="L337" i="12843" s="1"/>
  <c r="L390" i="12843"/>
  <c r="J482" i="12843"/>
  <c r="L482" i="12843" s="1"/>
  <c r="J528" i="12843"/>
  <c r="L528" i="12843" s="1"/>
  <c r="J741" i="12843"/>
  <c r="L741" i="12843" s="1"/>
  <c r="L688" i="12843" s="1"/>
  <c r="J905" i="12843"/>
  <c r="J977" i="12843"/>
  <c r="L977" i="12843" s="1"/>
  <c r="B22" i="12882"/>
  <c r="B23" i="12882" s="1"/>
  <c r="L470" i="12843"/>
  <c r="L412" i="12843" s="1"/>
  <c r="L172" i="12843" s="1"/>
  <c r="J481" i="12843"/>
  <c r="L481" i="12843" s="1"/>
  <c r="L423" i="12843" s="1"/>
  <c r="J514" i="12843"/>
  <c r="J564" i="12843"/>
  <c r="J278" i="12843"/>
  <c r="L278" i="12843" s="1"/>
  <c r="L221" i="12843" s="1"/>
  <c r="L268" i="12843"/>
  <c r="L211" i="12843" s="1"/>
  <c r="L352" i="12843"/>
  <c r="L386" i="12843"/>
  <c r="L328" i="12843" s="1"/>
  <c r="L440" i="12843"/>
  <c r="J451" i="12843"/>
  <c r="L451" i="12843" s="1"/>
  <c r="L422" i="12843" s="1"/>
  <c r="J605" i="12843"/>
  <c r="L605" i="12843" s="1"/>
  <c r="L593" i="12843"/>
  <c r="L69" i="12843"/>
  <c r="J248" i="12843"/>
  <c r="L248" i="12843" s="1"/>
  <c r="L220" i="12843" s="1"/>
  <c r="L65" i="12843"/>
  <c r="L269" i="12843"/>
  <c r="L271" i="12843"/>
  <c r="L214" i="12843" s="1"/>
  <c r="J280" i="12843"/>
  <c r="L280" i="12843" s="1"/>
  <c r="L442" i="12843"/>
  <c r="L413" i="12843" s="1"/>
  <c r="L173" i="12843" s="1"/>
  <c r="J453" i="12843"/>
  <c r="L453" i="12843" s="1"/>
  <c r="L424" i="12843" s="1"/>
  <c r="L354" i="12843"/>
  <c r="L325" i="12843" s="1"/>
  <c r="J370" i="12843"/>
  <c r="L370" i="12843" s="1"/>
  <c r="L341" i="12843" s="1"/>
  <c r="L361" i="12843"/>
  <c r="L332" i="12843" s="1"/>
  <c r="L382" i="12843"/>
  <c r="L324" i="12843" s="1"/>
  <c r="J393" i="12843"/>
  <c r="L393" i="12843" s="1"/>
  <c r="L335" i="12843" s="1"/>
  <c r="L297" i="12843"/>
  <c r="J307" i="12843"/>
  <c r="L307" i="12843" s="1"/>
  <c r="L222" i="12843" s="1"/>
  <c r="J524" i="12843"/>
  <c r="L524" i="12843" s="1"/>
  <c r="J816" i="12843"/>
  <c r="L816" i="12843" s="1"/>
  <c r="L898" i="12843"/>
  <c r="J526" i="12843"/>
  <c r="L526" i="12843" s="1"/>
  <c r="L711" i="12843"/>
  <c r="J734" i="12843"/>
  <c r="L734" i="12843" s="1"/>
  <c r="L681" i="12843" s="1"/>
  <c r="L724" i="12843"/>
  <c r="L669" i="12843" s="1"/>
  <c r="J743" i="12843"/>
  <c r="L743" i="12843" s="1"/>
  <c r="L690" i="12843" s="1"/>
  <c r="L712" i="12843"/>
  <c r="L657" i="12843" s="1"/>
  <c r="J735" i="12843"/>
  <c r="L735" i="12843" s="1"/>
  <c r="L682" i="12843" s="1"/>
  <c r="L592" i="12843"/>
  <c r="L554" i="12843" s="1"/>
  <c r="L713" i="12843"/>
  <c r="J736" i="12843"/>
  <c r="L736" i="12843" s="1"/>
  <c r="L683" i="12843" s="1"/>
  <c r="J566" i="12843"/>
  <c r="J602" i="12843"/>
  <c r="L602" i="12843" s="1"/>
  <c r="L564" i="12843" s="1"/>
  <c r="J601" i="12843"/>
  <c r="L601" i="12843" s="1"/>
  <c r="L563" i="12843" s="1"/>
  <c r="L587" i="12843"/>
  <c r="L621" i="12843"/>
  <c r="L730" i="12843"/>
  <c r="L677" i="12843" s="1"/>
  <c r="J749" i="12843"/>
  <c r="L749" i="12843" s="1"/>
  <c r="L698" i="12843" s="1"/>
  <c r="L720" i="12843"/>
  <c r="L665" i="12843" s="1"/>
  <c r="J739" i="12843"/>
  <c r="L739" i="12843" s="1"/>
  <c r="L686" i="12843" s="1"/>
  <c r="J727" i="12843"/>
  <c r="J975" i="12843"/>
  <c r="L975" i="12843" s="1"/>
  <c r="L1014" i="12843" s="1"/>
  <c r="J956" i="12843"/>
  <c r="L956" i="12843" s="1"/>
  <c r="L1016" i="12843"/>
  <c r="J813" i="12843"/>
  <c r="L813" i="12843" s="1"/>
  <c r="L895" i="12843"/>
  <c r="J959" i="12843"/>
  <c r="L959" i="12843" s="1"/>
  <c r="J978" i="12843"/>
  <c r="L978" i="12843" s="1"/>
  <c r="L1017" i="12843" s="1"/>
  <c r="J737" i="12843"/>
  <c r="L737" i="12843" s="1"/>
  <c r="L684" i="12843" s="1"/>
  <c r="J818" i="12843"/>
  <c r="L818" i="12843" s="1"/>
  <c r="L900" i="12843"/>
  <c r="J778" i="12843"/>
  <c r="J955" i="12843"/>
  <c r="L955" i="12843" s="1"/>
  <c r="J960" i="12843"/>
  <c r="L960" i="12843" s="1"/>
  <c r="J984" i="12843"/>
  <c r="J974" i="12843"/>
  <c r="L974" i="12843" s="1"/>
  <c r="J979" i="12843"/>
  <c r="L979" i="12843" s="1"/>
  <c r="L1018" i="12843" s="1"/>
  <c r="J777" i="12843"/>
  <c r="L70" i="12843" l="1"/>
  <c r="L996" i="12843"/>
  <c r="L658" i="12843"/>
  <c r="L68" i="12843"/>
  <c r="L210" i="12843"/>
  <c r="J745" i="12843"/>
  <c r="L745" i="12843" s="1"/>
  <c r="L567" i="12843"/>
  <c r="L627" i="12843"/>
  <c r="L193" i="12843"/>
  <c r="L420" i="12843"/>
  <c r="L184" i="12843" s="1"/>
  <c r="L188" i="12843"/>
  <c r="L194" i="12843"/>
  <c r="L896" i="12843"/>
  <c r="J814" i="12843"/>
  <c r="L814" i="12843" s="1"/>
  <c r="J532" i="12843"/>
  <c r="L532" i="12843" s="1"/>
  <c r="L521" i="12843"/>
  <c r="L186" i="12843"/>
  <c r="L899" i="12843"/>
  <c r="J817" i="12843"/>
  <c r="L817" i="12843" s="1"/>
  <c r="J529" i="12843"/>
  <c r="L517" i="12843"/>
  <c r="L180" i="12843"/>
  <c r="L187" i="12843"/>
  <c r="L998" i="12843"/>
  <c r="L993" i="12843"/>
  <c r="L656" i="12843"/>
  <c r="L514" i="12843"/>
  <c r="J527" i="12843"/>
  <c r="L527" i="12843" s="1"/>
  <c r="J797" i="12843"/>
  <c r="L797" i="12843" s="1"/>
  <c r="L778" i="12843"/>
  <c r="L411" i="12843"/>
  <c r="L171" i="12843" s="1"/>
  <c r="L1013" i="12843"/>
  <c r="L549" i="12843"/>
  <c r="J796" i="12843"/>
  <c r="L796" i="12843" s="1"/>
  <c r="L777" i="12843"/>
  <c r="L671" i="12843" s="1"/>
  <c r="L727" i="12843"/>
  <c r="J746" i="12843"/>
  <c r="L746" i="12843" s="1"/>
  <c r="L212" i="12843"/>
  <c r="L177" i="12843" s="1"/>
  <c r="L323" i="12843"/>
  <c r="L175" i="12843" s="1"/>
  <c r="L176" i="12843"/>
  <c r="F676" i="12843"/>
  <c r="F675" i="12843"/>
  <c r="I654" i="12843"/>
  <c r="F654" i="12843"/>
  <c r="L654" i="12843" s="1"/>
  <c r="I501" i="12843"/>
  <c r="F501" i="12843"/>
  <c r="L501" i="12843" s="1"/>
  <c r="F500" i="12843"/>
  <c r="F499" i="12843"/>
  <c r="I498" i="12843"/>
  <c r="F498" i="12843"/>
  <c r="L498" i="12843" s="1"/>
  <c r="I497" i="12843"/>
  <c r="F497" i="12843"/>
  <c r="I126" i="12843"/>
  <c r="I125" i="12843"/>
  <c r="F126" i="12843"/>
  <c r="L126" i="12843" s="1"/>
  <c r="F128" i="12843"/>
  <c r="F127" i="12843"/>
  <c r="F125" i="12843"/>
  <c r="L125" i="12843" s="1"/>
  <c r="L994" i="12843" l="1"/>
  <c r="L997" i="12843"/>
  <c r="L692" i="12843"/>
  <c r="L672" i="12843"/>
  <c r="L555" i="12843"/>
  <c r="L529" i="12843"/>
  <c r="J537" i="12843"/>
  <c r="L537" i="12843" s="1"/>
  <c r="J536" i="12843"/>
  <c r="L536" i="12843" s="1"/>
  <c r="L693" i="12843"/>
  <c r="B24" i="12882"/>
  <c r="F129" i="12843"/>
  <c r="F131" i="12843" s="1"/>
  <c r="F502" i="12843"/>
  <c r="F504" i="12843" s="1"/>
  <c r="L497" i="12843"/>
  <c r="O19" i="12881"/>
  <c r="O18" i="12881"/>
  <c r="O19" i="12791"/>
  <c r="O18" i="12791"/>
  <c r="O18" i="12772"/>
  <c r="O19" i="12772"/>
  <c r="O17" i="12791"/>
  <c r="P19" i="12791"/>
  <c r="O17" i="12881"/>
  <c r="P19" i="12881"/>
  <c r="P19" i="12772"/>
  <c r="O17" i="12772"/>
  <c r="B25" i="12882" l="1"/>
  <c r="B26" i="12882" s="1"/>
  <c r="F1066" i="12843"/>
  <c r="C1018" i="12843"/>
  <c r="C998" i="12843"/>
  <c r="D979" i="12843"/>
  <c r="F979" i="12843" s="1"/>
  <c r="D983" i="12843"/>
  <c r="D982" i="12843"/>
  <c r="F982" i="12843" s="1"/>
  <c r="D960" i="12843"/>
  <c r="F960" i="12843" s="1"/>
  <c r="D964" i="12843"/>
  <c r="D963" i="12843"/>
  <c r="F963" i="12843" s="1"/>
  <c r="D919" i="12843"/>
  <c r="F919" i="12843" s="1"/>
  <c r="D923" i="12843"/>
  <c r="D922" i="12843"/>
  <c r="D900" i="12843"/>
  <c r="F900" i="12843" s="1"/>
  <c r="D904" i="12843"/>
  <c r="D903" i="12843"/>
  <c r="C572" i="12843"/>
  <c r="C571" i="12843"/>
  <c r="C827" i="12843"/>
  <c r="F1092" i="12843"/>
  <c r="F998" i="12843" l="1"/>
  <c r="F1018" i="12843"/>
  <c r="F1093" i="12843"/>
  <c r="F1078" i="12843" s="1"/>
  <c r="F1037" i="12843"/>
  <c r="D818" i="12843"/>
  <c r="F818" i="12843" s="1"/>
  <c r="B27" i="12882" l="1"/>
  <c r="B28" i="12882" s="1"/>
  <c r="B29" i="12882" s="1"/>
  <c r="B32" i="12882" s="1"/>
  <c r="B35" i="12882" s="1"/>
  <c r="B36" i="12882" s="1"/>
  <c r="D822" i="12843"/>
  <c r="D821" i="12843"/>
  <c r="B37" i="12882" l="1"/>
  <c r="B40" i="12882" s="1"/>
  <c r="B42" i="12882" s="1"/>
  <c r="T19" i="12791"/>
  <c r="S19" i="12881"/>
  <c r="S19" i="12772"/>
  <c r="M10" i="12833" l="1"/>
  <c r="U14" i="12771" l="1"/>
  <c r="O19" i="12770"/>
  <c r="U23" i="12769"/>
  <c r="M9" i="12833"/>
  <c r="O20" i="12770" l="1"/>
  <c r="U22" i="12769"/>
  <c r="U21" i="12769"/>
  <c r="E25" i="12791" l="1"/>
  <c r="O1008" i="12766" l="1"/>
  <c r="K1008" i="12766"/>
  <c r="O1003" i="12766"/>
  <c r="D1003" i="12766"/>
  <c r="C1003" i="12766"/>
  <c r="C1000" i="12766"/>
  <c r="P999" i="12766"/>
  <c r="M999" i="12766"/>
  <c r="K999" i="12766"/>
  <c r="H999" i="12766"/>
  <c r="G999" i="12766"/>
  <c r="D999" i="12766"/>
  <c r="C999" i="12766"/>
  <c r="P997" i="12766"/>
  <c r="M997" i="12766"/>
  <c r="K997" i="12766"/>
  <c r="H997" i="12766"/>
  <c r="G997" i="12766"/>
  <c r="D997" i="12766"/>
  <c r="C996" i="12766"/>
  <c r="G996" i="12766" s="1"/>
  <c r="C995" i="12766"/>
  <c r="G995" i="12766" s="1"/>
  <c r="P993" i="12766"/>
  <c r="M993" i="12766"/>
  <c r="G993" i="12766"/>
  <c r="D993" i="12766"/>
  <c r="K993" i="12766" s="1"/>
  <c r="P992" i="12766"/>
  <c r="M992" i="12766"/>
  <c r="G992" i="12766"/>
  <c r="D992" i="12766"/>
  <c r="K992" i="12766" s="1"/>
  <c r="M990" i="12766"/>
  <c r="G990" i="12766"/>
  <c r="D990" i="12766"/>
  <c r="K990" i="12766" s="1"/>
  <c r="M989" i="12766"/>
  <c r="G989" i="12766"/>
  <c r="D989" i="12766"/>
  <c r="K989" i="12766" s="1"/>
  <c r="M988" i="12766"/>
  <c r="G988" i="12766"/>
  <c r="D988" i="12766"/>
  <c r="K988" i="12766" s="1"/>
  <c r="M985" i="12766"/>
  <c r="G985" i="12766"/>
  <c r="D985" i="12766"/>
  <c r="K985" i="12766" s="1"/>
  <c r="M984" i="12766"/>
  <c r="G984" i="12766"/>
  <c r="D984" i="12766"/>
  <c r="K984" i="12766" s="1"/>
  <c r="M982" i="12766"/>
  <c r="G982" i="12766"/>
  <c r="D982" i="12766"/>
  <c r="K982" i="12766" s="1"/>
  <c r="M981" i="12766"/>
  <c r="G981" i="12766"/>
  <c r="D981" i="12766"/>
  <c r="K981" i="12766" s="1"/>
  <c r="C981" i="12766"/>
  <c r="G980" i="12766"/>
  <c r="C980" i="12766"/>
  <c r="D980" i="12766" s="1"/>
  <c r="C977" i="12766"/>
  <c r="G977" i="12766" s="1"/>
  <c r="C976" i="12766"/>
  <c r="G974" i="12766"/>
  <c r="D974" i="12766"/>
  <c r="C974" i="12766"/>
  <c r="G973" i="12766"/>
  <c r="C973" i="12766"/>
  <c r="D973" i="12766" s="1"/>
  <c r="C972" i="12766"/>
  <c r="G972" i="12766" s="1"/>
  <c r="O966" i="12766"/>
  <c r="O967" i="12766" s="1"/>
  <c r="D966" i="12766"/>
  <c r="D964" i="12766"/>
  <c r="M963" i="12766"/>
  <c r="K963" i="12766"/>
  <c r="H963" i="12766"/>
  <c r="C963" i="12766"/>
  <c r="C964" i="12766" s="1"/>
  <c r="C966" i="12766" s="1"/>
  <c r="C962" i="12766"/>
  <c r="M961" i="12766"/>
  <c r="K961" i="12766"/>
  <c r="H961" i="12766"/>
  <c r="G961" i="12766"/>
  <c r="M960" i="12766"/>
  <c r="K960" i="12766"/>
  <c r="K964" i="12766" s="1"/>
  <c r="K966" i="12766" s="1"/>
  <c r="P967" i="12766" s="1"/>
  <c r="H960" i="12766"/>
  <c r="H964" i="12766" s="1"/>
  <c r="H966" i="12766" s="1"/>
  <c r="G960" i="12766"/>
  <c r="D955" i="12766"/>
  <c r="C952" i="12766"/>
  <c r="I951" i="12766"/>
  <c r="E951" i="12766"/>
  <c r="C951" i="12766"/>
  <c r="C953" i="12766" s="1"/>
  <c r="I950" i="12766"/>
  <c r="G950" i="12766"/>
  <c r="K949" i="12766"/>
  <c r="D944" i="12766"/>
  <c r="C941" i="12766"/>
  <c r="C930" i="12766" s="1"/>
  <c r="E940" i="12766"/>
  <c r="C940" i="12766"/>
  <c r="G940" i="12766" s="1"/>
  <c r="I939" i="12766"/>
  <c r="I940" i="12766" s="1"/>
  <c r="G939" i="12766"/>
  <c r="C939" i="12766"/>
  <c r="K938" i="12766"/>
  <c r="O933" i="12766"/>
  <c r="K932" i="12766"/>
  <c r="H932" i="12766"/>
  <c r="G932" i="12766"/>
  <c r="D932" i="12766"/>
  <c r="D933" i="12766" s="1"/>
  <c r="C932" i="12766"/>
  <c r="D931" i="12766"/>
  <c r="D930" i="12766"/>
  <c r="I929" i="12766"/>
  <c r="E929" i="12766"/>
  <c r="G928" i="12766"/>
  <c r="C928" i="12766"/>
  <c r="M927" i="12766"/>
  <c r="K927" i="12766"/>
  <c r="H927" i="12766"/>
  <c r="G927" i="12766"/>
  <c r="O922" i="12766"/>
  <c r="D922" i="12766"/>
  <c r="C920" i="12766"/>
  <c r="D918" i="12766" s="1"/>
  <c r="C919" i="12766"/>
  <c r="G918" i="12766"/>
  <c r="C917" i="12766"/>
  <c r="G917" i="12766" s="1"/>
  <c r="G920" i="12766" s="1"/>
  <c r="G922" i="12766" s="1"/>
  <c r="M916" i="12766"/>
  <c r="K916" i="12766"/>
  <c r="O911" i="12766"/>
  <c r="D911" i="12766"/>
  <c r="C911" i="12766"/>
  <c r="C908" i="12766"/>
  <c r="G907" i="12766"/>
  <c r="C907" i="12766"/>
  <c r="D907" i="12766" s="1"/>
  <c r="C906" i="12766"/>
  <c r="G906" i="12766" s="1"/>
  <c r="K905" i="12766"/>
  <c r="D905" i="12766"/>
  <c r="H905" i="12766" s="1"/>
  <c r="C905" i="12766"/>
  <c r="G905" i="12766" s="1"/>
  <c r="M904" i="12766"/>
  <c r="G904" i="12766"/>
  <c r="G909" i="12766" s="1"/>
  <c r="G911" i="12766" s="1"/>
  <c r="D904" i="12766"/>
  <c r="K904" i="12766" s="1"/>
  <c r="C904" i="12766"/>
  <c r="I895" i="12766"/>
  <c r="G895" i="12766"/>
  <c r="K894" i="12766"/>
  <c r="I894" i="12766"/>
  <c r="H894" i="12766"/>
  <c r="G894" i="12766"/>
  <c r="G893" i="12766"/>
  <c r="E893" i="12766"/>
  <c r="E892" i="12766"/>
  <c r="G891" i="12766"/>
  <c r="E891" i="12766"/>
  <c r="E890" i="12766"/>
  <c r="H889" i="12766"/>
  <c r="G889" i="12766"/>
  <c r="E889" i="12766"/>
  <c r="H888" i="12766"/>
  <c r="E888" i="12766"/>
  <c r="G888" i="12766" s="1"/>
  <c r="E887" i="12766"/>
  <c r="H887" i="12766" s="1"/>
  <c r="I886" i="12766"/>
  <c r="I885" i="12766"/>
  <c r="I893" i="12766" s="1"/>
  <c r="G885" i="12766"/>
  <c r="I884" i="12766"/>
  <c r="C884" i="12766"/>
  <c r="G884" i="12766" s="1"/>
  <c r="I882" i="12766"/>
  <c r="I891" i="12766" s="1"/>
  <c r="G882" i="12766"/>
  <c r="I881" i="12766"/>
  <c r="G881" i="12766"/>
  <c r="I880" i="12766"/>
  <c r="I889" i="12766" s="1"/>
  <c r="K889" i="12766" s="1"/>
  <c r="H880" i="12766"/>
  <c r="G880" i="12766"/>
  <c r="C879" i="12766"/>
  <c r="K878" i="12766"/>
  <c r="I878" i="12766"/>
  <c r="I888" i="12766" s="1"/>
  <c r="K888" i="12766" s="1"/>
  <c r="H878" i="12766"/>
  <c r="G878" i="12766"/>
  <c r="I877" i="12766"/>
  <c r="H877" i="12766"/>
  <c r="G877" i="12766"/>
  <c r="C869" i="12766"/>
  <c r="D863" i="12766" s="1"/>
  <c r="I868" i="12766"/>
  <c r="G868" i="12766"/>
  <c r="D868" i="12766"/>
  <c r="C868" i="12766"/>
  <c r="I867" i="12766"/>
  <c r="K867" i="12766" s="1"/>
  <c r="H867" i="12766"/>
  <c r="C867" i="12766"/>
  <c r="G867" i="12766" s="1"/>
  <c r="I866" i="12766"/>
  <c r="E866" i="12766"/>
  <c r="C866" i="12766"/>
  <c r="H865" i="12766"/>
  <c r="E865" i="12766"/>
  <c r="G865" i="12766" s="1"/>
  <c r="D865" i="12766"/>
  <c r="C865" i="12766"/>
  <c r="G864" i="12766"/>
  <c r="E864" i="12766"/>
  <c r="C864" i="12766"/>
  <c r="C808" i="12766" s="1"/>
  <c r="E863" i="12766"/>
  <c r="C863" i="12766"/>
  <c r="E862" i="12766"/>
  <c r="D862" i="12766"/>
  <c r="H861" i="12766"/>
  <c r="G861" i="12766"/>
  <c r="E861" i="12766"/>
  <c r="H860" i="12766"/>
  <c r="E860" i="12766"/>
  <c r="G860" i="12766" s="1"/>
  <c r="I859" i="12766"/>
  <c r="I858" i="12766"/>
  <c r="G858" i="12766"/>
  <c r="D858" i="12766"/>
  <c r="C858" i="12766"/>
  <c r="I857" i="12766"/>
  <c r="C857" i="12766"/>
  <c r="G857" i="12766" s="1"/>
  <c r="G801" i="12766" s="1"/>
  <c r="I855" i="12766"/>
  <c r="I864" i="12766" s="1"/>
  <c r="G855" i="12766"/>
  <c r="C855" i="12766"/>
  <c r="I854" i="12766"/>
  <c r="I863" i="12766" s="1"/>
  <c r="C854" i="12766"/>
  <c r="G854" i="12766" s="1"/>
  <c r="I853" i="12766"/>
  <c r="I862" i="12766" s="1"/>
  <c r="G853" i="12766"/>
  <c r="D853" i="12766"/>
  <c r="C853" i="12766"/>
  <c r="D852" i="12766"/>
  <c r="K851" i="12766"/>
  <c r="I851" i="12766"/>
  <c r="I861" i="12766" s="1"/>
  <c r="K861" i="12766" s="1"/>
  <c r="H851" i="12766"/>
  <c r="C851" i="12766"/>
  <c r="I850" i="12766"/>
  <c r="K850" i="12766" s="1"/>
  <c r="H850" i="12766"/>
  <c r="G850" i="12766"/>
  <c r="C850" i="12766"/>
  <c r="I840" i="12766"/>
  <c r="C840" i="12766"/>
  <c r="G840" i="12766" s="1"/>
  <c r="G812" i="12766" s="1"/>
  <c r="G784" i="12766" s="1"/>
  <c r="I839" i="12766"/>
  <c r="K839" i="12766" s="1"/>
  <c r="H839" i="12766"/>
  <c r="G839" i="12766"/>
  <c r="G811" i="12766" s="1"/>
  <c r="G783" i="12766" s="1"/>
  <c r="C839" i="12766"/>
  <c r="I838" i="12766"/>
  <c r="E838" i="12766"/>
  <c r="G838" i="12766" s="1"/>
  <c r="C838" i="12766"/>
  <c r="E837" i="12766"/>
  <c r="C837" i="12766"/>
  <c r="G837" i="12766" s="1"/>
  <c r="G809" i="12766" s="1"/>
  <c r="G836" i="12766"/>
  <c r="E836" i="12766"/>
  <c r="C836" i="12766"/>
  <c r="D836" i="12766" s="1"/>
  <c r="I835" i="12766"/>
  <c r="E835" i="12766"/>
  <c r="G834" i="12766"/>
  <c r="E834" i="12766"/>
  <c r="K833" i="12766"/>
  <c r="K805" i="12766" s="1"/>
  <c r="K777" i="12766" s="1"/>
  <c r="E833" i="12766"/>
  <c r="H833" i="12766" s="1"/>
  <c r="H805" i="12766" s="1"/>
  <c r="G832" i="12766"/>
  <c r="G804" i="12766" s="1"/>
  <c r="E832" i="12766"/>
  <c r="H832" i="12766" s="1"/>
  <c r="H804" i="12766" s="1"/>
  <c r="H776" i="12766" s="1"/>
  <c r="I831" i="12766"/>
  <c r="I830" i="12766"/>
  <c r="C830" i="12766"/>
  <c r="I829" i="12766"/>
  <c r="I837" i="12766" s="1"/>
  <c r="G829" i="12766"/>
  <c r="D829" i="12766"/>
  <c r="C829" i="12766"/>
  <c r="C841" i="12766" s="1"/>
  <c r="I827" i="12766"/>
  <c r="C827" i="12766"/>
  <c r="G827" i="12766" s="1"/>
  <c r="I826" i="12766"/>
  <c r="G826" i="12766"/>
  <c r="C826" i="12766"/>
  <c r="I825" i="12766"/>
  <c r="I834" i="12766" s="1"/>
  <c r="C825" i="12766"/>
  <c r="D824" i="12766"/>
  <c r="I823" i="12766"/>
  <c r="I833" i="12766" s="1"/>
  <c r="H823" i="12766"/>
  <c r="H795" i="12766" s="1"/>
  <c r="H767" i="12766" s="1"/>
  <c r="G823" i="12766"/>
  <c r="I822" i="12766"/>
  <c r="H822" i="12766"/>
  <c r="G822" i="12766"/>
  <c r="C822" i="12766"/>
  <c r="C824" i="12766" s="1"/>
  <c r="K814" i="12766"/>
  <c r="H814" i="12766"/>
  <c r="G814" i="12766"/>
  <c r="D814" i="12766"/>
  <c r="C814" i="12766"/>
  <c r="C786" i="12766" s="1"/>
  <c r="D813" i="12766"/>
  <c r="I812" i="12766"/>
  <c r="C812" i="12766"/>
  <c r="C784" i="12766" s="1"/>
  <c r="I811" i="12766"/>
  <c r="H811" i="12766"/>
  <c r="D811" i="12766"/>
  <c r="D783" i="12766" s="1"/>
  <c r="C811" i="12766"/>
  <c r="I810" i="12766"/>
  <c r="E810" i="12766"/>
  <c r="C810" i="12766"/>
  <c r="C782" i="12766" s="1"/>
  <c r="E809" i="12766"/>
  <c r="C809" i="12766"/>
  <c r="G808" i="12766"/>
  <c r="E808" i="12766"/>
  <c r="I807" i="12766"/>
  <c r="E807" i="12766"/>
  <c r="C807" i="12766"/>
  <c r="E806" i="12766"/>
  <c r="C806" i="12766"/>
  <c r="E805" i="12766"/>
  <c r="D805" i="12766"/>
  <c r="C805" i="12766"/>
  <c r="E804" i="12766"/>
  <c r="D804" i="12766"/>
  <c r="C804" i="12766"/>
  <c r="I803" i="12766"/>
  <c r="I802" i="12766"/>
  <c r="I801" i="12766"/>
  <c r="C801" i="12766"/>
  <c r="I799" i="12766"/>
  <c r="I808" i="12766" s="1"/>
  <c r="G799" i="12766"/>
  <c r="C799" i="12766"/>
  <c r="I798" i="12766"/>
  <c r="C798" i="12766"/>
  <c r="C770" i="12766" s="1"/>
  <c r="I797" i="12766"/>
  <c r="I806" i="12766" s="1"/>
  <c r="I795" i="12766"/>
  <c r="I805" i="12766" s="1"/>
  <c r="D795" i="12766"/>
  <c r="I794" i="12766"/>
  <c r="I804" i="12766" s="1"/>
  <c r="G794" i="12766"/>
  <c r="D794" i="12766"/>
  <c r="D796" i="12766" s="1"/>
  <c r="C794" i="12766"/>
  <c r="O787" i="12766"/>
  <c r="K786" i="12766"/>
  <c r="H786" i="12766"/>
  <c r="G786" i="12766"/>
  <c r="D786" i="12766"/>
  <c r="D785" i="12766"/>
  <c r="O783" i="12766"/>
  <c r="M783" i="12766"/>
  <c r="H783" i="12766"/>
  <c r="C783" i="12766"/>
  <c r="I782" i="12766"/>
  <c r="E782" i="12766"/>
  <c r="I781" i="12766"/>
  <c r="E781" i="12766"/>
  <c r="I780" i="12766"/>
  <c r="G780" i="12766"/>
  <c r="E780" i="12766"/>
  <c r="C780" i="12766"/>
  <c r="I779" i="12766"/>
  <c r="E779" i="12766"/>
  <c r="C779" i="12766"/>
  <c r="I778" i="12766"/>
  <c r="E778" i="12766"/>
  <c r="C778" i="12766"/>
  <c r="M777" i="12766"/>
  <c r="I777" i="12766"/>
  <c r="H777" i="12766"/>
  <c r="E777" i="12766"/>
  <c r="D777" i="12766"/>
  <c r="C777" i="12766"/>
  <c r="I776" i="12766"/>
  <c r="E776" i="12766"/>
  <c r="D776" i="12766"/>
  <c r="M776" i="12766" s="1"/>
  <c r="C776" i="12766"/>
  <c r="O774" i="12766"/>
  <c r="O773" i="12766"/>
  <c r="G773" i="12766"/>
  <c r="C773" i="12766"/>
  <c r="O771" i="12766"/>
  <c r="G771" i="12766"/>
  <c r="C771" i="12766"/>
  <c r="S770" i="12766"/>
  <c r="O770" i="12766"/>
  <c r="S769" i="12766"/>
  <c r="O769" i="12766"/>
  <c r="S767" i="12766"/>
  <c r="R767" i="12766"/>
  <c r="O767" i="12766"/>
  <c r="D767" i="12766"/>
  <c r="S766" i="12766"/>
  <c r="R766" i="12766"/>
  <c r="O766" i="12766"/>
  <c r="M766" i="12766"/>
  <c r="G766" i="12766"/>
  <c r="D766" i="12766"/>
  <c r="C766" i="12766"/>
  <c r="O760" i="12766"/>
  <c r="C758" i="12766"/>
  <c r="C755" i="12766"/>
  <c r="M754" i="12766"/>
  <c r="K754" i="12766"/>
  <c r="I754" i="12766"/>
  <c r="G754" i="12766"/>
  <c r="E754" i="12766"/>
  <c r="H754" i="12766" s="1"/>
  <c r="K753" i="12766"/>
  <c r="I753" i="12766"/>
  <c r="M753" i="12766" s="1"/>
  <c r="H753" i="12766"/>
  <c r="E753" i="12766"/>
  <c r="G753" i="12766" s="1"/>
  <c r="E752" i="12766"/>
  <c r="C749" i="12766"/>
  <c r="C747" i="12766"/>
  <c r="I746" i="12766"/>
  <c r="M746" i="12766" s="1"/>
  <c r="I745" i="12766"/>
  <c r="E745" i="12766"/>
  <c r="M744" i="12766"/>
  <c r="K744" i="12766"/>
  <c r="H744" i="12766"/>
  <c r="G744" i="12766"/>
  <c r="I743" i="12766"/>
  <c r="I752" i="12766" s="1"/>
  <c r="E743" i="12766"/>
  <c r="G743" i="12766" s="1"/>
  <c r="C743" i="12766"/>
  <c r="E742" i="12766"/>
  <c r="E757" i="12766" s="1"/>
  <c r="G757" i="12766" s="1"/>
  <c r="C742" i="12766"/>
  <c r="G742" i="12766" s="1"/>
  <c r="I740" i="12766"/>
  <c r="I755" i="12766" s="1"/>
  <c r="E740" i="12766"/>
  <c r="E755" i="12766" s="1"/>
  <c r="C740" i="12766"/>
  <c r="G740" i="12766" s="1"/>
  <c r="K739" i="12766"/>
  <c r="I739" i="12766"/>
  <c r="M739" i="12766" s="1"/>
  <c r="H739" i="12766"/>
  <c r="E739" i="12766"/>
  <c r="G739" i="12766" s="1"/>
  <c r="I738" i="12766"/>
  <c r="I748" i="12766" s="1"/>
  <c r="E738" i="12766"/>
  <c r="C738" i="12766"/>
  <c r="I737" i="12766"/>
  <c r="E737" i="12766"/>
  <c r="D737" i="12766"/>
  <c r="C737" i="12766"/>
  <c r="M736" i="12766"/>
  <c r="K736" i="12766"/>
  <c r="I736" i="12766"/>
  <c r="I747" i="12766" s="1"/>
  <c r="G736" i="12766"/>
  <c r="E736" i="12766"/>
  <c r="H736" i="12766" s="1"/>
  <c r="K735" i="12766"/>
  <c r="I735" i="12766"/>
  <c r="M735" i="12766" s="1"/>
  <c r="H735" i="12766"/>
  <c r="G735" i="12766"/>
  <c r="E735" i="12766"/>
  <c r="E746" i="12766" s="1"/>
  <c r="D729" i="12766"/>
  <c r="C727" i="12766"/>
  <c r="D721" i="12766" s="1"/>
  <c r="I726" i="12766"/>
  <c r="D726" i="12766"/>
  <c r="C726" i="12766"/>
  <c r="G726" i="12766" s="1"/>
  <c r="I725" i="12766"/>
  <c r="K725" i="12766" s="1"/>
  <c r="H725" i="12766"/>
  <c r="C725" i="12766"/>
  <c r="G725" i="12766" s="1"/>
  <c r="G623" i="12766" s="1"/>
  <c r="E724" i="12766"/>
  <c r="G723" i="12766"/>
  <c r="G621" i="12766" s="1"/>
  <c r="E723" i="12766"/>
  <c r="C723" i="12766"/>
  <c r="E721" i="12766"/>
  <c r="G718" i="12766"/>
  <c r="E718" i="12766"/>
  <c r="H718" i="12766" s="1"/>
  <c r="G717" i="12766"/>
  <c r="E717" i="12766"/>
  <c r="H717" i="12766" s="1"/>
  <c r="I716" i="12766"/>
  <c r="E716" i="12766"/>
  <c r="G716" i="12766" s="1"/>
  <c r="G715" i="12766"/>
  <c r="E715" i="12766"/>
  <c r="H714" i="12766"/>
  <c r="G714" i="12766"/>
  <c r="E714" i="12766"/>
  <c r="D714" i="12766"/>
  <c r="E712" i="12766"/>
  <c r="I711" i="12766"/>
  <c r="K711" i="12766" s="1"/>
  <c r="H711" i="12766"/>
  <c r="E711" i="12766"/>
  <c r="G711" i="12766" s="1"/>
  <c r="I710" i="12766"/>
  <c r="K710" i="12766" s="1"/>
  <c r="E710" i="12766"/>
  <c r="H710" i="12766" s="1"/>
  <c r="E709" i="12766"/>
  <c r="H707" i="12766"/>
  <c r="G707" i="12766"/>
  <c r="E707" i="12766"/>
  <c r="I706" i="12766"/>
  <c r="I705" i="12766"/>
  <c r="K705" i="12766" s="1"/>
  <c r="D705" i="12766"/>
  <c r="H705" i="12766" s="1"/>
  <c r="C705" i="12766"/>
  <c r="G705" i="12766" s="1"/>
  <c r="I704" i="12766"/>
  <c r="G704" i="12766"/>
  <c r="C704" i="12766"/>
  <c r="E702" i="12766"/>
  <c r="D702" i="12766"/>
  <c r="C702" i="12766"/>
  <c r="G702" i="12766" s="1"/>
  <c r="I701" i="12766"/>
  <c r="E701" i="12766"/>
  <c r="G701" i="12766" s="1"/>
  <c r="C701" i="12766"/>
  <c r="C599" i="12766" s="1"/>
  <c r="H699" i="12766"/>
  <c r="G699" i="12766"/>
  <c r="C699" i="12766"/>
  <c r="H698" i="12766"/>
  <c r="H596" i="12766" s="1"/>
  <c r="C698" i="12766"/>
  <c r="G698" i="12766" s="1"/>
  <c r="I697" i="12766"/>
  <c r="C697" i="12766"/>
  <c r="G697" i="12766" s="1"/>
  <c r="G595" i="12766" s="1"/>
  <c r="I696" i="12766"/>
  <c r="I715" i="12766" s="1"/>
  <c r="G696" i="12766"/>
  <c r="C696" i="12766"/>
  <c r="D695" i="12766"/>
  <c r="H695" i="12766" s="1"/>
  <c r="C695" i="12766"/>
  <c r="G695" i="12766" s="1"/>
  <c r="G593" i="12766" s="1"/>
  <c r="I693" i="12766"/>
  <c r="I712" i="12766" s="1"/>
  <c r="G693" i="12766"/>
  <c r="C693" i="12766"/>
  <c r="C691" i="12766"/>
  <c r="C690" i="12766"/>
  <c r="K688" i="12766"/>
  <c r="I688" i="12766"/>
  <c r="H688" i="12766"/>
  <c r="H586" i="12766" s="1"/>
  <c r="G688" i="12766"/>
  <c r="C688" i="12766"/>
  <c r="K687" i="12766"/>
  <c r="I687" i="12766"/>
  <c r="H687" i="12766"/>
  <c r="G687" i="12766"/>
  <c r="C687" i="12766"/>
  <c r="K686" i="12766"/>
  <c r="I686" i="12766"/>
  <c r="I709" i="12766" s="1"/>
  <c r="K709" i="12766" s="1"/>
  <c r="H686" i="12766"/>
  <c r="G686" i="12766"/>
  <c r="C686" i="12766"/>
  <c r="C689" i="12766" s="1"/>
  <c r="I684" i="12766"/>
  <c r="I707" i="12766" s="1"/>
  <c r="K707" i="12766" s="1"/>
  <c r="H684" i="12766"/>
  <c r="G684" i="12766"/>
  <c r="D678" i="12766"/>
  <c r="I675" i="12766"/>
  <c r="G675" i="12766"/>
  <c r="I674" i="12766"/>
  <c r="K674" i="12766" s="1"/>
  <c r="K623" i="12766" s="1"/>
  <c r="H674" i="12766"/>
  <c r="G674" i="12766"/>
  <c r="G673" i="12766"/>
  <c r="E673" i="12766"/>
  <c r="G672" i="12766"/>
  <c r="E672" i="12766"/>
  <c r="E670" i="12766"/>
  <c r="G667" i="12766"/>
  <c r="E667" i="12766"/>
  <c r="H667" i="12766" s="1"/>
  <c r="H616" i="12766" s="1"/>
  <c r="G666" i="12766"/>
  <c r="G615" i="12766" s="1"/>
  <c r="E666" i="12766"/>
  <c r="H666" i="12766" s="1"/>
  <c r="G665" i="12766"/>
  <c r="G614" i="12766" s="1"/>
  <c r="E665" i="12766"/>
  <c r="G664" i="12766"/>
  <c r="E664" i="12766"/>
  <c r="D664" i="12766"/>
  <c r="G663" i="12766"/>
  <c r="E663" i="12766"/>
  <c r="I661" i="12766"/>
  <c r="K661" i="12766" s="1"/>
  <c r="E661" i="12766"/>
  <c r="E660" i="12766"/>
  <c r="H659" i="12766"/>
  <c r="G659" i="12766"/>
  <c r="E659" i="12766"/>
  <c r="H658" i="12766"/>
  <c r="E658" i="12766"/>
  <c r="G658" i="12766" s="1"/>
  <c r="K656" i="12766"/>
  <c r="K605" i="12766" s="1"/>
  <c r="G656" i="12766"/>
  <c r="E656" i="12766"/>
  <c r="H656" i="12766" s="1"/>
  <c r="I655" i="12766"/>
  <c r="I654" i="12766"/>
  <c r="G654" i="12766"/>
  <c r="C654" i="12766"/>
  <c r="I653" i="12766"/>
  <c r="C653" i="12766"/>
  <c r="C676" i="12766" s="1"/>
  <c r="E651" i="12766"/>
  <c r="C651" i="12766"/>
  <c r="C600" i="12766" s="1"/>
  <c r="E650" i="12766"/>
  <c r="C650" i="12766"/>
  <c r="H648" i="12766"/>
  <c r="G648" i="12766"/>
  <c r="C648" i="12766"/>
  <c r="H647" i="12766"/>
  <c r="G647" i="12766"/>
  <c r="C647" i="12766"/>
  <c r="I646" i="12766"/>
  <c r="K646" i="12766" s="1"/>
  <c r="H646" i="12766"/>
  <c r="G646" i="12766"/>
  <c r="C646" i="12766"/>
  <c r="I645" i="12766"/>
  <c r="H645" i="12766"/>
  <c r="C645" i="12766"/>
  <c r="G645" i="12766" s="1"/>
  <c r="I644" i="12766"/>
  <c r="H644" i="12766"/>
  <c r="C644" i="12766"/>
  <c r="G644" i="12766" s="1"/>
  <c r="K642" i="12766"/>
  <c r="I642" i="12766"/>
  <c r="I650" i="12766" s="1"/>
  <c r="H642" i="12766"/>
  <c r="C642" i="12766"/>
  <c r="G642" i="12766" s="1"/>
  <c r="C640" i="12766"/>
  <c r="C639" i="12766"/>
  <c r="K637" i="12766"/>
  <c r="I637" i="12766"/>
  <c r="I660" i="12766" s="1"/>
  <c r="K660" i="12766" s="1"/>
  <c r="K609" i="12766" s="1"/>
  <c r="H637" i="12766"/>
  <c r="C637" i="12766"/>
  <c r="G637" i="12766" s="1"/>
  <c r="I636" i="12766"/>
  <c r="K636" i="12766" s="1"/>
  <c r="H636" i="12766"/>
  <c r="G636" i="12766"/>
  <c r="C636" i="12766"/>
  <c r="K635" i="12766"/>
  <c r="I635" i="12766"/>
  <c r="I658" i="12766" s="1"/>
  <c r="K658" i="12766" s="1"/>
  <c r="H635" i="12766"/>
  <c r="G635" i="12766"/>
  <c r="C635" i="12766"/>
  <c r="K633" i="12766"/>
  <c r="I633" i="12766"/>
  <c r="I656" i="12766" s="1"/>
  <c r="H633" i="12766"/>
  <c r="G633" i="12766"/>
  <c r="C633" i="12766"/>
  <c r="O627" i="12766"/>
  <c r="K626" i="12766"/>
  <c r="H626" i="12766"/>
  <c r="G626" i="12766"/>
  <c r="D626" i="12766"/>
  <c r="C626" i="12766"/>
  <c r="D625" i="12766"/>
  <c r="D627" i="12766" s="1"/>
  <c r="G624" i="12766"/>
  <c r="C624" i="12766"/>
  <c r="M623" i="12766"/>
  <c r="H623" i="12766"/>
  <c r="D623" i="12766"/>
  <c r="C623" i="12766"/>
  <c r="I622" i="12766"/>
  <c r="E622" i="12766"/>
  <c r="C622" i="12766"/>
  <c r="I621" i="12766"/>
  <c r="E621" i="12766"/>
  <c r="C621" i="12766"/>
  <c r="C619" i="12766"/>
  <c r="C618" i="12766"/>
  <c r="G616" i="12766"/>
  <c r="E616" i="12766"/>
  <c r="D616" i="12766"/>
  <c r="C616" i="12766"/>
  <c r="H615" i="12766"/>
  <c r="E615" i="12766"/>
  <c r="D615" i="12766"/>
  <c r="C615" i="12766"/>
  <c r="I614" i="12766"/>
  <c r="E614" i="12766"/>
  <c r="C614" i="12766"/>
  <c r="I613" i="12766"/>
  <c r="G613" i="12766"/>
  <c r="E613" i="12766"/>
  <c r="C613" i="12766"/>
  <c r="G612" i="12766"/>
  <c r="E612" i="12766"/>
  <c r="C612" i="12766"/>
  <c r="I610" i="12766"/>
  <c r="E610" i="12766"/>
  <c r="C610" i="12766"/>
  <c r="I609" i="12766"/>
  <c r="M609" i="12766" s="1"/>
  <c r="E609" i="12766"/>
  <c r="D609" i="12766"/>
  <c r="C609" i="12766"/>
  <c r="I608" i="12766"/>
  <c r="M608" i="12766" s="1"/>
  <c r="H608" i="12766"/>
  <c r="E608" i="12766"/>
  <c r="D608" i="12766"/>
  <c r="C608" i="12766"/>
  <c r="I607" i="12766"/>
  <c r="E607" i="12766"/>
  <c r="D607" i="12766"/>
  <c r="M607" i="12766" s="1"/>
  <c r="C607" i="12766"/>
  <c r="M605" i="12766"/>
  <c r="I605" i="12766"/>
  <c r="H605" i="12766"/>
  <c r="G605" i="12766"/>
  <c r="E605" i="12766"/>
  <c r="D605" i="12766"/>
  <c r="C605" i="12766"/>
  <c r="O603" i="12766"/>
  <c r="G603" i="12766"/>
  <c r="C603" i="12766"/>
  <c r="O602" i="12766"/>
  <c r="C602" i="12766"/>
  <c r="I600" i="12766"/>
  <c r="E600" i="12766"/>
  <c r="E619" i="12766" s="1"/>
  <c r="I599" i="12766"/>
  <c r="E599" i="12766"/>
  <c r="E618" i="12766" s="1"/>
  <c r="O597" i="12766"/>
  <c r="I597" i="12766"/>
  <c r="I616" i="12766" s="1"/>
  <c r="M616" i="12766" s="1"/>
  <c r="H597" i="12766"/>
  <c r="G597" i="12766"/>
  <c r="D597" i="12766"/>
  <c r="C597" i="12766"/>
  <c r="O596" i="12766"/>
  <c r="I596" i="12766"/>
  <c r="G596" i="12766"/>
  <c r="D596" i="12766"/>
  <c r="C596" i="12766"/>
  <c r="O595" i="12766"/>
  <c r="C595" i="12766"/>
  <c r="O594" i="12766"/>
  <c r="G594" i="12766"/>
  <c r="C594" i="12766"/>
  <c r="M593" i="12766"/>
  <c r="I593" i="12766"/>
  <c r="I612" i="12766" s="1"/>
  <c r="H593" i="12766"/>
  <c r="E593" i="12766"/>
  <c r="D593" i="12766"/>
  <c r="C593" i="12766"/>
  <c r="O591" i="12766"/>
  <c r="G591" i="12766"/>
  <c r="C591" i="12766"/>
  <c r="D589" i="12766"/>
  <c r="C589" i="12766"/>
  <c r="D588" i="12766"/>
  <c r="C588" i="12766"/>
  <c r="U587" i="12766"/>
  <c r="D587" i="12766"/>
  <c r="O586" i="12766"/>
  <c r="M586" i="12766"/>
  <c r="K586" i="12766"/>
  <c r="D586" i="12766"/>
  <c r="C586" i="12766"/>
  <c r="O585" i="12766"/>
  <c r="M585" i="12766"/>
  <c r="K585" i="12766"/>
  <c r="H585" i="12766"/>
  <c r="G585" i="12766"/>
  <c r="D585" i="12766"/>
  <c r="C585" i="12766"/>
  <c r="K584" i="12766"/>
  <c r="H584" i="12766"/>
  <c r="G584" i="12766"/>
  <c r="D584" i="12766"/>
  <c r="M584" i="12766" s="1"/>
  <c r="C584" i="12766"/>
  <c r="U583" i="12766"/>
  <c r="U585" i="12766" s="1"/>
  <c r="T583" i="12766"/>
  <c r="S583" i="12766"/>
  <c r="S585" i="12766" s="1"/>
  <c r="R583" i="12766"/>
  <c r="U582" i="12766"/>
  <c r="T582" i="12766"/>
  <c r="S582" i="12766"/>
  <c r="R582" i="12766"/>
  <c r="H582" i="12766"/>
  <c r="G582" i="12766"/>
  <c r="D582" i="12766"/>
  <c r="M582" i="12766" s="1"/>
  <c r="C582" i="12766"/>
  <c r="C573" i="12766"/>
  <c r="G573" i="12766" s="1"/>
  <c r="K572" i="12766"/>
  <c r="I572" i="12766"/>
  <c r="H572" i="12766"/>
  <c r="C572" i="12766"/>
  <c r="G572" i="12766" s="1"/>
  <c r="G571" i="12766"/>
  <c r="E571" i="12766"/>
  <c r="C571" i="12766"/>
  <c r="G570" i="12766"/>
  <c r="E570" i="12766"/>
  <c r="C570" i="12766"/>
  <c r="I569" i="12766"/>
  <c r="E569" i="12766"/>
  <c r="C569" i="12766"/>
  <c r="E567" i="12766"/>
  <c r="C567" i="12766"/>
  <c r="I566" i="12766"/>
  <c r="G566" i="12766"/>
  <c r="E566" i="12766"/>
  <c r="G565" i="12766"/>
  <c r="E565" i="12766"/>
  <c r="C565" i="12766"/>
  <c r="E564" i="12766"/>
  <c r="H564" i="12766" s="1"/>
  <c r="C564" i="12766"/>
  <c r="H563" i="12766"/>
  <c r="E563" i="12766"/>
  <c r="C563" i="12766"/>
  <c r="G563" i="12766" s="1"/>
  <c r="E562" i="12766"/>
  <c r="I561" i="12766"/>
  <c r="I560" i="12766"/>
  <c r="C560" i="12766"/>
  <c r="G560" i="12766" s="1"/>
  <c r="I558" i="12766"/>
  <c r="C558" i="12766"/>
  <c r="E556" i="12766"/>
  <c r="C556" i="12766"/>
  <c r="I555" i="12766"/>
  <c r="C555" i="12766"/>
  <c r="I553" i="12766"/>
  <c r="G553" i="12766"/>
  <c r="C553" i="12766"/>
  <c r="I552" i="12766"/>
  <c r="C552" i="12766"/>
  <c r="G552" i="12766" s="1"/>
  <c r="D551" i="12766"/>
  <c r="I550" i="12766"/>
  <c r="H550" i="12766"/>
  <c r="C550" i="12766"/>
  <c r="K549" i="12766"/>
  <c r="I549" i="12766"/>
  <c r="I563" i="12766" s="1"/>
  <c r="K563" i="12766" s="1"/>
  <c r="H549" i="12766"/>
  <c r="C549" i="12766"/>
  <c r="K548" i="12766"/>
  <c r="I548" i="12766"/>
  <c r="I562" i="12766" s="1"/>
  <c r="K562" i="12766" s="1"/>
  <c r="H548" i="12766"/>
  <c r="H480" i="12766" s="1"/>
  <c r="G548" i="12766"/>
  <c r="C548" i="12766"/>
  <c r="C540" i="12766"/>
  <c r="D536" i="12766" s="1"/>
  <c r="C539" i="12766"/>
  <c r="K538" i="12766"/>
  <c r="K504" i="12766" s="1"/>
  <c r="I538" i="12766"/>
  <c r="H538" i="12766"/>
  <c r="H504" i="12766" s="1"/>
  <c r="C538" i="12766"/>
  <c r="H537" i="12766"/>
  <c r="G537" i="12766"/>
  <c r="G503" i="12766" s="1"/>
  <c r="E537" i="12766"/>
  <c r="D537" i="12766"/>
  <c r="C537" i="12766"/>
  <c r="G536" i="12766"/>
  <c r="G502" i="12766" s="1"/>
  <c r="E536" i="12766"/>
  <c r="C536" i="12766"/>
  <c r="C502" i="12766" s="1"/>
  <c r="I535" i="12766"/>
  <c r="E535" i="12766"/>
  <c r="D535" i="12766"/>
  <c r="C535" i="12766"/>
  <c r="D534" i="12766"/>
  <c r="E533" i="12766"/>
  <c r="C533" i="12766"/>
  <c r="I532" i="12766"/>
  <c r="G532" i="12766"/>
  <c r="G498" i="12766" s="1"/>
  <c r="E532" i="12766"/>
  <c r="D532" i="12766"/>
  <c r="C532" i="12766"/>
  <c r="I531" i="12766"/>
  <c r="E531" i="12766"/>
  <c r="C531" i="12766"/>
  <c r="C497" i="12766" s="1"/>
  <c r="H530" i="12766"/>
  <c r="H496" i="12766" s="1"/>
  <c r="G530" i="12766"/>
  <c r="E530" i="12766"/>
  <c r="C530" i="12766"/>
  <c r="C496" i="12766" s="1"/>
  <c r="E529" i="12766"/>
  <c r="C529" i="12766"/>
  <c r="I528" i="12766"/>
  <c r="K528" i="12766" s="1"/>
  <c r="G528" i="12766"/>
  <c r="E528" i="12766"/>
  <c r="H528" i="12766" s="1"/>
  <c r="I527" i="12766"/>
  <c r="I526" i="12766"/>
  <c r="I537" i="12766" s="1"/>
  <c r="K537" i="12766" s="1"/>
  <c r="C526" i="12766"/>
  <c r="G525" i="12766"/>
  <c r="I524" i="12766"/>
  <c r="G524" i="12766"/>
  <c r="G522" i="12766"/>
  <c r="E522" i="12766"/>
  <c r="E534" i="12766" s="1"/>
  <c r="G534" i="12766" s="1"/>
  <c r="D522" i="12766"/>
  <c r="C522" i="12766"/>
  <c r="I521" i="12766"/>
  <c r="H521" i="12766"/>
  <c r="D521" i="12766"/>
  <c r="C521" i="12766"/>
  <c r="G521" i="12766" s="1"/>
  <c r="I519" i="12766"/>
  <c r="G519" i="12766"/>
  <c r="D519" i="12766"/>
  <c r="H519" i="12766" s="1"/>
  <c r="C519" i="12766"/>
  <c r="I518" i="12766"/>
  <c r="C518" i="12766"/>
  <c r="G518" i="12766" s="1"/>
  <c r="G484" i="12766" s="1"/>
  <c r="D517" i="12766"/>
  <c r="K516" i="12766"/>
  <c r="I516" i="12766"/>
  <c r="I530" i="12766" s="1"/>
  <c r="K530" i="12766" s="1"/>
  <c r="H516" i="12766"/>
  <c r="H482" i="12766" s="1"/>
  <c r="G516" i="12766"/>
  <c r="C516" i="12766"/>
  <c r="I515" i="12766"/>
  <c r="K515" i="12766" s="1"/>
  <c r="K481" i="12766" s="1"/>
  <c r="H515" i="12766"/>
  <c r="G515" i="12766"/>
  <c r="C515" i="12766"/>
  <c r="K514" i="12766"/>
  <c r="I514" i="12766"/>
  <c r="H514" i="12766"/>
  <c r="C514" i="12766"/>
  <c r="O508" i="12766"/>
  <c r="K507" i="12766"/>
  <c r="H507" i="12766"/>
  <c r="G507" i="12766"/>
  <c r="D507" i="12766"/>
  <c r="C507" i="12766"/>
  <c r="D506" i="12766"/>
  <c r="D504" i="12766"/>
  <c r="M504" i="12766" s="1"/>
  <c r="I503" i="12766"/>
  <c r="E503" i="12766"/>
  <c r="C503" i="12766"/>
  <c r="I502" i="12766"/>
  <c r="E502" i="12766"/>
  <c r="I501" i="12766"/>
  <c r="E501" i="12766"/>
  <c r="C501" i="12766"/>
  <c r="I500" i="12766"/>
  <c r="E500" i="12766"/>
  <c r="C500" i="12766"/>
  <c r="I499" i="12766"/>
  <c r="E499" i="12766"/>
  <c r="C499" i="12766"/>
  <c r="I498" i="12766"/>
  <c r="E498" i="12766"/>
  <c r="C498" i="12766"/>
  <c r="I497" i="12766"/>
  <c r="E497" i="12766"/>
  <c r="M496" i="12766"/>
  <c r="I496" i="12766"/>
  <c r="E496" i="12766"/>
  <c r="D496" i="12766"/>
  <c r="I495" i="12766"/>
  <c r="M495" i="12766" s="1"/>
  <c r="E495" i="12766"/>
  <c r="D495" i="12766"/>
  <c r="C495" i="12766"/>
  <c r="I494" i="12766"/>
  <c r="M494" i="12766" s="1"/>
  <c r="E494" i="12766"/>
  <c r="D494" i="12766"/>
  <c r="C494" i="12766"/>
  <c r="O492" i="12766"/>
  <c r="O491" i="12766"/>
  <c r="I491" i="12766"/>
  <c r="O490" i="12766"/>
  <c r="O488" i="12766"/>
  <c r="I488" i="12766"/>
  <c r="E488" i="12766"/>
  <c r="C488" i="12766"/>
  <c r="O487" i="12766"/>
  <c r="T485" i="12766"/>
  <c r="O485" i="12766"/>
  <c r="G485" i="12766"/>
  <c r="C485" i="12766"/>
  <c r="O484" i="12766"/>
  <c r="C484" i="12766"/>
  <c r="O482" i="12766"/>
  <c r="D482" i="12766"/>
  <c r="M482" i="12766" s="1"/>
  <c r="V481" i="12766"/>
  <c r="U481" i="12766"/>
  <c r="V486" i="12766" s="1"/>
  <c r="T481" i="12766"/>
  <c r="T486" i="12766" s="1"/>
  <c r="S481" i="12766"/>
  <c r="O481" i="12766"/>
  <c r="H481" i="12766"/>
  <c r="D481" i="12766"/>
  <c r="M481" i="12766" s="1"/>
  <c r="C481" i="12766"/>
  <c r="W480" i="12766"/>
  <c r="V480" i="12766"/>
  <c r="V485" i="12766" s="1"/>
  <c r="U480" i="12766"/>
  <c r="T480" i="12766"/>
  <c r="S480" i="12766"/>
  <c r="O480" i="12766"/>
  <c r="D480" i="12766"/>
  <c r="D483" i="12766" s="1"/>
  <c r="D472" i="12766"/>
  <c r="D474" i="12766" s="1"/>
  <c r="C472" i="12766"/>
  <c r="C474" i="12766" s="1"/>
  <c r="I471" i="12766"/>
  <c r="K471" i="12766" s="1"/>
  <c r="H471" i="12766"/>
  <c r="I470" i="12766"/>
  <c r="K470" i="12766" s="1"/>
  <c r="I469" i="12766"/>
  <c r="K469" i="12766" s="1"/>
  <c r="K468" i="12766"/>
  <c r="H468" i="12766"/>
  <c r="G468" i="12766"/>
  <c r="K467" i="12766"/>
  <c r="H467" i="12766"/>
  <c r="G467" i="12766"/>
  <c r="K466" i="12766"/>
  <c r="H466" i="12766"/>
  <c r="G466" i="12766"/>
  <c r="K465" i="12766"/>
  <c r="H465" i="12766"/>
  <c r="G465" i="12766"/>
  <c r="H464" i="12766"/>
  <c r="H463" i="12766"/>
  <c r="H462" i="12766"/>
  <c r="K461" i="12766"/>
  <c r="I461" i="12766"/>
  <c r="H461" i="12766"/>
  <c r="K460" i="12766"/>
  <c r="I460" i="12766"/>
  <c r="H460" i="12766"/>
  <c r="G460" i="12766"/>
  <c r="E460" i="12766"/>
  <c r="I459" i="12766"/>
  <c r="K459" i="12766" s="1"/>
  <c r="H459" i="12766"/>
  <c r="H458" i="12766"/>
  <c r="I457" i="12766"/>
  <c r="K457" i="12766" s="1"/>
  <c r="H457" i="12766"/>
  <c r="K455" i="12766"/>
  <c r="H455" i="12766"/>
  <c r="G455" i="12766"/>
  <c r="K454" i="12766"/>
  <c r="H454" i="12766"/>
  <c r="G454" i="12766"/>
  <c r="I453" i="12766"/>
  <c r="H453" i="12766"/>
  <c r="E453" i="12766"/>
  <c r="I452" i="12766"/>
  <c r="H452" i="12766"/>
  <c r="E452" i="12766"/>
  <c r="K450" i="12766"/>
  <c r="I450" i="12766"/>
  <c r="I462" i="12766" s="1"/>
  <c r="K462" i="12766" s="1"/>
  <c r="H450" i="12766"/>
  <c r="E450" i="12766"/>
  <c r="K448" i="12766"/>
  <c r="I448" i="12766"/>
  <c r="H448" i="12766"/>
  <c r="G448" i="12766"/>
  <c r="E448" i="12766"/>
  <c r="E461" i="12766" s="1"/>
  <c r="G461" i="12766" s="1"/>
  <c r="K447" i="12766"/>
  <c r="I447" i="12766"/>
  <c r="H447" i="12766"/>
  <c r="G447" i="12766"/>
  <c r="E447" i="12766"/>
  <c r="D446" i="12766"/>
  <c r="C446" i="12766"/>
  <c r="I445" i="12766"/>
  <c r="K445" i="12766" s="1"/>
  <c r="H445" i="12766"/>
  <c r="G445" i="12766"/>
  <c r="E445" i="12766"/>
  <c r="E459" i="12766" s="1"/>
  <c r="G459" i="12766" s="1"/>
  <c r="I444" i="12766"/>
  <c r="H444" i="12766"/>
  <c r="E444" i="12766"/>
  <c r="G444" i="12766" s="1"/>
  <c r="I443" i="12766"/>
  <c r="K443" i="12766" s="1"/>
  <c r="H443" i="12766"/>
  <c r="E443" i="12766"/>
  <c r="G443" i="12766" s="1"/>
  <c r="D436" i="12766"/>
  <c r="I433" i="12766"/>
  <c r="G433" i="12766"/>
  <c r="I432" i="12766"/>
  <c r="G432" i="12766"/>
  <c r="E431" i="12766"/>
  <c r="G431" i="12766" s="1"/>
  <c r="E430" i="12766"/>
  <c r="G429" i="12766"/>
  <c r="E429" i="12766"/>
  <c r="G428" i="12766"/>
  <c r="E428" i="12766"/>
  <c r="I427" i="12766"/>
  <c r="E427" i="12766"/>
  <c r="I426" i="12766"/>
  <c r="E426" i="12766"/>
  <c r="G425" i="12766"/>
  <c r="E425" i="12766"/>
  <c r="G424" i="12766"/>
  <c r="E424" i="12766"/>
  <c r="D424" i="12766"/>
  <c r="H424" i="12766" s="1"/>
  <c r="I423" i="12766"/>
  <c r="I422" i="12766"/>
  <c r="G422" i="12766"/>
  <c r="G421" i="12766"/>
  <c r="G420" i="12766"/>
  <c r="C420" i="12766"/>
  <c r="I419" i="12766"/>
  <c r="G419" i="12766"/>
  <c r="C419" i="12766"/>
  <c r="C434" i="12766" s="1"/>
  <c r="D428" i="12766" s="1"/>
  <c r="H428" i="12766" s="1"/>
  <c r="I418" i="12766"/>
  <c r="C418" i="12766"/>
  <c r="G418" i="12766" s="1"/>
  <c r="C417" i="12766"/>
  <c r="D414" i="12766" s="1"/>
  <c r="H414" i="12766" s="1"/>
  <c r="C416" i="12766"/>
  <c r="C358" i="12766" s="1"/>
  <c r="I415" i="12766"/>
  <c r="K415" i="12766" s="1"/>
  <c r="H415" i="12766"/>
  <c r="G415" i="12766"/>
  <c r="G414" i="12766"/>
  <c r="G413" i="12766"/>
  <c r="D413" i="12766"/>
  <c r="H413" i="12766" s="1"/>
  <c r="D407" i="12766"/>
  <c r="I404" i="12766"/>
  <c r="G404" i="12766"/>
  <c r="I403" i="12766"/>
  <c r="G403" i="12766"/>
  <c r="G374" i="12766" s="1"/>
  <c r="I402" i="12766"/>
  <c r="G402" i="12766"/>
  <c r="E402" i="12766"/>
  <c r="G401" i="12766"/>
  <c r="E401" i="12766"/>
  <c r="E400" i="12766"/>
  <c r="G400" i="12766" s="1"/>
  <c r="G371" i="12766" s="1"/>
  <c r="E399" i="12766"/>
  <c r="I398" i="12766"/>
  <c r="G398" i="12766"/>
  <c r="E398" i="12766"/>
  <c r="G397" i="12766"/>
  <c r="E397" i="12766"/>
  <c r="E396" i="12766"/>
  <c r="G396" i="12766" s="1"/>
  <c r="G367" i="12766" s="1"/>
  <c r="E395" i="12766"/>
  <c r="I394" i="12766"/>
  <c r="I393" i="12766"/>
  <c r="C393" i="12766"/>
  <c r="C392" i="12766"/>
  <c r="G392" i="12766" s="1"/>
  <c r="G363" i="12766" s="1"/>
  <c r="C391" i="12766"/>
  <c r="G391" i="12766" s="1"/>
  <c r="I390" i="12766"/>
  <c r="G390" i="12766"/>
  <c r="G361" i="12766" s="1"/>
  <c r="C390" i="12766"/>
  <c r="I389" i="12766"/>
  <c r="G389" i="12766"/>
  <c r="G360" i="12766" s="1"/>
  <c r="C389" i="12766"/>
  <c r="C360" i="12766" s="1"/>
  <c r="C388" i="12766"/>
  <c r="C387" i="12766"/>
  <c r="I386" i="12766"/>
  <c r="G386" i="12766"/>
  <c r="G357" i="12766" s="1"/>
  <c r="C386" i="12766"/>
  <c r="G385" i="12766"/>
  <c r="D385" i="12766"/>
  <c r="H385" i="12766" s="1"/>
  <c r="G384" i="12766"/>
  <c r="D384" i="12766"/>
  <c r="H384" i="12766" s="1"/>
  <c r="D378" i="12766"/>
  <c r="K377" i="12766"/>
  <c r="H377" i="12766"/>
  <c r="G377" i="12766"/>
  <c r="D377" i="12766"/>
  <c r="C377" i="12766"/>
  <c r="D376" i="12766"/>
  <c r="I375" i="12766"/>
  <c r="G375" i="12766"/>
  <c r="I374" i="12766"/>
  <c r="G373" i="12766"/>
  <c r="E373" i="12766"/>
  <c r="E372" i="12766"/>
  <c r="E371" i="12766"/>
  <c r="I370" i="12766"/>
  <c r="E370" i="12766"/>
  <c r="I369" i="12766"/>
  <c r="E369" i="12766"/>
  <c r="I368" i="12766"/>
  <c r="E368" i="12766"/>
  <c r="E367" i="12766"/>
  <c r="E366" i="12766"/>
  <c r="I365" i="12766"/>
  <c r="I364" i="12766"/>
  <c r="I373" i="12766" s="1"/>
  <c r="G362" i="12766"/>
  <c r="C362" i="12766"/>
  <c r="I361" i="12766"/>
  <c r="C361" i="12766"/>
  <c r="I360" i="12766"/>
  <c r="C359" i="12766"/>
  <c r="I357" i="12766"/>
  <c r="C357" i="12766"/>
  <c r="H356" i="12766"/>
  <c r="C356" i="12766"/>
  <c r="G355" i="12766"/>
  <c r="C355" i="12766"/>
  <c r="D348" i="12766"/>
  <c r="C346" i="12766"/>
  <c r="C348" i="12766" s="1"/>
  <c r="I345" i="12766"/>
  <c r="K345" i="12766" s="1"/>
  <c r="H345" i="12766"/>
  <c r="G345" i="12766"/>
  <c r="I344" i="12766"/>
  <c r="K344" i="12766" s="1"/>
  <c r="H344" i="12766"/>
  <c r="G344" i="12766"/>
  <c r="H343" i="12766"/>
  <c r="E343" i="12766"/>
  <c r="G343" i="12766" s="1"/>
  <c r="H342" i="12766"/>
  <c r="E342" i="12766"/>
  <c r="G342" i="12766" s="1"/>
  <c r="G341" i="12766"/>
  <c r="E341" i="12766"/>
  <c r="H341" i="12766" s="1"/>
  <c r="H340" i="12766"/>
  <c r="G340" i="12766"/>
  <c r="E340" i="12766"/>
  <c r="H339" i="12766"/>
  <c r="G339" i="12766"/>
  <c r="E339" i="12766"/>
  <c r="I338" i="12766"/>
  <c r="K338" i="12766" s="1"/>
  <c r="G338" i="12766"/>
  <c r="E338" i="12766"/>
  <c r="H338" i="12766" s="1"/>
  <c r="K337" i="12766"/>
  <c r="I337" i="12766"/>
  <c r="E337" i="12766"/>
  <c r="I336" i="12766"/>
  <c r="K336" i="12766" s="1"/>
  <c r="E336" i="12766"/>
  <c r="H336" i="12766" s="1"/>
  <c r="I335" i="12766"/>
  <c r="I334" i="12766"/>
  <c r="H334" i="12766"/>
  <c r="G334" i="12766"/>
  <c r="H333" i="12766"/>
  <c r="H332" i="12766"/>
  <c r="G332" i="12766"/>
  <c r="I331" i="12766"/>
  <c r="D331" i="12766"/>
  <c r="H331" i="12766" s="1"/>
  <c r="C331" i="12766"/>
  <c r="C333" i="12766" s="1"/>
  <c r="G333" i="12766" s="1"/>
  <c r="K330" i="12766"/>
  <c r="K272" i="12766" s="1"/>
  <c r="I330" i="12766"/>
  <c r="I339" i="12766" s="1"/>
  <c r="K339" i="12766" s="1"/>
  <c r="H330" i="12766"/>
  <c r="G330" i="12766"/>
  <c r="C328" i="12766"/>
  <c r="D328" i="12766" s="1"/>
  <c r="K327" i="12766"/>
  <c r="I327" i="12766"/>
  <c r="H327" i="12766"/>
  <c r="G327" i="12766"/>
  <c r="G269" i="12766" s="1"/>
  <c r="K326" i="12766"/>
  <c r="K268" i="12766" s="1"/>
  <c r="I326" i="12766"/>
  <c r="H326" i="12766"/>
  <c r="G326" i="12766"/>
  <c r="K325" i="12766"/>
  <c r="I325" i="12766"/>
  <c r="G325" i="12766"/>
  <c r="D325" i="12766"/>
  <c r="H325" i="12766" s="1"/>
  <c r="D319" i="12766"/>
  <c r="I316" i="12766"/>
  <c r="G316" i="12766"/>
  <c r="I315" i="12766"/>
  <c r="G315" i="12766"/>
  <c r="E314" i="12766"/>
  <c r="G314" i="12766" s="1"/>
  <c r="G285" i="12766" s="1"/>
  <c r="E313" i="12766"/>
  <c r="G313" i="12766" s="1"/>
  <c r="E312" i="12766"/>
  <c r="I311" i="12766"/>
  <c r="G311" i="12766"/>
  <c r="G282" i="12766" s="1"/>
  <c r="E311" i="12766"/>
  <c r="E310" i="12766"/>
  <c r="G310" i="12766" s="1"/>
  <c r="G281" i="12766" s="1"/>
  <c r="I309" i="12766"/>
  <c r="E309" i="12766"/>
  <c r="G309" i="12766" s="1"/>
  <c r="K308" i="12766"/>
  <c r="K279" i="12766" s="1"/>
  <c r="I308" i="12766"/>
  <c r="E308" i="12766"/>
  <c r="H307" i="12766"/>
  <c r="H278" i="12766" s="1"/>
  <c r="G307" i="12766"/>
  <c r="E307" i="12766"/>
  <c r="I306" i="12766"/>
  <c r="I305" i="12766"/>
  <c r="G305" i="12766"/>
  <c r="G303" i="12766"/>
  <c r="C303" i="12766"/>
  <c r="I302" i="12766"/>
  <c r="C302" i="12766"/>
  <c r="I301" i="12766"/>
  <c r="K301" i="12766" s="1"/>
  <c r="H301" i="12766"/>
  <c r="G301" i="12766"/>
  <c r="C300" i="12766"/>
  <c r="C299" i="12766"/>
  <c r="K298" i="12766"/>
  <c r="I298" i="12766"/>
  <c r="H298" i="12766"/>
  <c r="G298" i="12766"/>
  <c r="I297" i="12766"/>
  <c r="K297" i="12766" s="1"/>
  <c r="H297" i="12766"/>
  <c r="H268" i="12766" s="1"/>
  <c r="G297" i="12766"/>
  <c r="I296" i="12766"/>
  <c r="G296" i="12766"/>
  <c r="C296" i="12766"/>
  <c r="K289" i="12766"/>
  <c r="H289" i="12766"/>
  <c r="G289" i="12766"/>
  <c r="G175" i="12766" s="1"/>
  <c r="D289" i="12766"/>
  <c r="C289" i="12766"/>
  <c r="D288" i="12766"/>
  <c r="D290" i="12766" s="1"/>
  <c r="I287" i="12766"/>
  <c r="G287" i="12766"/>
  <c r="I286" i="12766"/>
  <c r="G286" i="12766"/>
  <c r="E285" i="12766"/>
  <c r="G284" i="12766"/>
  <c r="E284" i="12766"/>
  <c r="E283" i="12766"/>
  <c r="E282" i="12766"/>
  <c r="E281" i="12766"/>
  <c r="I280" i="12766"/>
  <c r="G280" i="12766"/>
  <c r="E280" i="12766"/>
  <c r="E279" i="12766"/>
  <c r="I278" i="12766"/>
  <c r="E278" i="12766"/>
  <c r="I277" i="12766"/>
  <c r="I276" i="12766"/>
  <c r="I285" i="12766" s="1"/>
  <c r="G276" i="12766"/>
  <c r="C276" i="12766"/>
  <c r="G274" i="12766"/>
  <c r="C274" i="12766"/>
  <c r="I273" i="12766"/>
  <c r="I282" i="12766" s="1"/>
  <c r="I272" i="12766"/>
  <c r="I281" i="12766" s="1"/>
  <c r="H272" i="12766"/>
  <c r="G272" i="12766"/>
  <c r="D272" i="12766"/>
  <c r="C272" i="12766"/>
  <c r="D271" i="12766"/>
  <c r="C271" i="12766"/>
  <c r="K269" i="12766"/>
  <c r="I269" i="12766"/>
  <c r="I279" i="12766" s="1"/>
  <c r="H269" i="12766"/>
  <c r="D269" i="12766"/>
  <c r="C269" i="12766"/>
  <c r="I268" i="12766"/>
  <c r="G268" i="12766"/>
  <c r="D268" i="12766"/>
  <c r="C268" i="12766"/>
  <c r="I267" i="12766"/>
  <c r="C267" i="12766"/>
  <c r="C270" i="12766" s="1"/>
  <c r="D261" i="12766"/>
  <c r="I258" i="12766"/>
  <c r="G258" i="12766"/>
  <c r="I257" i="12766"/>
  <c r="G257" i="12766"/>
  <c r="I256" i="12766"/>
  <c r="G256" i="12766"/>
  <c r="E256" i="12766"/>
  <c r="G255" i="12766"/>
  <c r="E255" i="12766"/>
  <c r="E254" i="12766"/>
  <c r="I253" i="12766"/>
  <c r="E253" i="12766"/>
  <c r="G253" i="12766" s="1"/>
  <c r="I252" i="12766"/>
  <c r="G252" i="12766"/>
  <c r="E252" i="12766"/>
  <c r="G251" i="12766"/>
  <c r="E251" i="12766"/>
  <c r="E250" i="12766"/>
  <c r="I249" i="12766"/>
  <c r="E249" i="12766"/>
  <c r="G249" i="12766" s="1"/>
  <c r="I248" i="12766"/>
  <c r="I247" i="12766"/>
  <c r="G247" i="12766"/>
  <c r="C247" i="12766"/>
  <c r="C246" i="12766"/>
  <c r="G245" i="12766"/>
  <c r="C245" i="12766"/>
  <c r="I244" i="12766"/>
  <c r="C244" i="12766"/>
  <c r="I243" i="12766"/>
  <c r="G243" i="12766"/>
  <c r="C243" i="12766"/>
  <c r="I241" i="12766"/>
  <c r="I251" i="12766" s="1"/>
  <c r="G241" i="12766"/>
  <c r="C241" i="12766"/>
  <c r="I240" i="12766"/>
  <c r="I250" i="12766" s="1"/>
  <c r="C240" i="12766"/>
  <c r="I239" i="12766"/>
  <c r="C239" i="12766"/>
  <c r="D233" i="12766"/>
  <c r="C233" i="12766"/>
  <c r="C231" i="12766"/>
  <c r="I230" i="12766"/>
  <c r="C230" i="12766"/>
  <c r="I229" i="12766"/>
  <c r="H229" i="12766"/>
  <c r="G229" i="12766"/>
  <c r="G201" i="12766" s="1"/>
  <c r="G172" i="12766" s="1"/>
  <c r="C229" i="12766"/>
  <c r="D229" i="12766" s="1"/>
  <c r="K229" i="12766" s="1"/>
  <c r="I228" i="12766"/>
  <c r="K228" i="12766" s="1"/>
  <c r="E228" i="12766"/>
  <c r="D228" i="12766"/>
  <c r="C228" i="12766"/>
  <c r="E227" i="12766"/>
  <c r="D227" i="12766"/>
  <c r="C227" i="12766"/>
  <c r="G227" i="12766" s="1"/>
  <c r="G226" i="12766"/>
  <c r="E226" i="12766"/>
  <c r="C226" i="12766"/>
  <c r="K225" i="12766"/>
  <c r="E225" i="12766"/>
  <c r="D225" i="12766"/>
  <c r="C225" i="12766"/>
  <c r="I224" i="12766"/>
  <c r="K224" i="12766" s="1"/>
  <c r="G224" i="12766"/>
  <c r="E224" i="12766"/>
  <c r="D224" i="12766"/>
  <c r="C224" i="12766"/>
  <c r="E223" i="12766"/>
  <c r="C223" i="12766"/>
  <c r="H222" i="12766"/>
  <c r="G222" i="12766"/>
  <c r="E222" i="12766"/>
  <c r="C222" i="12766"/>
  <c r="I221" i="12766"/>
  <c r="K221" i="12766" s="1"/>
  <c r="E221" i="12766"/>
  <c r="C221" i="12766"/>
  <c r="C193" i="12766" s="1"/>
  <c r="I220" i="12766"/>
  <c r="I219" i="12766"/>
  <c r="C219" i="12766"/>
  <c r="G218" i="12766"/>
  <c r="D218" i="12766"/>
  <c r="H217" i="12766"/>
  <c r="G217" i="12766"/>
  <c r="D217" i="12766"/>
  <c r="K216" i="12766"/>
  <c r="I216" i="12766"/>
  <c r="I225" i="12766" s="1"/>
  <c r="H216" i="12766"/>
  <c r="G216" i="12766"/>
  <c r="D216" i="12766"/>
  <c r="I215" i="12766"/>
  <c r="K215" i="12766" s="1"/>
  <c r="G215" i="12766"/>
  <c r="G187" i="12766" s="1"/>
  <c r="C215" i="12766"/>
  <c r="D215" i="12766" s="1"/>
  <c r="H215" i="12766" s="1"/>
  <c r="D214" i="12766"/>
  <c r="K213" i="12766"/>
  <c r="I213" i="12766"/>
  <c r="I223" i="12766" s="1"/>
  <c r="G213" i="12766"/>
  <c r="G185" i="12766" s="1"/>
  <c r="G155" i="12766" s="1"/>
  <c r="C213" i="12766"/>
  <c r="D213" i="12766" s="1"/>
  <c r="H213" i="12766" s="1"/>
  <c r="K212" i="12766"/>
  <c r="I212" i="12766"/>
  <c r="I222" i="12766" s="1"/>
  <c r="K222" i="12766" s="1"/>
  <c r="H212" i="12766"/>
  <c r="G212" i="12766"/>
  <c r="C212" i="12766"/>
  <c r="K211" i="12766"/>
  <c r="I211" i="12766"/>
  <c r="H211" i="12766"/>
  <c r="G211" i="12766"/>
  <c r="C211" i="12766"/>
  <c r="C214" i="12766" s="1"/>
  <c r="D205" i="12766"/>
  <c r="K204" i="12766"/>
  <c r="K175" i="12766" s="1"/>
  <c r="H204" i="12766"/>
  <c r="H175" i="12766" s="1"/>
  <c r="G204" i="12766"/>
  <c r="D204" i="12766"/>
  <c r="C204" i="12766"/>
  <c r="C175" i="12766" s="1"/>
  <c r="D203" i="12766"/>
  <c r="D174" i="12766" s="1"/>
  <c r="D176" i="12766" s="1"/>
  <c r="I202" i="12766"/>
  <c r="I201" i="12766"/>
  <c r="E200" i="12766"/>
  <c r="C200" i="12766"/>
  <c r="C171" i="12766" s="1"/>
  <c r="G199" i="12766"/>
  <c r="E199" i="12766"/>
  <c r="C199" i="12766"/>
  <c r="C170" i="12766" s="1"/>
  <c r="E198" i="12766"/>
  <c r="I197" i="12766"/>
  <c r="E197" i="12766"/>
  <c r="C197" i="12766"/>
  <c r="E196" i="12766"/>
  <c r="C196" i="12766"/>
  <c r="C167" i="12766" s="1"/>
  <c r="E195" i="12766"/>
  <c r="E194" i="12766"/>
  <c r="C194" i="12766"/>
  <c r="I193" i="12766"/>
  <c r="E193" i="12766"/>
  <c r="I192" i="12766"/>
  <c r="I191" i="12766"/>
  <c r="I200" i="12766" s="1"/>
  <c r="C191" i="12766"/>
  <c r="I189" i="12766"/>
  <c r="I198" i="12766" s="1"/>
  <c r="G189" i="12766"/>
  <c r="C189" i="12766"/>
  <c r="I188" i="12766"/>
  <c r="C188" i="12766"/>
  <c r="I187" i="12766"/>
  <c r="I196" i="12766" s="1"/>
  <c r="C187" i="12766"/>
  <c r="C158" i="12766" s="1"/>
  <c r="I185" i="12766"/>
  <c r="I195" i="12766" s="1"/>
  <c r="C185" i="12766"/>
  <c r="I184" i="12766"/>
  <c r="I194" i="12766" s="1"/>
  <c r="I183" i="12766"/>
  <c r="C183" i="12766"/>
  <c r="O176" i="12766"/>
  <c r="D175" i="12766"/>
  <c r="I171" i="12766"/>
  <c r="E171" i="12766"/>
  <c r="E170" i="12766"/>
  <c r="I169" i="12766"/>
  <c r="E169" i="12766"/>
  <c r="I168" i="12766"/>
  <c r="E168" i="12766"/>
  <c r="C168" i="12766"/>
  <c r="I167" i="12766"/>
  <c r="E167" i="12766"/>
  <c r="I166" i="12766"/>
  <c r="E166" i="12766"/>
  <c r="I165" i="12766"/>
  <c r="E165" i="12766"/>
  <c r="C165" i="12766"/>
  <c r="I164" i="12766"/>
  <c r="E164" i="12766"/>
  <c r="C164" i="12766"/>
  <c r="O162" i="12766"/>
  <c r="O160" i="12766"/>
  <c r="I160" i="12766"/>
  <c r="I303" i="12766" s="1"/>
  <c r="G160" i="12766"/>
  <c r="C160" i="12766"/>
  <c r="O159" i="12766"/>
  <c r="O158" i="12766"/>
  <c r="G158" i="12766"/>
  <c r="O155" i="12766"/>
  <c r="C155" i="12766"/>
  <c r="O154" i="12766"/>
  <c r="O153" i="12766"/>
  <c r="C153" i="12766"/>
  <c r="O151" i="12766"/>
  <c r="G151" i="12766"/>
  <c r="C151" i="12766"/>
  <c r="O150" i="12766"/>
  <c r="I150" i="12766"/>
  <c r="H150" i="12766"/>
  <c r="C150" i="12766"/>
  <c r="O149" i="12766"/>
  <c r="M149" i="12766"/>
  <c r="I149" i="12766"/>
  <c r="G149" i="12766"/>
  <c r="E149" i="12766"/>
  <c r="D149" i="12766"/>
  <c r="C149" i="12766"/>
  <c r="D143" i="12766"/>
  <c r="C143" i="12766"/>
  <c r="C141" i="12766"/>
  <c r="G140" i="12766"/>
  <c r="E140" i="12766"/>
  <c r="H140" i="12766" s="1"/>
  <c r="I139" i="12766"/>
  <c r="K139" i="12766" s="1"/>
  <c r="H139" i="12766"/>
  <c r="G139" i="12766"/>
  <c r="K138" i="12766"/>
  <c r="I138" i="12766"/>
  <c r="H138" i="12766"/>
  <c r="H86" i="12766" s="1"/>
  <c r="G138" i="12766"/>
  <c r="I137" i="12766"/>
  <c r="K137" i="12766" s="1"/>
  <c r="H137" i="12766"/>
  <c r="G137" i="12766"/>
  <c r="C137" i="12766"/>
  <c r="I136" i="12766"/>
  <c r="K136" i="12766" s="1"/>
  <c r="H136" i="12766"/>
  <c r="G136" i="12766"/>
  <c r="I135" i="12766"/>
  <c r="K135" i="12766" s="1"/>
  <c r="H135" i="12766"/>
  <c r="G135" i="12766"/>
  <c r="D130" i="12766"/>
  <c r="C130" i="12766"/>
  <c r="H128" i="12766"/>
  <c r="H130" i="12766" s="1"/>
  <c r="C128" i="12766"/>
  <c r="E127" i="12766"/>
  <c r="H127" i="12766" s="1"/>
  <c r="K126" i="12766"/>
  <c r="I126" i="12766"/>
  <c r="H126" i="12766"/>
  <c r="G126" i="12766"/>
  <c r="I125" i="12766"/>
  <c r="K125" i="12766" s="1"/>
  <c r="H125" i="12766"/>
  <c r="G125" i="12766"/>
  <c r="K124" i="12766"/>
  <c r="I124" i="12766"/>
  <c r="H124" i="12766"/>
  <c r="G124" i="12766"/>
  <c r="I123" i="12766"/>
  <c r="K123" i="12766" s="1"/>
  <c r="H123" i="12766"/>
  <c r="G123" i="12766"/>
  <c r="K122" i="12766"/>
  <c r="I122" i="12766"/>
  <c r="H122" i="12766"/>
  <c r="G122" i="12766"/>
  <c r="D117" i="12766"/>
  <c r="I114" i="12766"/>
  <c r="K114" i="12766" s="1"/>
  <c r="E114" i="12766"/>
  <c r="G114" i="12766" s="1"/>
  <c r="K113" i="12766"/>
  <c r="I113" i="12766"/>
  <c r="G113" i="12766"/>
  <c r="I112" i="12766"/>
  <c r="K112" i="12766" s="1"/>
  <c r="G112" i="12766"/>
  <c r="I111" i="12766"/>
  <c r="K111" i="12766" s="1"/>
  <c r="H111" i="12766"/>
  <c r="C111" i="12766"/>
  <c r="G111" i="12766" s="1"/>
  <c r="G85" i="12766" s="1"/>
  <c r="I110" i="12766"/>
  <c r="K110" i="12766" s="1"/>
  <c r="H110" i="12766"/>
  <c r="G110" i="12766"/>
  <c r="K109" i="12766"/>
  <c r="K115" i="12766" s="1"/>
  <c r="K117" i="12766" s="1"/>
  <c r="I109" i="12766"/>
  <c r="H109" i="12766"/>
  <c r="H115" i="12766" s="1"/>
  <c r="H117" i="12766" s="1"/>
  <c r="G109" i="12766"/>
  <c r="G115" i="12766" s="1"/>
  <c r="G117" i="12766" s="1"/>
  <c r="D104" i="12766"/>
  <c r="C104" i="12766"/>
  <c r="C102" i="12766"/>
  <c r="I101" i="12766"/>
  <c r="K101" i="12766" s="1"/>
  <c r="E101" i="12766"/>
  <c r="G101" i="12766" s="1"/>
  <c r="K100" i="12766"/>
  <c r="I100" i="12766"/>
  <c r="G100" i="12766"/>
  <c r="G87" i="12766" s="1"/>
  <c r="I99" i="12766"/>
  <c r="K99" i="12766" s="1"/>
  <c r="G99" i="12766"/>
  <c r="I98" i="12766"/>
  <c r="K98" i="12766" s="1"/>
  <c r="H98" i="12766"/>
  <c r="G98" i="12766"/>
  <c r="K97" i="12766"/>
  <c r="K84" i="12766" s="1"/>
  <c r="I97" i="12766"/>
  <c r="H97" i="12766"/>
  <c r="G97" i="12766"/>
  <c r="G84" i="12766" s="1"/>
  <c r="I96" i="12766"/>
  <c r="K96" i="12766" s="1"/>
  <c r="H96" i="12766"/>
  <c r="H102" i="12766" s="1"/>
  <c r="C96" i="12766"/>
  <c r="G96" i="12766" s="1"/>
  <c r="O91" i="12766"/>
  <c r="K90" i="12766"/>
  <c r="H90" i="12766"/>
  <c r="G90" i="12766"/>
  <c r="D90" i="12766"/>
  <c r="C90" i="12766"/>
  <c r="D89" i="12766"/>
  <c r="O88" i="12766"/>
  <c r="M88" i="12766"/>
  <c r="I88" i="12766"/>
  <c r="I140" i="12766" s="1"/>
  <c r="K140" i="12766" s="1"/>
  <c r="E88" i="12766"/>
  <c r="D88" i="12766"/>
  <c r="C88" i="12766"/>
  <c r="O87" i="12766"/>
  <c r="H87" i="12766"/>
  <c r="D87" i="12766"/>
  <c r="M87" i="12766" s="1"/>
  <c r="C87" i="12766"/>
  <c r="O86" i="12766"/>
  <c r="M86" i="12766"/>
  <c r="G86" i="12766"/>
  <c r="D86" i="12766"/>
  <c r="C86" i="12766"/>
  <c r="T85" i="12766"/>
  <c r="Q85" i="12766"/>
  <c r="O85" i="12766"/>
  <c r="M85" i="12766"/>
  <c r="H85" i="12766"/>
  <c r="D85" i="12766"/>
  <c r="C85" i="12766"/>
  <c r="Q84" i="12766"/>
  <c r="O84" i="12766"/>
  <c r="H84" i="12766"/>
  <c r="T86" i="12766" s="1"/>
  <c r="D84" i="12766"/>
  <c r="M84" i="12766" s="1"/>
  <c r="C84" i="12766"/>
  <c r="O83" i="12766"/>
  <c r="M83" i="12766"/>
  <c r="D83" i="12766"/>
  <c r="N81" i="12766"/>
  <c r="D78" i="12766"/>
  <c r="C78" i="12766"/>
  <c r="C75" i="12766"/>
  <c r="I74" i="12766"/>
  <c r="C74" i="12766"/>
  <c r="G74" i="12766" s="1"/>
  <c r="I73" i="12766"/>
  <c r="K73" i="12766" s="1"/>
  <c r="D73" i="12766"/>
  <c r="H73" i="12766" s="1"/>
  <c r="C73" i="12766"/>
  <c r="G73" i="12766" s="1"/>
  <c r="I72" i="12766"/>
  <c r="K72" i="12766" s="1"/>
  <c r="H72" i="12766"/>
  <c r="G72" i="12766"/>
  <c r="D72" i="12766"/>
  <c r="C72" i="12766"/>
  <c r="I71" i="12766"/>
  <c r="C71" i="12766"/>
  <c r="I69" i="12766"/>
  <c r="C69" i="12766"/>
  <c r="G69" i="12766" s="1"/>
  <c r="I68" i="12766"/>
  <c r="D68" i="12766"/>
  <c r="H68" i="12766" s="1"/>
  <c r="C68" i="12766"/>
  <c r="G68" i="12766" s="1"/>
  <c r="I67" i="12766"/>
  <c r="K67" i="12766" s="1"/>
  <c r="H67" i="12766"/>
  <c r="G67" i="12766"/>
  <c r="D67" i="12766"/>
  <c r="C67" i="12766"/>
  <c r="D61" i="12766"/>
  <c r="C61" i="12766"/>
  <c r="I57" i="12766"/>
  <c r="C57" i="12766"/>
  <c r="I56" i="12766"/>
  <c r="C56" i="12766"/>
  <c r="G56" i="12766" s="1"/>
  <c r="I55" i="12766"/>
  <c r="G55" i="12766"/>
  <c r="D55" i="12766"/>
  <c r="H55" i="12766" s="1"/>
  <c r="C55" i="12766"/>
  <c r="I54" i="12766"/>
  <c r="K54" i="12766" s="1"/>
  <c r="H54" i="12766"/>
  <c r="G54" i="12766"/>
  <c r="D54" i="12766"/>
  <c r="C54" i="12766"/>
  <c r="I52" i="12766"/>
  <c r="C52" i="12766"/>
  <c r="I51" i="12766"/>
  <c r="C51" i="12766"/>
  <c r="G51" i="12766" s="1"/>
  <c r="I50" i="12766"/>
  <c r="K50" i="12766" s="1"/>
  <c r="G50" i="12766"/>
  <c r="D50" i="12766"/>
  <c r="H50" i="12766" s="1"/>
  <c r="C50" i="12766"/>
  <c r="D44" i="12766"/>
  <c r="C44" i="12766"/>
  <c r="I40" i="12766"/>
  <c r="K40" i="12766" s="1"/>
  <c r="H40" i="12766"/>
  <c r="G40" i="12766"/>
  <c r="D40" i="12766"/>
  <c r="C40" i="12766"/>
  <c r="I39" i="12766"/>
  <c r="C39" i="12766"/>
  <c r="I38" i="12766"/>
  <c r="C38" i="12766"/>
  <c r="G38" i="12766" s="1"/>
  <c r="G21" i="12766" s="1"/>
  <c r="I37" i="12766"/>
  <c r="D37" i="12766"/>
  <c r="C37" i="12766"/>
  <c r="G37" i="12766" s="1"/>
  <c r="I35" i="12766"/>
  <c r="K35" i="12766" s="1"/>
  <c r="H35" i="12766"/>
  <c r="G35" i="12766"/>
  <c r="D35" i="12766"/>
  <c r="C35" i="12766"/>
  <c r="I34" i="12766"/>
  <c r="C34" i="12766"/>
  <c r="I33" i="12766"/>
  <c r="C33" i="12766"/>
  <c r="G33" i="12766" s="1"/>
  <c r="O27" i="12766"/>
  <c r="C27" i="12766"/>
  <c r="K26" i="12766"/>
  <c r="G26" i="12766"/>
  <c r="C26" i="12766"/>
  <c r="D25" i="12766"/>
  <c r="D27" i="12766" s="1"/>
  <c r="C25" i="12766"/>
  <c r="D24" i="12766"/>
  <c r="C24" i="12766"/>
  <c r="C23" i="12766"/>
  <c r="C21" i="12766"/>
  <c r="C18" i="12766"/>
  <c r="C16" i="12766"/>
  <c r="G1043" i="12787"/>
  <c r="C1043" i="12787"/>
  <c r="G1042" i="12787"/>
  <c r="C1042" i="12787"/>
  <c r="K1037" i="12787"/>
  <c r="G1037" i="12787"/>
  <c r="O1032" i="12787"/>
  <c r="D1032" i="12787"/>
  <c r="G1031" i="12787"/>
  <c r="K1031" i="12787" s="1"/>
  <c r="C1031" i="12787"/>
  <c r="C1030" i="12787"/>
  <c r="C1029" i="12787"/>
  <c r="C1028" i="12787"/>
  <c r="G1028" i="12787" s="1"/>
  <c r="G1026" i="12787"/>
  <c r="C1025" i="12787"/>
  <c r="G1025" i="12787" s="1"/>
  <c r="C1024" i="12787"/>
  <c r="G1024" i="12787" s="1"/>
  <c r="G1022" i="12787"/>
  <c r="G1021" i="12787"/>
  <c r="D1021" i="12787"/>
  <c r="H1021" i="12787" s="1"/>
  <c r="G1019" i="12787"/>
  <c r="G1018" i="12787"/>
  <c r="G1017" i="12787"/>
  <c r="G1014" i="12787"/>
  <c r="D1014" i="12787"/>
  <c r="H1014" i="12787" s="1"/>
  <c r="G1013" i="12787"/>
  <c r="G1011" i="12787"/>
  <c r="D1011" i="12787"/>
  <c r="H1011" i="12787" s="1"/>
  <c r="C1010" i="12787"/>
  <c r="G1010" i="12787" s="1"/>
  <c r="G1009" i="12787"/>
  <c r="C1009" i="12787"/>
  <c r="G1006" i="12787"/>
  <c r="D1006" i="12787"/>
  <c r="H1006" i="12787" s="1"/>
  <c r="G1005" i="12787"/>
  <c r="C1005" i="12787"/>
  <c r="G1003" i="12787"/>
  <c r="C1002" i="12787"/>
  <c r="G1002" i="12787" s="1"/>
  <c r="C1001" i="12787"/>
  <c r="G1001" i="12787" s="1"/>
  <c r="O995" i="12787"/>
  <c r="D995" i="12787"/>
  <c r="C995" i="12787"/>
  <c r="K994" i="12787"/>
  <c r="G994" i="12787"/>
  <c r="C994" i="12787"/>
  <c r="D993" i="12787"/>
  <c r="C993" i="12787"/>
  <c r="M992" i="12787"/>
  <c r="H992" i="12787"/>
  <c r="G992" i="12787"/>
  <c r="C992" i="12787"/>
  <c r="K992" i="12787" s="1"/>
  <c r="C991" i="12787"/>
  <c r="M990" i="12787"/>
  <c r="I990" i="12787"/>
  <c r="K990" i="12787" s="1"/>
  <c r="K993" i="12787" s="1"/>
  <c r="K995" i="12787" s="1"/>
  <c r="H990" i="12787"/>
  <c r="G990" i="12787"/>
  <c r="M989" i="12787"/>
  <c r="I989" i="12787"/>
  <c r="K989" i="12787" s="1"/>
  <c r="H989" i="12787"/>
  <c r="H993" i="12787" s="1"/>
  <c r="H995" i="12787" s="1"/>
  <c r="G989" i="12787"/>
  <c r="G993" i="12787" s="1"/>
  <c r="G995" i="12787" s="1"/>
  <c r="D984" i="12787"/>
  <c r="G983" i="12787"/>
  <c r="K983" i="12787" s="1"/>
  <c r="C983" i="12787"/>
  <c r="G982" i="12787"/>
  <c r="G984" i="12787" s="1"/>
  <c r="C982" i="12787"/>
  <c r="C984" i="12787" s="1"/>
  <c r="E980" i="12787"/>
  <c r="G980" i="12787" s="1"/>
  <c r="I979" i="12787"/>
  <c r="G979" i="12787"/>
  <c r="E979" i="12787"/>
  <c r="K978" i="12787"/>
  <c r="D973" i="12787"/>
  <c r="G972" i="12787"/>
  <c r="K972" i="12787" s="1"/>
  <c r="C972" i="12787"/>
  <c r="C971" i="12787"/>
  <c r="C970" i="12787"/>
  <c r="C944" i="12787" s="1"/>
  <c r="C969" i="12787"/>
  <c r="Q969" i="12787" s="1"/>
  <c r="G968" i="12787"/>
  <c r="G942" i="12787" s="1"/>
  <c r="E968" i="12787"/>
  <c r="C968" i="12787"/>
  <c r="K968" i="12787" s="1"/>
  <c r="P966" i="12787"/>
  <c r="I966" i="12787"/>
  <c r="C966" i="12787"/>
  <c r="P965" i="12787"/>
  <c r="I965" i="12787"/>
  <c r="K965" i="12787" s="1"/>
  <c r="C965" i="12787"/>
  <c r="G965" i="12787" s="1"/>
  <c r="P964" i="12787"/>
  <c r="I964" i="12787"/>
  <c r="K964" i="12787" s="1"/>
  <c r="G964" i="12787"/>
  <c r="C964" i="12787"/>
  <c r="P963" i="12787"/>
  <c r="I963" i="12787"/>
  <c r="K963" i="12787" s="1"/>
  <c r="G963" i="12787"/>
  <c r="C963" i="12787"/>
  <c r="P962" i="12787"/>
  <c r="K962" i="12787"/>
  <c r="I962" i="12787"/>
  <c r="G962" i="12787"/>
  <c r="P959" i="12787"/>
  <c r="I959" i="12787"/>
  <c r="C959" i="12787"/>
  <c r="P958" i="12787"/>
  <c r="I958" i="12787"/>
  <c r="K958" i="12787" s="1"/>
  <c r="C958" i="12787"/>
  <c r="G958" i="12787" s="1"/>
  <c r="P957" i="12787"/>
  <c r="I957" i="12787"/>
  <c r="K957" i="12787" s="1"/>
  <c r="G957" i="12787"/>
  <c r="C957" i="12787"/>
  <c r="P956" i="12787"/>
  <c r="I956" i="12787"/>
  <c r="K956" i="12787" s="1"/>
  <c r="G956" i="12787"/>
  <c r="C956" i="12787"/>
  <c r="P955" i="12787"/>
  <c r="K955" i="12787"/>
  <c r="I955" i="12787"/>
  <c r="G955" i="12787"/>
  <c r="C955" i="12787"/>
  <c r="P954" i="12787"/>
  <c r="I954" i="12787"/>
  <c r="G954" i="12787"/>
  <c r="C954" i="12787"/>
  <c r="K954" i="12787" s="1"/>
  <c r="K952" i="12787"/>
  <c r="O947" i="12787"/>
  <c r="D947" i="12787"/>
  <c r="H946" i="12787"/>
  <c r="D946" i="12787"/>
  <c r="C946" i="12787"/>
  <c r="D945" i="12787"/>
  <c r="D944" i="12787"/>
  <c r="E943" i="12787"/>
  <c r="I942" i="12787"/>
  <c r="I943" i="12787" s="1"/>
  <c r="C942" i="12787"/>
  <c r="H941" i="12787"/>
  <c r="G941" i="12787"/>
  <c r="O936" i="12787"/>
  <c r="D936" i="12787"/>
  <c r="G935" i="12787"/>
  <c r="K935" i="12787" s="1"/>
  <c r="C935" i="12787"/>
  <c r="G934" i="12787"/>
  <c r="G936" i="12787" s="1"/>
  <c r="C934" i="12787"/>
  <c r="C936" i="12787" s="1"/>
  <c r="C933" i="12787"/>
  <c r="I932" i="12787"/>
  <c r="M932" i="12787" s="1"/>
  <c r="G932" i="12787"/>
  <c r="D932" i="12787"/>
  <c r="H932" i="12787" s="1"/>
  <c r="K931" i="12787"/>
  <c r="G931" i="12787"/>
  <c r="M930" i="12787"/>
  <c r="K930" i="12787"/>
  <c r="O925" i="12787"/>
  <c r="D925" i="12787"/>
  <c r="C925" i="12787"/>
  <c r="G924" i="12787"/>
  <c r="K924" i="12787" s="1"/>
  <c r="C924" i="12787"/>
  <c r="C922" i="12787"/>
  <c r="P921" i="12787"/>
  <c r="G921" i="12787"/>
  <c r="D921" i="12787"/>
  <c r="H921" i="12787" s="1"/>
  <c r="G920" i="12787"/>
  <c r="D920" i="12787"/>
  <c r="H920" i="12787" s="1"/>
  <c r="P919" i="12787"/>
  <c r="G919" i="12787"/>
  <c r="D919" i="12787"/>
  <c r="H919" i="12787" s="1"/>
  <c r="P918" i="12787"/>
  <c r="H918" i="12787"/>
  <c r="G918" i="12787"/>
  <c r="D918" i="12787"/>
  <c r="G917" i="12787"/>
  <c r="D917" i="12787"/>
  <c r="G916" i="12787"/>
  <c r="D916" i="12787"/>
  <c r="P916" i="12787" s="1"/>
  <c r="P915" i="12787"/>
  <c r="H915" i="12787"/>
  <c r="G915" i="12787"/>
  <c r="D915" i="12787"/>
  <c r="P913" i="12787"/>
  <c r="H913" i="12787"/>
  <c r="D913" i="12787"/>
  <c r="C913" i="12787"/>
  <c r="G913" i="12787" s="1"/>
  <c r="G912" i="12787"/>
  <c r="D912" i="12787"/>
  <c r="H912" i="12787" s="1"/>
  <c r="P911" i="12787"/>
  <c r="G911" i="12787"/>
  <c r="D911" i="12787"/>
  <c r="H911" i="12787" s="1"/>
  <c r="C911" i="12787"/>
  <c r="G910" i="12787"/>
  <c r="D910" i="12787"/>
  <c r="G909" i="12787"/>
  <c r="D909" i="12787"/>
  <c r="P909" i="12787" s="1"/>
  <c r="P908" i="12787"/>
  <c r="H908" i="12787"/>
  <c r="G908" i="12787"/>
  <c r="D908" i="12787"/>
  <c r="P907" i="12787"/>
  <c r="H907" i="12787"/>
  <c r="G907" i="12787"/>
  <c r="D907" i="12787"/>
  <c r="P906" i="12787"/>
  <c r="G906" i="12787"/>
  <c r="D906" i="12787"/>
  <c r="H906" i="12787" s="1"/>
  <c r="D905" i="12787"/>
  <c r="H905" i="12787" s="1"/>
  <c r="C905" i="12787"/>
  <c r="G905" i="12787" s="1"/>
  <c r="C904" i="12787"/>
  <c r="O898" i="12787"/>
  <c r="G897" i="12787"/>
  <c r="K897" i="12787" s="1"/>
  <c r="C897" i="12787"/>
  <c r="C898" i="12787" s="1"/>
  <c r="C896" i="12787"/>
  <c r="D895" i="12787" s="1"/>
  <c r="H895" i="12787"/>
  <c r="G895" i="12787"/>
  <c r="E895" i="12787"/>
  <c r="C895" i="12787"/>
  <c r="G894" i="12787"/>
  <c r="E894" i="12787"/>
  <c r="H894" i="12787" s="1"/>
  <c r="I893" i="12787"/>
  <c r="C893" i="12787"/>
  <c r="K892" i="12787"/>
  <c r="I892" i="12787"/>
  <c r="C892" i="12787"/>
  <c r="K891" i="12787"/>
  <c r="I891" i="12787"/>
  <c r="D891" i="12787"/>
  <c r="C891" i="12787"/>
  <c r="I890" i="12787"/>
  <c r="K890" i="12787" s="1"/>
  <c r="E890" i="12787"/>
  <c r="G890" i="12787" s="1"/>
  <c r="C890" i="12787"/>
  <c r="C779" i="12787" s="1"/>
  <c r="K889" i="12787"/>
  <c r="I889" i="12787"/>
  <c r="I888" i="12787"/>
  <c r="K888" i="12787" s="1"/>
  <c r="K887" i="12787"/>
  <c r="I887" i="12787"/>
  <c r="O885" i="12787"/>
  <c r="K885" i="12787"/>
  <c r="G885" i="12787"/>
  <c r="E885" i="12787"/>
  <c r="E893" i="12787" s="1"/>
  <c r="K884" i="12787"/>
  <c r="E884" i="12787"/>
  <c r="D884" i="12787"/>
  <c r="D898" i="12787" s="1"/>
  <c r="K882" i="12787"/>
  <c r="G882" i="12787"/>
  <c r="E882" i="12787"/>
  <c r="O882" i="12787" s="1"/>
  <c r="O881" i="12787"/>
  <c r="K881" i="12787"/>
  <c r="G881" i="12787"/>
  <c r="E881" i="12787"/>
  <c r="D881" i="12787"/>
  <c r="O880" i="12787"/>
  <c r="K880" i="12787"/>
  <c r="H880" i="12787"/>
  <c r="G880" i="12787"/>
  <c r="E880" i="12787"/>
  <c r="E889" i="12787" s="1"/>
  <c r="G889" i="12787" s="1"/>
  <c r="C879" i="12787"/>
  <c r="K878" i="12787"/>
  <c r="E878" i="12787"/>
  <c r="K877" i="12787"/>
  <c r="E877" i="12787"/>
  <c r="K870" i="12787"/>
  <c r="G870" i="12787"/>
  <c r="C870" i="12787"/>
  <c r="C871" i="12787" s="1"/>
  <c r="C869" i="12787"/>
  <c r="D863" i="12787" s="1"/>
  <c r="G868" i="12787"/>
  <c r="C868" i="12787"/>
  <c r="E867" i="12787"/>
  <c r="C867" i="12787"/>
  <c r="I866" i="12787"/>
  <c r="K866" i="12787" s="1"/>
  <c r="K810" i="12787" s="1"/>
  <c r="C866" i="12787"/>
  <c r="C810" i="12787" s="1"/>
  <c r="C865" i="12787"/>
  <c r="E864" i="12787"/>
  <c r="C864" i="12787"/>
  <c r="I863" i="12787"/>
  <c r="K863" i="12787" s="1"/>
  <c r="E863" i="12787"/>
  <c r="C863" i="12787"/>
  <c r="D862" i="12787"/>
  <c r="K861" i="12787"/>
  <c r="C861" i="12787"/>
  <c r="I860" i="12787"/>
  <c r="K860" i="12787" s="1"/>
  <c r="I858" i="12787"/>
  <c r="K858" i="12787" s="1"/>
  <c r="E858" i="12787"/>
  <c r="D858" i="12787"/>
  <c r="C858" i="12787"/>
  <c r="I857" i="12787"/>
  <c r="I865" i="12787" s="1"/>
  <c r="K865" i="12787" s="1"/>
  <c r="D857" i="12787"/>
  <c r="D871" i="12787" s="1"/>
  <c r="C857" i="12787"/>
  <c r="I855" i="12787"/>
  <c r="C855" i="12787"/>
  <c r="K854" i="12787"/>
  <c r="K798" i="12787" s="1"/>
  <c r="K770" i="12787" s="1"/>
  <c r="I854" i="12787"/>
  <c r="E854" i="12787"/>
  <c r="C854" i="12787"/>
  <c r="I853" i="12787"/>
  <c r="I862" i="12787" s="1"/>
  <c r="K862" i="12787" s="1"/>
  <c r="C853" i="12787"/>
  <c r="D852" i="12787"/>
  <c r="C852" i="12787"/>
  <c r="K851" i="12787"/>
  <c r="I851" i="12787"/>
  <c r="I861" i="12787" s="1"/>
  <c r="E851" i="12787"/>
  <c r="C851" i="12787"/>
  <c r="I850" i="12787"/>
  <c r="K850" i="12787" s="1"/>
  <c r="H850" i="12787"/>
  <c r="C850" i="12787"/>
  <c r="G842" i="12787"/>
  <c r="K842" i="12787" s="1"/>
  <c r="C842" i="12787"/>
  <c r="C841" i="12787"/>
  <c r="E840" i="12787"/>
  <c r="C840" i="12787"/>
  <c r="C839" i="12787"/>
  <c r="C811" i="12787" s="1"/>
  <c r="C783" i="12787" s="1"/>
  <c r="C838" i="12787"/>
  <c r="C837" i="12787"/>
  <c r="I836" i="12787"/>
  <c r="K836" i="12787" s="1"/>
  <c r="E836" i="12787"/>
  <c r="D836" i="12787"/>
  <c r="C836" i="12787"/>
  <c r="I833" i="12787"/>
  <c r="K833" i="12787" s="1"/>
  <c r="I832" i="12787"/>
  <c r="K832" i="12787" s="1"/>
  <c r="K804" i="12787" s="1"/>
  <c r="K776" i="12787" s="1"/>
  <c r="K830" i="12787"/>
  <c r="I830" i="12787"/>
  <c r="I838" i="12787" s="1"/>
  <c r="K838" i="12787" s="1"/>
  <c r="E830" i="12787"/>
  <c r="C830" i="12787"/>
  <c r="K829" i="12787"/>
  <c r="I829" i="12787"/>
  <c r="I837" i="12787" s="1"/>
  <c r="K837" i="12787" s="1"/>
  <c r="K809" i="12787" s="1"/>
  <c r="K781" i="12787" s="1"/>
  <c r="D829" i="12787"/>
  <c r="D801" i="12787" s="1"/>
  <c r="C829" i="12787"/>
  <c r="I827" i="12787"/>
  <c r="K827" i="12787" s="1"/>
  <c r="E827" i="12787"/>
  <c r="G827" i="12787" s="1"/>
  <c r="C827" i="12787"/>
  <c r="K826" i="12787"/>
  <c r="I826" i="12787"/>
  <c r="I835" i="12787" s="1"/>
  <c r="K835" i="12787" s="1"/>
  <c r="K807" i="12787" s="1"/>
  <c r="G826" i="12787"/>
  <c r="C826" i="12787"/>
  <c r="K825" i="12787"/>
  <c r="I825" i="12787"/>
  <c r="I834" i="12787" s="1"/>
  <c r="K834" i="12787" s="1"/>
  <c r="K806" i="12787" s="1"/>
  <c r="K778" i="12787" s="1"/>
  <c r="E825" i="12787"/>
  <c r="C825" i="12787"/>
  <c r="D824" i="12787"/>
  <c r="C824" i="12787"/>
  <c r="K823" i="12787"/>
  <c r="I823" i="12787"/>
  <c r="H823" i="12787"/>
  <c r="I822" i="12787"/>
  <c r="C822" i="12787"/>
  <c r="O815" i="12787"/>
  <c r="K814" i="12787"/>
  <c r="H814" i="12787"/>
  <c r="G814" i="12787"/>
  <c r="G786" i="12787" s="1"/>
  <c r="K786" i="12787" s="1"/>
  <c r="D814" i="12787"/>
  <c r="D815" i="12787" s="1"/>
  <c r="D813" i="12787"/>
  <c r="E812" i="12787"/>
  <c r="E868" i="12787" s="1"/>
  <c r="C812" i="12787"/>
  <c r="E811" i="12787"/>
  <c r="E839" i="12787" s="1"/>
  <c r="D811" i="12787"/>
  <c r="I810" i="12787"/>
  <c r="E810" i="12787"/>
  <c r="I809" i="12787"/>
  <c r="I808" i="12787"/>
  <c r="E808" i="12787"/>
  <c r="C808" i="12787"/>
  <c r="C780" i="12787" s="1"/>
  <c r="I807" i="12787"/>
  <c r="C807" i="12787"/>
  <c r="I806" i="12787"/>
  <c r="E806" i="12787"/>
  <c r="C806" i="12787"/>
  <c r="C778" i="12787" s="1"/>
  <c r="I805" i="12787"/>
  <c r="E805" i="12787"/>
  <c r="D805" i="12787"/>
  <c r="D777" i="12787" s="1"/>
  <c r="M777" i="12787" s="1"/>
  <c r="C805" i="12787"/>
  <c r="I804" i="12787"/>
  <c r="D804" i="12787"/>
  <c r="C804" i="12787"/>
  <c r="C776" i="12787" s="1"/>
  <c r="E802" i="12787"/>
  <c r="O802" i="12787" s="1"/>
  <c r="C802" i="12787"/>
  <c r="C774" i="12787" s="1"/>
  <c r="E801" i="12787"/>
  <c r="O799" i="12787"/>
  <c r="E799" i="12787"/>
  <c r="E855" i="12787" s="1"/>
  <c r="G855" i="12787" s="1"/>
  <c r="E798" i="12787"/>
  <c r="E826" i="12787" s="1"/>
  <c r="E835" i="12787" s="1"/>
  <c r="G835" i="12787" s="1"/>
  <c r="C798" i="12787"/>
  <c r="C770" i="12787" s="1"/>
  <c r="E797" i="12787"/>
  <c r="E853" i="12787" s="1"/>
  <c r="D796" i="12787"/>
  <c r="K795" i="12787"/>
  <c r="K767" i="12787" s="1"/>
  <c r="E795" i="12787"/>
  <c r="E823" i="12787" s="1"/>
  <c r="E833" i="12787" s="1"/>
  <c r="G833" i="12787" s="1"/>
  <c r="D795" i="12787"/>
  <c r="C795" i="12787"/>
  <c r="E794" i="12787"/>
  <c r="E850" i="12787" s="1"/>
  <c r="D794" i="12787"/>
  <c r="D766" i="12787" s="1"/>
  <c r="M766" i="12787" s="1"/>
  <c r="H786" i="12787"/>
  <c r="D786" i="12787"/>
  <c r="D785" i="12787"/>
  <c r="I784" i="12787"/>
  <c r="C784" i="12787"/>
  <c r="I783" i="12787"/>
  <c r="D783" i="12787"/>
  <c r="I782" i="12787"/>
  <c r="E782" i="12787"/>
  <c r="I781" i="12787"/>
  <c r="E781" i="12787"/>
  <c r="I780" i="12787"/>
  <c r="E780" i="12787"/>
  <c r="I779" i="12787"/>
  <c r="E779" i="12787"/>
  <c r="I778" i="12787"/>
  <c r="E778" i="12787"/>
  <c r="I777" i="12787"/>
  <c r="E777" i="12787"/>
  <c r="C777" i="12787"/>
  <c r="I776" i="12787"/>
  <c r="E776" i="12787"/>
  <c r="D776" i="12787"/>
  <c r="M776" i="12787" s="1"/>
  <c r="O774" i="12787"/>
  <c r="O773" i="12787"/>
  <c r="O771" i="12787"/>
  <c r="O770" i="12787"/>
  <c r="V769" i="12787"/>
  <c r="O769" i="12787"/>
  <c r="U767" i="12787"/>
  <c r="W767" i="12787" s="1"/>
  <c r="O767" i="12787"/>
  <c r="M767" i="12787"/>
  <c r="D767" i="12787"/>
  <c r="C767" i="12787"/>
  <c r="O766" i="12787"/>
  <c r="O760" i="12787"/>
  <c r="G759" i="12787"/>
  <c r="K759" i="12787" s="1"/>
  <c r="C759" i="12787"/>
  <c r="C760" i="12787" s="1"/>
  <c r="C758" i="12787"/>
  <c r="K757" i="12787"/>
  <c r="D757" i="12787"/>
  <c r="I756" i="12787"/>
  <c r="D756" i="12787"/>
  <c r="I755" i="12787"/>
  <c r="E755" i="12787"/>
  <c r="G755" i="12787" s="1"/>
  <c r="D755" i="12787"/>
  <c r="H754" i="12787"/>
  <c r="G754" i="12787"/>
  <c r="E754" i="12787"/>
  <c r="E753" i="12787"/>
  <c r="G752" i="12787"/>
  <c r="I749" i="12787"/>
  <c r="E749" i="12787"/>
  <c r="C749" i="12787"/>
  <c r="H748" i="12787"/>
  <c r="K747" i="12787"/>
  <c r="E747" i="12787"/>
  <c r="H747" i="12787" s="1"/>
  <c r="C747" i="12787"/>
  <c r="M746" i="12787"/>
  <c r="I746" i="12787"/>
  <c r="K746" i="12787" s="1"/>
  <c r="H746" i="12787"/>
  <c r="E746" i="12787"/>
  <c r="G746" i="12787" s="1"/>
  <c r="I745" i="12787"/>
  <c r="E745" i="12787"/>
  <c r="M744" i="12787"/>
  <c r="K744" i="12787"/>
  <c r="H744" i="12787"/>
  <c r="G744" i="12787"/>
  <c r="I743" i="12787"/>
  <c r="M743" i="12787" s="1"/>
  <c r="G743" i="12787"/>
  <c r="E743" i="12787"/>
  <c r="E752" i="12787" s="1"/>
  <c r="H752" i="12787" s="1"/>
  <c r="D743" i="12787"/>
  <c r="H743" i="12787" s="1"/>
  <c r="M742" i="12787"/>
  <c r="I742" i="12787"/>
  <c r="I757" i="12787" s="1"/>
  <c r="M757" i="12787" s="1"/>
  <c r="E742" i="12787"/>
  <c r="E751" i="12787" s="1"/>
  <c r="H751" i="12787" s="1"/>
  <c r="D742" i="12787"/>
  <c r="D760" i="12787" s="1"/>
  <c r="K740" i="12787"/>
  <c r="I740" i="12787"/>
  <c r="I750" i="12787" s="1"/>
  <c r="K750" i="12787" s="1"/>
  <c r="G740" i="12787"/>
  <c r="E740" i="12787"/>
  <c r="D740" i="12787"/>
  <c r="H740" i="12787" s="1"/>
  <c r="C740" i="12787"/>
  <c r="M739" i="12787"/>
  <c r="K739" i="12787"/>
  <c r="I739" i="12787"/>
  <c r="H739" i="12787"/>
  <c r="G739" i="12787"/>
  <c r="E739" i="12787"/>
  <c r="M738" i="12787"/>
  <c r="I738" i="12787"/>
  <c r="I748" i="12787" s="1"/>
  <c r="M748" i="12787" s="1"/>
  <c r="H738" i="12787"/>
  <c r="E738" i="12787"/>
  <c r="E748" i="12787" s="1"/>
  <c r="G748" i="12787" s="1"/>
  <c r="D738" i="12787"/>
  <c r="C738" i="12787"/>
  <c r="I737" i="12787"/>
  <c r="E737" i="12787"/>
  <c r="D737" i="12787"/>
  <c r="C737" i="12787"/>
  <c r="I736" i="12787"/>
  <c r="I747" i="12787" s="1"/>
  <c r="M747" i="12787" s="1"/>
  <c r="G736" i="12787"/>
  <c r="E736" i="12787"/>
  <c r="H736" i="12787" s="1"/>
  <c r="M735" i="12787"/>
  <c r="K735" i="12787"/>
  <c r="I735" i="12787"/>
  <c r="H735" i="12787"/>
  <c r="G735" i="12787"/>
  <c r="E735" i="12787"/>
  <c r="D729" i="12787"/>
  <c r="G728" i="12787"/>
  <c r="G626" i="12787" s="1"/>
  <c r="K626" i="12787" s="1"/>
  <c r="C728" i="12787"/>
  <c r="C727" i="12787"/>
  <c r="D702" i="12787" s="1"/>
  <c r="C726" i="12787"/>
  <c r="C725" i="12787"/>
  <c r="C623" i="12787" s="1"/>
  <c r="I724" i="12787"/>
  <c r="K724" i="12787" s="1"/>
  <c r="C723" i="12787"/>
  <c r="D721" i="12787"/>
  <c r="E717" i="12787"/>
  <c r="E715" i="12787"/>
  <c r="E712" i="12787"/>
  <c r="G712" i="12787" s="1"/>
  <c r="D712" i="12787"/>
  <c r="K705" i="12787"/>
  <c r="I705" i="12787"/>
  <c r="G705" i="12787"/>
  <c r="E705" i="12787"/>
  <c r="E724" i="12787" s="1"/>
  <c r="G724" i="12787" s="1"/>
  <c r="C705" i="12787"/>
  <c r="E704" i="12787"/>
  <c r="C704" i="12787"/>
  <c r="E701" i="12787"/>
  <c r="I699" i="12787"/>
  <c r="K699" i="12787" s="1"/>
  <c r="E699" i="12787"/>
  <c r="H699" i="12787" s="1"/>
  <c r="H597" i="12787" s="1"/>
  <c r="E698" i="12787"/>
  <c r="E697" i="12787"/>
  <c r="C697" i="12787"/>
  <c r="K696" i="12787"/>
  <c r="G696" i="12787"/>
  <c r="E696" i="12787"/>
  <c r="C696" i="12787"/>
  <c r="I695" i="12787"/>
  <c r="E695" i="12787"/>
  <c r="E714" i="12787" s="1"/>
  <c r="C695" i="12787"/>
  <c r="E693" i="12787"/>
  <c r="G693" i="12787" s="1"/>
  <c r="C691" i="12787"/>
  <c r="C690" i="12787"/>
  <c r="C689" i="12787"/>
  <c r="I688" i="12787"/>
  <c r="E688" i="12787"/>
  <c r="H688" i="12787" s="1"/>
  <c r="E687" i="12787"/>
  <c r="I686" i="12787"/>
  <c r="K686" i="12787" s="1"/>
  <c r="E686" i="12787"/>
  <c r="H686" i="12787" s="1"/>
  <c r="H584" i="12787" s="1"/>
  <c r="H684" i="12787"/>
  <c r="E684" i="12787"/>
  <c r="G684" i="12787" s="1"/>
  <c r="D678" i="12787"/>
  <c r="K677" i="12787"/>
  <c r="G677" i="12787"/>
  <c r="C677" i="12787"/>
  <c r="I675" i="12787"/>
  <c r="K675" i="12787" s="1"/>
  <c r="K624" i="12787" s="1"/>
  <c r="G674" i="12787"/>
  <c r="E669" i="12787"/>
  <c r="E666" i="12787"/>
  <c r="H666" i="12787" s="1"/>
  <c r="E665" i="12787"/>
  <c r="H661" i="12787"/>
  <c r="H660" i="12787"/>
  <c r="E660" i="12787"/>
  <c r="G660" i="12787" s="1"/>
  <c r="G658" i="12787"/>
  <c r="I654" i="12787"/>
  <c r="E654" i="12787"/>
  <c r="C654" i="12787"/>
  <c r="I653" i="12787"/>
  <c r="I672" i="12787" s="1"/>
  <c r="K672" i="12787" s="1"/>
  <c r="E653" i="12787"/>
  <c r="G653" i="12787" s="1"/>
  <c r="C653" i="12787"/>
  <c r="C676" i="12787" s="1"/>
  <c r="D650" i="12787" s="1"/>
  <c r="G651" i="12787"/>
  <c r="E650" i="12787"/>
  <c r="G650" i="12787" s="1"/>
  <c r="H648" i="12787"/>
  <c r="E648" i="12787"/>
  <c r="G648" i="12787" s="1"/>
  <c r="H647" i="12787"/>
  <c r="E647" i="12787"/>
  <c r="G647" i="12787" s="1"/>
  <c r="H646" i="12787"/>
  <c r="E646" i="12787"/>
  <c r="G646" i="12787" s="1"/>
  <c r="C646" i="12787"/>
  <c r="H645" i="12787"/>
  <c r="E645" i="12787"/>
  <c r="G645" i="12787" s="1"/>
  <c r="G594" i="12787" s="1"/>
  <c r="C645" i="12787"/>
  <c r="I644" i="12787"/>
  <c r="E644" i="12787"/>
  <c r="E651" i="12787" s="1"/>
  <c r="C644" i="12787"/>
  <c r="H642" i="12787"/>
  <c r="G642" i="12787"/>
  <c r="E642" i="12787"/>
  <c r="E661" i="12787" s="1"/>
  <c r="G661" i="12787" s="1"/>
  <c r="G610" i="12787" s="1"/>
  <c r="C642" i="12787"/>
  <c r="C640" i="12787"/>
  <c r="C639" i="12787"/>
  <c r="H637" i="12787"/>
  <c r="H586" i="12787" s="1"/>
  <c r="E637" i="12787"/>
  <c r="G637" i="12787" s="1"/>
  <c r="C637" i="12787"/>
  <c r="E636" i="12787"/>
  <c r="C636" i="12787"/>
  <c r="I635" i="12787"/>
  <c r="K635" i="12787" s="1"/>
  <c r="H635" i="12787"/>
  <c r="G635" i="12787"/>
  <c r="E635" i="12787"/>
  <c r="E658" i="12787" s="1"/>
  <c r="H658" i="12787" s="1"/>
  <c r="C635" i="12787"/>
  <c r="K633" i="12787"/>
  <c r="G633" i="12787"/>
  <c r="E633" i="12787"/>
  <c r="H633" i="12787" s="1"/>
  <c r="C633" i="12787"/>
  <c r="C582" i="12787" s="1"/>
  <c r="O627" i="12787"/>
  <c r="H626" i="12787"/>
  <c r="D626" i="12787"/>
  <c r="C626" i="12787"/>
  <c r="D625" i="12787"/>
  <c r="D627" i="12787" s="1"/>
  <c r="I624" i="12787"/>
  <c r="I726" i="12787" s="1"/>
  <c r="K726" i="12787" s="1"/>
  <c r="E624" i="12787"/>
  <c r="E675" i="12787" s="1"/>
  <c r="C624" i="12787"/>
  <c r="I623" i="12787"/>
  <c r="I725" i="12787" s="1"/>
  <c r="K725" i="12787" s="1"/>
  <c r="E623" i="12787"/>
  <c r="E674" i="12787" s="1"/>
  <c r="H674" i="12787" s="1"/>
  <c r="D623" i="12787"/>
  <c r="I622" i="12787"/>
  <c r="E622" i="12787"/>
  <c r="C622" i="12787"/>
  <c r="E621" i="12787"/>
  <c r="C621" i="12787"/>
  <c r="E619" i="12787"/>
  <c r="C619" i="12787"/>
  <c r="E618" i="12787"/>
  <c r="C618" i="12787"/>
  <c r="E616" i="12787"/>
  <c r="D616" i="12787"/>
  <c r="C616" i="12787"/>
  <c r="E615" i="12787"/>
  <c r="D615" i="12787"/>
  <c r="C615" i="12787"/>
  <c r="E614" i="12787"/>
  <c r="C614" i="12787"/>
  <c r="E613" i="12787"/>
  <c r="C613" i="12787"/>
  <c r="E612" i="12787"/>
  <c r="C612" i="12787"/>
  <c r="E610" i="12787"/>
  <c r="C610" i="12787"/>
  <c r="E609" i="12787"/>
  <c r="D609" i="12787"/>
  <c r="C609" i="12787"/>
  <c r="E608" i="12787"/>
  <c r="D608" i="12787"/>
  <c r="C608" i="12787"/>
  <c r="I607" i="12787"/>
  <c r="E607" i="12787"/>
  <c r="D607" i="12787"/>
  <c r="M607" i="12787" s="1"/>
  <c r="C607" i="12787"/>
  <c r="E605" i="12787"/>
  <c r="D605" i="12787"/>
  <c r="C605" i="12787"/>
  <c r="O603" i="12787"/>
  <c r="C603" i="12787"/>
  <c r="I602" i="12787"/>
  <c r="O602" i="12787" s="1"/>
  <c r="C602" i="12787"/>
  <c r="I600" i="12787"/>
  <c r="E600" i="12787"/>
  <c r="C600" i="12787"/>
  <c r="I599" i="12787"/>
  <c r="E599" i="12787"/>
  <c r="C599" i="12787"/>
  <c r="I597" i="12787"/>
  <c r="O597" i="12787" s="1"/>
  <c r="D597" i="12787"/>
  <c r="C597" i="12787"/>
  <c r="I596" i="12787"/>
  <c r="O596" i="12787" s="1"/>
  <c r="D596" i="12787"/>
  <c r="C596" i="12787"/>
  <c r="I595" i="12787"/>
  <c r="O595" i="12787" s="1"/>
  <c r="C595" i="12787"/>
  <c r="I594" i="12787"/>
  <c r="I696" i="12787" s="1"/>
  <c r="I715" i="12787" s="1"/>
  <c r="K715" i="12787" s="1"/>
  <c r="C594" i="12787"/>
  <c r="I593" i="12787"/>
  <c r="O593" i="12787" s="1"/>
  <c r="C593" i="12787"/>
  <c r="I591" i="12787"/>
  <c r="O591" i="12787" s="1"/>
  <c r="C591" i="12787"/>
  <c r="D589" i="12787"/>
  <c r="C589" i="12787"/>
  <c r="D588" i="12787"/>
  <c r="C588" i="12787"/>
  <c r="D587" i="12787"/>
  <c r="O586" i="12787"/>
  <c r="I586" i="12787"/>
  <c r="M586" i="12787" s="1"/>
  <c r="D586" i="12787"/>
  <c r="C586" i="12787"/>
  <c r="O585" i="12787"/>
  <c r="I585" i="12787"/>
  <c r="M585" i="12787" s="1"/>
  <c r="D585" i="12787"/>
  <c r="C585" i="12787"/>
  <c r="M584" i="12787"/>
  <c r="D584" i="12787"/>
  <c r="C584" i="12787"/>
  <c r="M582" i="12787"/>
  <c r="I582" i="12787"/>
  <c r="I633" i="12787" s="1"/>
  <c r="I656" i="12787" s="1"/>
  <c r="K656" i="12787" s="1"/>
  <c r="G582" i="12787"/>
  <c r="D582" i="12787"/>
  <c r="K575" i="12787"/>
  <c r="G575" i="12787"/>
  <c r="C575" i="12787"/>
  <c r="C573" i="12787"/>
  <c r="C572" i="12787"/>
  <c r="I571" i="12787"/>
  <c r="K571" i="12787" s="1"/>
  <c r="E571" i="12787"/>
  <c r="C571" i="12787"/>
  <c r="E570" i="12787"/>
  <c r="C569" i="12787"/>
  <c r="I567" i="12787"/>
  <c r="K567" i="12787" s="1"/>
  <c r="C567" i="12787"/>
  <c r="I566" i="12787"/>
  <c r="K566" i="12787" s="1"/>
  <c r="E565" i="12787"/>
  <c r="I564" i="12787"/>
  <c r="K564" i="12787" s="1"/>
  <c r="I563" i="12787"/>
  <c r="K563" i="12787" s="1"/>
  <c r="E563" i="12787"/>
  <c r="H563" i="12787" s="1"/>
  <c r="E562" i="12787"/>
  <c r="I560" i="12787"/>
  <c r="K560" i="12787" s="1"/>
  <c r="E560" i="12787"/>
  <c r="G560" i="12787" s="1"/>
  <c r="C560" i="12787"/>
  <c r="E559" i="12787"/>
  <c r="I558" i="12787"/>
  <c r="E558" i="12787"/>
  <c r="C558" i="12787"/>
  <c r="I555" i="12787"/>
  <c r="K555" i="12787" s="1"/>
  <c r="E555" i="12787"/>
  <c r="C555" i="12787"/>
  <c r="K553" i="12787"/>
  <c r="I553" i="12787"/>
  <c r="E553" i="12787"/>
  <c r="E566" i="12787" s="1"/>
  <c r="G566" i="12787" s="1"/>
  <c r="C553" i="12787"/>
  <c r="I552" i="12787"/>
  <c r="E552" i="12787"/>
  <c r="C552" i="12787"/>
  <c r="G552" i="12787" s="1"/>
  <c r="D551" i="12787"/>
  <c r="I550" i="12787"/>
  <c r="H550" i="12787"/>
  <c r="E550" i="12787"/>
  <c r="E564" i="12787" s="1"/>
  <c r="C550" i="12787"/>
  <c r="K550" i="12787" s="1"/>
  <c r="I549" i="12787"/>
  <c r="K549" i="12787" s="1"/>
  <c r="H549" i="12787"/>
  <c r="E549" i="12787"/>
  <c r="G549" i="12787" s="1"/>
  <c r="G481" i="12787" s="1"/>
  <c r="C549" i="12787"/>
  <c r="I548" i="12787"/>
  <c r="E548" i="12787"/>
  <c r="H548" i="12787" s="1"/>
  <c r="C548" i="12787"/>
  <c r="G541" i="12787"/>
  <c r="K541" i="12787" s="1"/>
  <c r="C541" i="12787"/>
  <c r="C540" i="12787"/>
  <c r="C539" i="12787"/>
  <c r="C538" i="12787"/>
  <c r="C537" i="12787"/>
  <c r="C536" i="12787"/>
  <c r="E535" i="12787"/>
  <c r="C535" i="12787"/>
  <c r="C533" i="12787"/>
  <c r="G532" i="12787"/>
  <c r="G498" i="12787" s="1"/>
  <c r="C531" i="12787"/>
  <c r="C530" i="12787"/>
  <c r="H529" i="12787"/>
  <c r="E529" i="12787"/>
  <c r="G529" i="12787" s="1"/>
  <c r="C529" i="12787"/>
  <c r="C495" i="12787" s="1"/>
  <c r="I526" i="12787"/>
  <c r="K526" i="12787" s="1"/>
  <c r="K492" i="12787" s="1"/>
  <c r="E526" i="12787"/>
  <c r="G526" i="12787" s="1"/>
  <c r="G492" i="12787" s="1"/>
  <c r="C526" i="12787"/>
  <c r="G525" i="12787"/>
  <c r="E525" i="12787"/>
  <c r="E536" i="12787" s="1"/>
  <c r="G536" i="12787" s="1"/>
  <c r="C525" i="12787"/>
  <c r="I524" i="12787"/>
  <c r="K524" i="12787" s="1"/>
  <c r="E524" i="12787"/>
  <c r="C524" i="12787"/>
  <c r="I521" i="12787"/>
  <c r="K521" i="12787" s="1"/>
  <c r="K487" i="12787" s="1"/>
  <c r="E521" i="12787"/>
  <c r="G521" i="12787" s="1"/>
  <c r="C521" i="12787"/>
  <c r="K519" i="12787"/>
  <c r="K485" i="12787" s="1"/>
  <c r="I519" i="12787"/>
  <c r="I532" i="12787" s="1"/>
  <c r="K532" i="12787" s="1"/>
  <c r="K498" i="12787" s="1"/>
  <c r="G519" i="12787"/>
  <c r="E519" i="12787"/>
  <c r="E532" i="12787" s="1"/>
  <c r="C519" i="12787"/>
  <c r="I518" i="12787"/>
  <c r="E518" i="12787"/>
  <c r="C518" i="12787"/>
  <c r="D517" i="12787"/>
  <c r="K516" i="12787"/>
  <c r="K482" i="12787" s="1"/>
  <c r="I516" i="12787"/>
  <c r="I530" i="12787" s="1"/>
  <c r="K530" i="12787" s="1"/>
  <c r="H516" i="12787"/>
  <c r="G516" i="12787"/>
  <c r="E516" i="12787"/>
  <c r="E530" i="12787" s="1"/>
  <c r="H530" i="12787" s="1"/>
  <c r="C516" i="12787"/>
  <c r="I515" i="12787"/>
  <c r="I529" i="12787" s="1"/>
  <c r="K529" i="12787" s="1"/>
  <c r="K495" i="12787" s="1"/>
  <c r="H515" i="12787"/>
  <c r="H481" i="12787" s="1"/>
  <c r="E515" i="12787"/>
  <c r="G515" i="12787" s="1"/>
  <c r="C515" i="12787"/>
  <c r="I514" i="12787"/>
  <c r="I528" i="12787" s="1"/>
  <c r="K528" i="12787" s="1"/>
  <c r="E514" i="12787"/>
  <c r="C514" i="12787"/>
  <c r="O508" i="12787"/>
  <c r="H507" i="12787"/>
  <c r="D507" i="12787"/>
  <c r="C507" i="12787"/>
  <c r="D506" i="12787"/>
  <c r="I505" i="12787"/>
  <c r="E505" i="12787"/>
  <c r="C505" i="12787"/>
  <c r="I504" i="12787"/>
  <c r="E504" i="12787"/>
  <c r="D504" i="12787"/>
  <c r="C504" i="12787"/>
  <c r="I503" i="12787"/>
  <c r="E503" i="12787"/>
  <c r="C503" i="12787"/>
  <c r="E502" i="12787"/>
  <c r="E464" i="12787" s="1"/>
  <c r="I501" i="12787"/>
  <c r="E501" i="12787"/>
  <c r="E463" i="12787" s="1"/>
  <c r="I500" i="12787"/>
  <c r="E500" i="12787"/>
  <c r="C500" i="12787"/>
  <c r="I499" i="12787"/>
  <c r="E499" i="12787"/>
  <c r="E462" i="12787" s="1"/>
  <c r="C499" i="12787"/>
  <c r="I498" i="12787"/>
  <c r="E498" i="12787"/>
  <c r="E461" i="12787" s="1"/>
  <c r="G461" i="12787" s="1"/>
  <c r="C498" i="12787"/>
  <c r="I497" i="12787"/>
  <c r="E497" i="12787"/>
  <c r="C497" i="12787"/>
  <c r="I496" i="12787"/>
  <c r="M496" i="12787" s="1"/>
  <c r="E496" i="12787"/>
  <c r="D496" i="12787"/>
  <c r="C496" i="12787"/>
  <c r="I495" i="12787"/>
  <c r="M495" i="12787" s="1"/>
  <c r="E495" i="12787"/>
  <c r="E458" i="12787" s="1"/>
  <c r="G458" i="12787" s="1"/>
  <c r="D495" i="12787"/>
  <c r="I494" i="12787"/>
  <c r="M494" i="12787" s="1"/>
  <c r="E494" i="12787"/>
  <c r="D494" i="12787"/>
  <c r="C494" i="12787"/>
  <c r="O492" i="12787"/>
  <c r="C492" i="12787"/>
  <c r="I491" i="12787"/>
  <c r="I502" i="12787" s="1"/>
  <c r="O490" i="12787"/>
  <c r="C490" i="12787"/>
  <c r="I488" i="12787"/>
  <c r="O488" i="12787" s="1"/>
  <c r="E488" i="12787"/>
  <c r="C488" i="12787"/>
  <c r="O487" i="12787"/>
  <c r="C487" i="12787"/>
  <c r="O485" i="12787"/>
  <c r="C485" i="12787"/>
  <c r="O484" i="12787"/>
  <c r="D483" i="12787"/>
  <c r="O482" i="12787"/>
  <c r="M482" i="12787"/>
  <c r="H482" i="12787"/>
  <c r="D482" i="12787"/>
  <c r="C482" i="12787"/>
  <c r="O481" i="12787"/>
  <c r="M481" i="12787"/>
  <c r="D481" i="12787"/>
  <c r="O480" i="12787"/>
  <c r="M480" i="12787"/>
  <c r="D480" i="12787"/>
  <c r="C480" i="12787"/>
  <c r="C474" i="12787"/>
  <c r="D472" i="12787"/>
  <c r="D474" i="12787" s="1"/>
  <c r="C472" i="12787"/>
  <c r="K471" i="12787"/>
  <c r="I471" i="12787"/>
  <c r="H471" i="12787"/>
  <c r="I470" i="12787"/>
  <c r="K470" i="12787" s="1"/>
  <c r="K469" i="12787"/>
  <c r="I469" i="12787"/>
  <c r="K468" i="12787"/>
  <c r="H468" i="12787"/>
  <c r="G468" i="12787"/>
  <c r="K467" i="12787"/>
  <c r="H467" i="12787"/>
  <c r="G467" i="12787"/>
  <c r="I466" i="12787"/>
  <c r="K466" i="12787" s="1"/>
  <c r="H466" i="12787"/>
  <c r="E466" i="12787"/>
  <c r="G466" i="12787" s="1"/>
  <c r="K465" i="12787"/>
  <c r="I465" i="12787"/>
  <c r="H465" i="12787"/>
  <c r="E465" i="12787"/>
  <c r="G465" i="12787" s="1"/>
  <c r="H464" i="12787"/>
  <c r="G464" i="12787"/>
  <c r="H463" i="12787"/>
  <c r="G463" i="12787"/>
  <c r="I462" i="12787"/>
  <c r="K462" i="12787" s="1"/>
  <c r="H462" i="12787"/>
  <c r="G462" i="12787"/>
  <c r="K461" i="12787"/>
  <c r="I461" i="12787"/>
  <c r="H461" i="12787"/>
  <c r="I460" i="12787"/>
  <c r="K460" i="12787" s="1"/>
  <c r="H460" i="12787"/>
  <c r="E460" i="12787"/>
  <c r="G460" i="12787" s="1"/>
  <c r="I459" i="12787"/>
  <c r="K459" i="12787" s="1"/>
  <c r="H459" i="12787"/>
  <c r="E459" i="12787"/>
  <c r="G459" i="12787" s="1"/>
  <c r="H458" i="12787"/>
  <c r="K457" i="12787"/>
  <c r="I457" i="12787"/>
  <c r="H457" i="12787"/>
  <c r="E457" i="12787"/>
  <c r="G457" i="12787" s="1"/>
  <c r="K455" i="12787"/>
  <c r="I455" i="12787"/>
  <c r="H455" i="12787"/>
  <c r="G455" i="12787"/>
  <c r="E455" i="12787"/>
  <c r="I454" i="12787"/>
  <c r="K454" i="12787" s="1"/>
  <c r="H454" i="12787"/>
  <c r="G454" i="12787"/>
  <c r="E454" i="12787"/>
  <c r="I453" i="12787"/>
  <c r="K453" i="12787" s="1"/>
  <c r="H453" i="12787"/>
  <c r="E453" i="12787"/>
  <c r="K452" i="12787"/>
  <c r="I452" i="12787"/>
  <c r="H452" i="12787"/>
  <c r="E452" i="12787"/>
  <c r="G452" i="12787" s="1"/>
  <c r="I450" i="12787"/>
  <c r="K450" i="12787" s="1"/>
  <c r="H450" i="12787"/>
  <c r="G450" i="12787"/>
  <c r="E450" i="12787"/>
  <c r="E470" i="12787" s="1"/>
  <c r="K448" i="12787"/>
  <c r="I448" i="12787"/>
  <c r="H448" i="12787"/>
  <c r="G448" i="12787"/>
  <c r="E448" i="12787"/>
  <c r="K447" i="12787"/>
  <c r="I447" i="12787"/>
  <c r="H447" i="12787"/>
  <c r="G447" i="12787"/>
  <c r="E447" i="12787"/>
  <c r="D446" i="12787"/>
  <c r="C446" i="12787"/>
  <c r="I445" i="12787"/>
  <c r="K445" i="12787" s="1"/>
  <c r="H445" i="12787"/>
  <c r="E445" i="12787"/>
  <c r="G445" i="12787" s="1"/>
  <c r="I444" i="12787"/>
  <c r="K444" i="12787" s="1"/>
  <c r="H444" i="12787"/>
  <c r="E444" i="12787"/>
  <c r="G444" i="12787" s="1"/>
  <c r="K443" i="12787"/>
  <c r="I443" i="12787"/>
  <c r="H443" i="12787"/>
  <c r="E443" i="12787"/>
  <c r="G443" i="12787" s="1"/>
  <c r="D436" i="12787"/>
  <c r="K435" i="12787"/>
  <c r="G435" i="12787"/>
  <c r="C435" i="12787"/>
  <c r="C434" i="12787"/>
  <c r="C436" i="12787" s="1"/>
  <c r="D432" i="12787"/>
  <c r="E430" i="12787"/>
  <c r="D430" i="12787"/>
  <c r="D428" i="12787"/>
  <c r="I426" i="12787"/>
  <c r="K426" i="12787" s="1"/>
  <c r="E426" i="12787"/>
  <c r="D426" i="12787"/>
  <c r="D425" i="12787"/>
  <c r="D424" i="12787"/>
  <c r="I422" i="12787"/>
  <c r="K422" i="12787" s="1"/>
  <c r="G422" i="12787"/>
  <c r="E422" i="12787"/>
  <c r="E431" i="12787" s="1"/>
  <c r="G431" i="12787" s="1"/>
  <c r="E421" i="12787"/>
  <c r="D421" i="12787"/>
  <c r="K419" i="12787"/>
  <c r="I419" i="12787"/>
  <c r="I428" i="12787" s="1"/>
  <c r="K428" i="12787" s="1"/>
  <c r="G419" i="12787"/>
  <c r="E419" i="12787"/>
  <c r="H419" i="12787" s="1"/>
  <c r="D419" i="12787"/>
  <c r="K418" i="12787"/>
  <c r="I418" i="12787"/>
  <c r="I427" i="12787" s="1"/>
  <c r="K427" i="12787" s="1"/>
  <c r="G418" i="12787"/>
  <c r="E418" i="12787"/>
  <c r="E427" i="12787" s="1"/>
  <c r="G427" i="12787" s="1"/>
  <c r="C416" i="12787"/>
  <c r="K415" i="12787"/>
  <c r="I415" i="12787"/>
  <c r="H415" i="12787"/>
  <c r="G415" i="12787"/>
  <c r="E415" i="12787"/>
  <c r="G414" i="12787"/>
  <c r="E414" i="12787"/>
  <c r="E425" i="12787" s="1"/>
  <c r="D414" i="12787"/>
  <c r="H414" i="12787" s="1"/>
  <c r="E413" i="12787"/>
  <c r="H413" i="12787" s="1"/>
  <c r="D413" i="12787"/>
  <c r="D407" i="12787"/>
  <c r="G406" i="12787"/>
  <c r="G377" i="12787" s="1"/>
  <c r="K377" i="12787" s="1"/>
  <c r="C406" i="12787"/>
  <c r="I402" i="12787"/>
  <c r="K402" i="12787" s="1"/>
  <c r="E399" i="12787"/>
  <c r="I398" i="12787"/>
  <c r="K398" i="12787" s="1"/>
  <c r="K369" i="12787" s="1"/>
  <c r="G397" i="12787"/>
  <c r="E397" i="12787"/>
  <c r="D396" i="12787"/>
  <c r="E395" i="12787"/>
  <c r="I393" i="12787"/>
  <c r="K393" i="12787" s="1"/>
  <c r="K364" i="12787" s="1"/>
  <c r="E393" i="12787"/>
  <c r="G393" i="12787" s="1"/>
  <c r="G392" i="12787"/>
  <c r="E392" i="12787"/>
  <c r="E401" i="12787" s="1"/>
  <c r="C391" i="12787"/>
  <c r="I390" i="12787"/>
  <c r="I399" i="12787" s="1"/>
  <c r="K399" i="12787" s="1"/>
  <c r="E390" i="12787"/>
  <c r="C390" i="12787"/>
  <c r="K389" i="12787"/>
  <c r="I389" i="12787"/>
  <c r="E389" i="12787"/>
  <c r="E398" i="12787" s="1"/>
  <c r="C388" i="12787"/>
  <c r="C359" i="12787" s="1"/>
  <c r="C387" i="12787"/>
  <c r="D384" i="12787" s="1"/>
  <c r="D355" i="12787" s="1"/>
  <c r="I386" i="12787"/>
  <c r="K386" i="12787" s="1"/>
  <c r="K357" i="12787" s="1"/>
  <c r="K151" i="12787" s="1"/>
  <c r="G386" i="12787"/>
  <c r="G357" i="12787" s="1"/>
  <c r="G151" i="12787" s="1"/>
  <c r="E386" i="12787"/>
  <c r="G385" i="12787"/>
  <c r="G356" i="12787" s="1"/>
  <c r="E385" i="12787"/>
  <c r="E396" i="12787" s="1"/>
  <c r="D385" i="12787"/>
  <c r="H385" i="12787" s="1"/>
  <c r="H356" i="12787" s="1"/>
  <c r="H150" i="12787" s="1"/>
  <c r="H384" i="12787"/>
  <c r="G384" i="12787"/>
  <c r="E384" i="12787"/>
  <c r="H377" i="12787"/>
  <c r="D377" i="12787"/>
  <c r="C377" i="12787"/>
  <c r="D376" i="12787"/>
  <c r="D378" i="12787" s="1"/>
  <c r="I370" i="12787"/>
  <c r="E370" i="12787"/>
  <c r="I364" i="12787"/>
  <c r="I373" i="12787" s="1"/>
  <c r="G364" i="12787"/>
  <c r="E364" i="12787"/>
  <c r="E373" i="12787" s="1"/>
  <c r="C364" i="12787"/>
  <c r="E363" i="12787"/>
  <c r="E372" i="12787" s="1"/>
  <c r="C363" i="12787"/>
  <c r="C362" i="12787"/>
  <c r="I361" i="12787"/>
  <c r="E361" i="12787"/>
  <c r="C361" i="12787"/>
  <c r="K360" i="12787"/>
  <c r="I360" i="12787"/>
  <c r="I369" i="12787" s="1"/>
  <c r="E360" i="12787"/>
  <c r="E369" i="12787" s="1"/>
  <c r="C360" i="12787"/>
  <c r="C358" i="12787"/>
  <c r="I357" i="12787"/>
  <c r="I368" i="12787" s="1"/>
  <c r="E357" i="12787"/>
  <c r="E368" i="12787" s="1"/>
  <c r="C357" i="12787"/>
  <c r="E356" i="12787"/>
  <c r="E367" i="12787" s="1"/>
  <c r="D356" i="12787"/>
  <c r="C356" i="12787"/>
  <c r="E355" i="12787"/>
  <c r="E366" i="12787" s="1"/>
  <c r="C355" i="12787"/>
  <c r="D348" i="12787"/>
  <c r="G347" i="12787"/>
  <c r="K347" i="12787" s="1"/>
  <c r="C347" i="12787"/>
  <c r="E342" i="12787"/>
  <c r="E341" i="12787"/>
  <c r="H341" i="12787" s="1"/>
  <c r="H340" i="12787"/>
  <c r="K338" i="12787"/>
  <c r="I338" i="12787"/>
  <c r="G337" i="12787"/>
  <c r="E337" i="12787"/>
  <c r="H337" i="12787" s="1"/>
  <c r="I334" i="12787"/>
  <c r="K334" i="12787" s="1"/>
  <c r="H334" i="12787"/>
  <c r="E334" i="12787"/>
  <c r="G334" i="12787" s="1"/>
  <c r="E333" i="12787"/>
  <c r="H332" i="12787"/>
  <c r="G332" i="12787"/>
  <c r="E332" i="12787"/>
  <c r="I331" i="12787"/>
  <c r="E331" i="12787"/>
  <c r="E340" i="12787" s="1"/>
  <c r="G340" i="12787" s="1"/>
  <c r="C331" i="12787"/>
  <c r="C333" i="12787" s="1"/>
  <c r="I330" i="12787"/>
  <c r="I339" i="12787" s="1"/>
  <c r="K339" i="12787" s="1"/>
  <c r="H330" i="12787"/>
  <c r="G330" i="12787"/>
  <c r="E330" i="12787"/>
  <c r="E339" i="12787" s="1"/>
  <c r="D328" i="12787"/>
  <c r="C328" i="12787"/>
  <c r="K327" i="12787"/>
  <c r="I327" i="12787"/>
  <c r="G327" i="12787"/>
  <c r="E327" i="12787"/>
  <c r="E338" i="12787" s="1"/>
  <c r="H326" i="12787"/>
  <c r="G326" i="12787"/>
  <c r="E326" i="12787"/>
  <c r="I325" i="12787"/>
  <c r="H325" i="12787"/>
  <c r="E325" i="12787"/>
  <c r="G325" i="12787" s="1"/>
  <c r="D325" i="12787"/>
  <c r="D319" i="12787"/>
  <c r="G318" i="12787"/>
  <c r="K318" i="12787" s="1"/>
  <c r="C318" i="12787"/>
  <c r="G314" i="12787"/>
  <c r="E314" i="12787"/>
  <c r="E312" i="12787"/>
  <c r="G310" i="12787"/>
  <c r="E310" i="12787"/>
  <c r="E308" i="12787"/>
  <c r="H308" i="12787" s="1"/>
  <c r="K305" i="12787"/>
  <c r="I305" i="12787"/>
  <c r="I314" i="12787" s="1"/>
  <c r="K314" i="12787" s="1"/>
  <c r="E305" i="12787"/>
  <c r="G305" i="12787" s="1"/>
  <c r="E304" i="12787"/>
  <c r="G303" i="12787"/>
  <c r="E303" i="12787"/>
  <c r="C303" i="12787"/>
  <c r="I302" i="12787"/>
  <c r="K302" i="12787" s="1"/>
  <c r="E302" i="12787"/>
  <c r="C302" i="12787"/>
  <c r="C304" i="12787" s="1"/>
  <c r="C275" i="12787" s="1"/>
  <c r="I301" i="12787"/>
  <c r="I310" i="12787" s="1"/>
  <c r="K310" i="12787" s="1"/>
  <c r="H301" i="12787"/>
  <c r="G301" i="12787"/>
  <c r="G272" i="12787" s="1"/>
  <c r="E301" i="12787"/>
  <c r="C300" i="12787"/>
  <c r="D299" i="12787" s="1"/>
  <c r="C299" i="12787"/>
  <c r="I298" i="12787"/>
  <c r="I309" i="12787" s="1"/>
  <c r="K309" i="12787" s="1"/>
  <c r="K280" i="12787" s="1"/>
  <c r="H298" i="12787"/>
  <c r="G298" i="12787"/>
  <c r="E298" i="12787"/>
  <c r="E309" i="12787" s="1"/>
  <c r="H297" i="12787"/>
  <c r="E297" i="12787"/>
  <c r="G297" i="12787" s="1"/>
  <c r="G268" i="12787" s="1"/>
  <c r="K296" i="12787"/>
  <c r="I296" i="12787"/>
  <c r="I307" i="12787" s="1"/>
  <c r="K307" i="12787" s="1"/>
  <c r="G296" i="12787"/>
  <c r="E296" i="12787"/>
  <c r="E307" i="12787" s="1"/>
  <c r="G307" i="12787" s="1"/>
  <c r="D296" i="12787"/>
  <c r="D267" i="12787" s="1"/>
  <c r="D270" i="12787" s="1"/>
  <c r="C296" i="12787"/>
  <c r="H289" i="12787"/>
  <c r="D289" i="12787"/>
  <c r="C289" i="12787"/>
  <c r="D288" i="12787"/>
  <c r="D290" i="12787" s="1"/>
  <c r="I282" i="12787"/>
  <c r="H279" i="12787"/>
  <c r="K276" i="12787"/>
  <c r="I276" i="12787"/>
  <c r="I285" i="12787" s="1"/>
  <c r="E276" i="12787"/>
  <c r="E285" i="12787" s="1"/>
  <c r="C276" i="12787"/>
  <c r="I275" i="12787"/>
  <c r="I284" i="12787" s="1"/>
  <c r="E275" i="12787"/>
  <c r="E284" i="12787" s="1"/>
  <c r="G274" i="12787"/>
  <c r="E274" i="12787"/>
  <c r="E283" i="12787" s="1"/>
  <c r="C274" i="12787"/>
  <c r="I273" i="12787"/>
  <c r="E273" i="12787"/>
  <c r="E282" i="12787" s="1"/>
  <c r="C273" i="12787"/>
  <c r="I272" i="12787"/>
  <c r="I281" i="12787" s="1"/>
  <c r="E272" i="12787"/>
  <c r="E281" i="12787" s="1"/>
  <c r="D272" i="12787"/>
  <c r="C272" i="12787"/>
  <c r="D271" i="12787"/>
  <c r="I269" i="12787"/>
  <c r="I280" i="12787" s="1"/>
  <c r="E269" i="12787"/>
  <c r="E280" i="12787" s="1"/>
  <c r="D269" i="12787"/>
  <c r="C269" i="12787"/>
  <c r="H268" i="12787"/>
  <c r="E268" i="12787"/>
  <c r="E279" i="12787" s="1"/>
  <c r="D268" i="12787"/>
  <c r="C268" i="12787"/>
  <c r="I267" i="12787"/>
  <c r="I278" i="12787" s="1"/>
  <c r="G267" i="12787"/>
  <c r="E267" i="12787"/>
  <c r="E278" i="12787" s="1"/>
  <c r="C267" i="12787"/>
  <c r="C270" i="12787" s="1"/>
  <c r="D261" i="12787"/>
  <c r="K260" i="12787"/>
  <c r="G260" i="12787"/>
  <c r="C260" i="12787"/>
  <c r="C204" i="12787" s="1"/>
  <c r="E256" i="12787"/>
  <c r="E252" i="12787"/>
  <c r="I251" i="12787"/>
  <c r="K251" i="12787" s="1"/>
  <c r="I247" i="12787"/>
  <c r="K247" i="12787" s="1"/>
  <c r="E247" i="12787"/>
  <c r="C247" i="12787"/>
  <c r="E246" i="12787"/>
  <c r="E255" i="12787" s="1"/>
  <c r="I245" i="12787"/>
  <c r="E245" i="12787"/>
  <c r="E254" i="12787" s="1"/>
  <c r="C245" i="12787"/>
  <c r="K244" i="12787"/>
  <c r="I244" i="12787"/>
  <c r="I253" i="12787" s="1"/>
  <c r="K253" i="12787" s="1"/>
  <c r="E244" i="12787"/>
  <c r="E253" i="12787" s="1"/>
  <c r="G253" i="12787" s="1"/>
  <c r="C244" i="12787"/>
  <c r="K243" i="12787"/>
  <c r="I243" i="12787"/>
  <c r="I252" i="12787" s="1"/>
  <c r="K252" i="12787" s="1"/>
  <c r="G243" i="12787"/>
  <c r="E243" i="12787"/>
  <c r="C243" i="12787"/>
  <c r="K241" i="12787"/>
  <c r="I241" i="12787"/>
  <c r="G241" i="12787"/>
  <c r="E241" i="12787"/>
  <c r="C241" i="12787"/>
  <c r="E240" i="12787"/>
  <c r="C240" i="12787"/>
  <c r="C184" i="12787" s="1"/>
  <c r="I239" i="12787"/>
  <c r="K239" i="12787" s="1"/>
  <c r="G239" i="12787"/>
  <c r="E239" i="12787"/>
  <c r="E249" i="12787" s="1"/>
  <c r="G249" i="12787" s="1"/>
  <c r="C239" i="12787"/>
  <c r="C242" i="12787" s="1"/>
  <c r="D240" i="12787" s="1"/>
  <c r="D184" i="12787" s="1"/>
  <c r="D154" i="12787" s="1"/>
  <c r="D233" i="12787"/>
  <c r="G232" i="12787"/>
  <c r="C232" i="12787"/>
  <c r="C231" i="12787"/>
  <c r="D224" i="12787" s="1"/>
  <c r="E230" i="12787"/>
  <c r="G230" i="12787" s="1"/>
  <c r="C230" i="12787"/>
  <c r="D229" i="12787"/>
  <c r="C229" i="12787"/>
  <c r="I228" i="12787"/>
  <c r="K228" i="12787" s="1"/>
  <c r="E228" i="12787"/>
  <c r="G228" i="12787" s="1"/>
  <c r="C228" i="12787"/>
  <c r="G226" i="12787"/>
  <c r="E226" i="12787"/>
  <c r="C226" i="12787"/>
  <c r="C198" i="12787" s="1"/>
  <c r="C169" i="12787" s="1"/>
  <c r="E225" i="12787"/>
  <c r="D225" i="12787"/>
  <c r="C225" i="12787"/>
  <c r="C227" i="12787" s="1"/>
  <c r="C199" i="12787" s="1"/>
  <c r="C170" i="12787" s="1"/>
  <c r="C224" i="12787"/>
  <c r="C196" i="12787" s="1"/>
  <c r="C167" i="12787" s="1"/>
  <c r="C223" i="12787"/>
  <c r="C195" i="12787" s="1"/>
  <c r="C166" i="12787" s="1"/>
  <c r="C222" i="12787"/>
  <c r="I221" i="12787"/>
  <c r="K221" i="12787" s="1"/>
  <c r="E221" i="12787"/>
  <c r="G221" i="12787" s="1"/>
  <c r="G193" i="12787" s="1"/>
  <c r="C221" i="12787"/>
  <c r="K219" i="12787"/>
  <c r="K191" i="12787" s="1"/>
  <c r="I219" i="12787"/>
  <c r="G219" i="12787"/>
  <c r="E219" i="12787"/>
  <c r="C219" i="12787"/>
  <c r="I218" i="12787"/>
  <c r="E218" i="12787"/>
  <c r="D218" i="12787"/>
  <c r="C218" i="12787"/>
  <c r="H217" i="12787"/>
  <c r="E217" i="12787"/>
  <c r="D217" i="12787"/>
  <c r="C217" i="12787"/>
  <c r="I216" i="12787"/>
  <c r="K216" i="12787" s="1"/>
  <c r="K188" i="12787" s="1"/>
  <c r="G216" i="12787"/>
  <c r="E216" i="12787"/>
  <c r="C216" i="12787"/>
  <c r="K215" i="12787"/>
  <c r="K187" i="12787" s="1"/>
  <c r="I215" i="12787"/>
  <c r="I224" i="12787" s="1"/>
  <c r="K224" i="12787" s="1"/>
  <c r="K196" i="12787" s="1"/>
  <c r="E215" i="12787"/>
  <c r="C215" i="12787"/>
  <c r="D214" i="12787"/>
  <c r="C214" i="12787"/>
  <c r="I213" i="12787"/>
  <c r="I223" i="12787" s="1"/>
  <c r="K223" i="12787" s="1"/>
  <c r="G213" i="12787"/>
  <c r="E213" i="12787"/>
  <c r="C213" i="12787"/>
  <c r="C185" i="12787" s="1"/>
  <c r="C155" i="12787" s="1"/>
  <c r="E212" i="12787"/>
  <c r="C212" i="12787"/>
  <c r="I211" i="12787"/>
  <c r="K211" i="12787" s="1"/>
  <c r="H211" i="12787"/>
  <c r="E211" i="12787"/>
  <c r="G211" i="12787" s="1"/>
  <c r="C211" i="12787"/>
  <c r="D205" i="12787"/>
  <c r="H204" i="12787"/>
  <c r="H175" i="12787" s="1"/>
  <c r="D204" i="12787"/>
  <c r="D175" i="12787" s="1"/>
  <c r="D203" i="12787"/>
  <c r="E202" i="12787"/>
  <c r="C202" i="12787"/>
  <c r="C201" i="12787"/>
  <c r="C172" i="12787" s="1"/>
  <c r="I200" i="12787"/>
  <c r="C200" i="12787"/>
  <c r="C171" i="12787" s="1"/>
  <c r="E197" i="12787"/>
  <c r="C197" i="12787"/>
  <c r="C168" i="12787" s="1"/>
  <c r="K195" i="12787"/>
  <c r="E194" i="12787"/>
  <c r="C194" i="12787"/>
  <c r="C193" i="12787"/>
  <c r="C164" i="12787" s="1"/>
  <c r="I191" i="12787"/>
  <c r="E191" i="12787"/>
  <c r="E200" i="12787" s="1"/>
  <c r="C191" i="12787"/>
  <c r="C162" i="12787" s="1"/>
  <c r="E190" i="12787"/>
  <c r="E199" i="12787" s="1"/>
  <c r="I189" i="12787"/>
  <c r="I198" i="12787" s="1"/>
  <c r="E189" i="12787"/>
  <c r="E198" i="12787" s="1"/>
  <c r="I188" i="12787"/>
  <c r="I197" i="12787" s="1"/>
  <c r="E188" i="12787"/>
  <c r="C188" i="12787"/>
  <c r="C159" i="12787" s="1"/>
  <c r="I187" i="12787"/>
  <c r="I196" i="12787" s="1"/>
  <c r="E187" i="12787"/>
  <c r="E196" i="12787" s="1"/>
  <c r="C187" i="12787"/>
  <c r="I185" i="12787"/>
  <c r="I195" i="12787" s="1"/>
  <c r="E185" i="12787"/>
  <c r="E195" i="12787" s="1"/>
  <c r="E184" i="12787"/>
  <c r="K183" i="12787"/>
  <c r="I183" i="12787"/>
  <c r="I193" i="12787" s="1"/>
  <c r="E183" i="12787"/>
  <c r="E193" i="12787" s="1"/>
  <c r="C183" i="12787"/>
  <c r="C186" i="12787" s="1"/>
  <c r="O176" i="12787"/>
  <c r="C175" i="12787"/>
  <c r="D174" i="12787"/>
  <c r="D176" i="12787" s="1"/>
  <c r="I173" i="12787"/>
  <c r="I202" i="12787" s="1"/>
  <c r="E173" i="12787"/>
  <c r="E345" i="12787" s="1"/>
  <c r="H345" i="12787" s="1"/>
  <c r="C173" i="12787"/>
  <c r="I172" i="12787"/>
  <c r="I315" i="12787" s="1"/>
  <c r="K315" i="12787" s="1"/>
  <c r="E172" i="12787"/>
  <c r="E257" i="12787" s="1"/>
  <c r="G257" i="12787" s="1"/>
  <c r="I171" i="12787"/>
  <c r="E171" i="12787"/>
  <c r="I170" i="12787"/>
  <c r="E170" i="12787"/>
  <c r="I169" i="12787"/>
  <c r="E169" i="12787"/>
  <c r="I168" i="12787"/>
  <c r="E168" i="12787"/>
  <c r="I167" i="12787"/>
  <c r="E167" i="12787"/>
  <c r="I166" i="12787"/>
  <c r="E166" i="12787"/>
  <c r="E165" i="12787"/>
  <c r="C165" i="12787"/>
  <c r="I164" i="12787"/>
  <c r="E164" i="12787"/>
  <c r="O162" i="12787"/>
  <c r="K162" i="12787"/>
  <c r="I161" i="12787"/>
  <c r="I304" i="12787" s="1"/>
  <c r="I160" i="12787"/>
  <c r="I303" i="12787" s="1"/>
  <c r="I312" i="12787" s="1"/>
  <c r="K312" i="12787" s="1"/>
  <c r="O159" i="12787"/>
  <c r="O158" i="12787"/>
  <c r="C158" i="12787"/>
  <c r="O155" i="12787"/>
  <c r="I154" i="12787"/>
  <c r="C154" i="12787"/>
  <c r="O153" i="12787"/>
  <c r="O151" i="12787"/>
  <c r="C151" i="12787"/>
  <c r="G150" i="12787"/>
  <c r="D150" i="12787"/>
  <c r="C150" i="12787"/>
  <c r="I149" i="12787"/>
  <c r="I413" i="12787" s="1"/>
  <c r="D149" i="12787"/>
  <c r="M149" i="12787" s="1"/>
  <c r="C149" i="12787"/>
  <c r="D143" i="12787"/>
  <c r="G142" i="12787"/>
  <c r="K142" i="12787" s="1"/>
  <c r="C142" i="12787"/>
  <c r="I140" i="12787"/>
  <c r="K140" i="12787" s="1"/>
  <c r="G140" i="12787"/>
  <c r="G139" i="12787"/>
  <c r="E139" i="12787"/>
  <c r="H139" i="12787" s="1"/>
  <c r="K138" i="12787"/>
  <c r="I138" i="12787"/>
  <c r="H138" i="12787"/>
  <c r="G138" i="12787"/>
  <c r="E138" i="12787"/>
  <c r="E140" i="12787" s="1"/>
  <c r="H140" i="12787" s="1"/>
  <c r="I137" i="12787"/>
  <c r="K137" i="12787" s="1"/>
  <c r="E137" i="12787"/>
  <c r="H137" i="12787" s="1"/>
  <c r="C137" i="12787"/>
  <c r="C141" i="12787" s="1"/>
  <c r="C143" i="12787" s="1"/>
  <c r="K136" i="12787"/>
  <c r="I136" i="12787"/>
  <c r="G136" i="12787"/>
  <c r="E136" i="12787"/>
  <c r="H136" i="12787" s="1"/>
  <c r="K135" i="12787"/>
  <c r="I135" i="12787"/>
  <c r="H135" i="12787"/>
  <c r="H141" i="12787" s="1"/>
  <c r="H143" i="12787" s="1"/>
  <c r="G135" i="12787"/>
  <c r="E135" i="12787"/>
  <c r="D130" i="12787"/>
  <c r="G129" i="12787"/>
  <c r="K129" i="12787" s="1"/>
  <c r="C129" i="12787"/>
  <c r="I127" i="12787"/>
  <c r="K127" i="12787" s="1"/>
  <c r="H127" i="12787"/>
  <c r="H88" i="12787" s="1"/>
  <c r="E126" i="12787"/>
  <c r="H126" i="12787" s="1"/>
  <c r="H87" i="12787" s="1"/>
  <c r="K125" i="12787"/>
  <c r="I125" i="12787"/>
  <c r="G125" i="12787"/>
  <c r="E125" i="12787"/>
  <c r="E127" i="12787" s="1"/>
  <c r="G127" i="12787" s="1"/>
  <c r="H124" i="12787"/>
  <c r="E124" i="12787"/>
  <c r="I123" i="12787"/>
  <c r="E123" i="12787"/>
  <c r="H123" i="12787" s="1"/>
  <c r="C123" i="12787"/>
  <c r="K122" i="12787"/>
  <c r="I122" i="12787"/>
  <c r="H122" i="12787"/>
  <c r="E122" i="12787"/>
  <c r="G122" i="12787" s="1"/>
  <c r="D117" i="12787"/>
  <c r="K116" i="12787"/>
  <c r="G116" i="12787"/>
  <c r="C116" i="12787"/>
  <c r="I113" i="12787"/>
  <c r="K113" i="12787" s="1"/>
  <c r="G113" i="12787"/>
  <c r="E113" i="12787"/>
  <c r="I112" i="12787"/>
  <c r="K112" i="12787" s="1"/>
  <c r="E112" i="12787"/>
  <c r="G112" i="12787" s="1"/>
  <c r="I111" i="12787"/>
  <c r="K111" i="12787" s="1"/>
  <c r="H111" i="12787"/>
  <c r="E111" i="12787"/>
  <c r="C111" i="12787"/>
  <c r="G111" i="12787" s="1"/>
  <c r="I110" i="12787"/>
  <c r="K110" i="12787" s="1"/>
  <c r="E110" i="12787"/>
  <c r="C110" i="12787"/>
  <c r="C115" i="12787" s="1"/>
  <c r="I109" i="12787"/>
  <c r="K109" i="12787" s="1"/>
  <c r="E109" i="12787"/>
  <c r="H109" i="12787" s="1"/>
  <c r="C109" i="12787"/>
  <c r="G109" i="12787" s="1"/>
  <c r="K103" i="12787"/>
  <c r="G103" i="12787"/>
  <c r="C103" i="12787"/>
  <c r="C90" i="12787" s="1"/>
  <c r="K102" i="12787"/>
  <c r="E101" i="12787"/>
  <c r="G101" i="12787" s="1"/>
  <c r="G100" i="12787"/>
  <c r="E100" i="12787"/>
  <c r="K99" i="12787"/>
  <c r="I99" i="12787"/>
  <c r="I101" i="12787" s="1"/>
  <c r="K101" i="12787" s="1"/>
  <c r="E99" i="12787"/>
  <c r="G99" i="12787" s="1"/>
  <c r="E98" i="12787"/>
  <c r="G98" i="12787" s="1"/>
  <c r="C98" i="12787"/>
  <c r="K97" i="12787"/>
  <c r="I97" i="12787"/>
  <c r="G97" i="12787"/>
  <c r="E97" i="12787"/>
  <c r="H97" i="12787" s="1"/>
  <c r="D97" i="12787"/>
  <c r="D98" i="12787" s="1"/>
  <c r="C97" i="12787"/>
  <c r="C102" i="12787" s="1"/>
  <c r="C104" i="12787" s="1"/>
  <c r="I96" i="12787"/>
  <c r="K96" i="12787" s="1"/>
  <c r="E96" i="12787"/>
  <c r="H96" i="12787" s="1"/>
  <c r="D96" i="12787"/>
  <c r="C96" i="12787"/>
  <c r="O91" i="12787"/>
  <c r="H90" i="12787"/>
  <c r="G90" i="12787"/>
  <c r="K90" i="12787" s="1"/>
  <c r="D90" i="12787"/>
  <c r="O88" i="12787"/>
  <c r="I88" i="12787"/>
  <c r="M88" i="12787" s="1"/>
  <c r="D88" i="12787"/>
  <c r="C88" i="12787"/>
  <c r="O87" i="12787"/>
  <c r="I87" i="12787"/>
  <c r="I139" i="12787" s="1"/>
  <c r="K139" i="12787" s="1"/>
  <c r="D87" i="12787"/>
  <c r="C87" i="12787"/>
  <c r="O86" i="12787"/>
  <c r="G86" i="12787"/>
  <c r="D86" i="12787"/>
  <c r="M86" i="12787" s="1"/>
  <c r="C86" i="12787"/>
  <c r="O85" i="12787"/>
  <c r="I85" i="12787"/>
  <c r="I98" i="12787" s="1"/>
  <c r="K98" i="12787" s="1"/>
  <c r="Q84" i="12787"/>
  <c r="O84" i="12787"/>
  <c r="D84" i="12787"/>
  <c r="O83" i="12787"/>
  <c r="M83" i="12787"/>
  <c r="D83" i="12787"/>
  <c r="C83" i="12787"/>
  <c r="D78" i="12787"/>
  <c r="G77" i="12787"/>
  <c r="K77" i="12787" s="1"/>
  <c r="C77" i="12787"/>
  <c r="C76" i="12787"/>
  <c r="C75" i="12787"/>
  <c r="I74" i="12787"/>
  <c r="K74" i="12787" s="1"/>
  <c r="H74" i="12787"/>
  <c r="G74" i="12787"/>
  <c r="E74" i="12787"/>
  <c r="D74" i="12787"/>
  <c r="D23" i="12787" s="1"/>
  <c r="C74" i="12787"/>
  <c r="G73" i="12787"/>
  <c r="E73" i="12787"/>
  <c r="C73" i="12787"/>
  <c r="C22" i="12787" s="1"/>
  <c r="E72" i="12787"/>
  <c r="D72" i="12787"/>
  <c r="C72" i="12787"/>
  <c r="E71" i="12787"/>
  <c r="H71" i="12787" s="1"/>
  <c r="D71" i="12787"/>
  <c r="C71" i="12787"/>
  <c r="E69" i="12787"/>
  <c r="C69" i="12787"/>
  <c r="E68" i="12787"/>
  <c r="G68" i="12787" s="1"/>
  <c r="C68" i="12787"/>
  <c r="D68" i="12787" s="1"/>
  <c r="H68" i="12787" s="1"/>
  <c r="G67" i="12787"/>
  <c r="E67" i="12787"/>
  <c r="D67" i="12787"/>
  <c r="H67" i="12787" s="1"/>
  <c r="C67" i="12787"/>
  <c r="D61" i="12787"/>
  <c r="C61" i="12787"/>
  <c r="G60" i="12787"/>
  <c r="K60" i="12787" s="1"/>
  <c r="C60" i="12787"/>
  <c r="C59" i="12787"/>
  <c r="C58" i="12787"/>
  <c r="E57" i="12787"/>
  <c r="D57" i="12787"/>
  <c r="C57" i="12787"/>
  <c r="E56" i="12787"/>
  <c r="D56" i="12787"/>
  <c r="C56" i="12787"/>
  <c r="E55" i="12787"/>
  <c r="C55" i="12787"/>
  <c r="E54" i="12787"/>
  <c r="G54" i="12787" s="1"/>
  <c r="C54" i="12787"/>
  <c r="D54" i="12787" s="1"/>
  <c r="H54" i="12787" s="1"/>
  <c r="G52" i="12787"/>
  <c r="E52" i="12787"/>
  <c r="D52" i="12787"/>
  <c r="H52" i="12787" s="1"/>
  <c r="C52" i="12787"/>
  <c r="E51" i="12787"/>
  <c r="C51" i="12787"/>
  <c r="D51" i="12787" s="1"/>
  <c r="H50" i="12787"/>
  <c r="G50" i="12787"/>
  <c r="E50" i="12787"/>
  <c r="D50" i="12787"/>
  <c r="C50" i="12787"/>
  <c r="D44" i="12787"/>
  <c r="C44" i="12787"/>
  <c r="G43" i="12787"/>
  <c r="K43" i="12787" s="1"/>
  <c r="C43" i="12787"/>
  <c r="K40" i="12787"/>
  <c r="I40" i="12787"/>
  <c r="G40" i="12787"/>
  <c r="E40" i="12787"/>
  <c r="H40" i="12787" s="1"/>
  <c r="D40" i="12787"/>
  <c r="C40" i="12787"/>
  <c r="E39" i="12787"/>
  <c r="C39" i="12787"/>
  <c r="D39" i="12787" s="1"/>
  <c r="H38" i="12787"/>
  <c r="G38" i="12787"/>
  <c r="E38" i="12787"/>
  <c r="D38" i="12787"/>
  <c r="C38" i="12787"/>
  <c r="G37" i="12787"/>
  <c r="E37" i="12787"/>
  <c r="C37" i="12787"/>
  <c r="D37" i="12787" s="1"/>
  <c r="E35" i="12787"/>
  <c r="D35" i="12787"/>
  <c r="E34" i="12787"/>
  <c r="C34" i="12787"/>
  <c r="E33" i="12787"/>
  <c r="G33" i="12787" s="1"/>
  <c r="C33" i="12787"/>
  <c r="C16" i="12787" s="1"/>
  <c r="O27" i="12787"/>
  <c r="D25" i="12787"/>
  <c r="D27" i="12787" s="1"/>
  <c r="C25" i="12787"/>
  <c r="D24" i="12787"/>
  <c r="C24" i="12787"/>
  <c r="I23" i="12787"/>
  <c r="C23" i="12787"/>
  <c r="C21" i="12787"/>
  <c r="N97" i="12761"/>
  <c r="M97" i="12761"/>
  <c r="L97" i="12761"/>
  <c r="K97" i="12761"/>
  <c r="J97" i="12761"/>
  <c r="I97" i="12761"/>
  <c r="H97" i="12761"/>
  <c r="G97" i="12761"/>
  <c r="F97" i="12761"/>
  <c r="E97" i="12761"/>
  <c r="D97" i="12761"/>
  <c r="C97" i="12761"/>
  <c r="O95" i="12761"/>
  <c r="O94" i="12761"/>
  <c r="O93" i="12761"/>
  <c r="O92" i="12761"/>
  <c r="O91" i="12761"/>
  <c r="R90" i="12761"/>
  <c r="O90" i="12761"/>
  <c r="R89" i="12761"/>
  <c r="O89" i="12761"/>
  <c r="R88" i="12761"/>
  <c r="O88" i="12761"/>
  <c r="O87" i="12761"/>
  <c r="R87" i="12761" s="1"/>
  <c r="R86" i="12761"/>
  <c r="O86" i="12761"/>
  <c r="O85" i="12761"/>
  <c r="O84" i="12761"/>
  <c r="K83" i="12761"/>
  <c r="L83" i="12761" s="1"/>
  <c r="M83" i="12761" s="1"/>
  <c r="N83" i="12761" s="1"/>
  <c r="J83" i="12761"/>
  <c r="E83" i="12761"/>
  <c r="F83" i="12761" s="1"/>
  <c r="G83" i="12761" s="1"/>
  <c r="H83" i="12761" s="1"/>
  <c r="N81" i="12761"/>
  <c r="M81" i="12761"/>
  <c r="L81" i="12761"/>
  <c r="K81" i="12761"/>
  <c r="J81" i="12761"/>
  <c r="I81" i="12761"/>
  <c r="H81" i="12761"/>
  <c r="G81" i="12761"/>
  <c r="F81" i="12761"/>
  <c r="E81" i="12761"/>
  <c r="D81" i="12761"/>
  <c r="C81" i="12761"/>
  <c r="R77" i="12761"/>
  <c r="O77" i="12761"/>
  <c r="R76" i="12761"/>
  <c r="O76" i="12761"/>
  <c r="O75" i="12761"/>
  <c r="R75" i="12761" s="1"/>
  <c r="R74" i="12761"/>
  <c r="O74" i="12761"/>
  <c r="R73" i="12761"/>
  <c r="O73" i="12761"/>
  <c r="O72" i="12761"/>
  <c r="O81" i="12761" s="1"/>
  <c r="L71" i="12761"/>
  <c r="M71" i="12761" s="1"/>
  <c r="N71" i="12761" s="1"/>
  <c r="K71" i="12761"/>
  <c r="J71" i="12761"/>
  <c r="F71" i="12761"/>
  <c r="G71" i="12761" s="1"/>
  <c r="H71" i="12761" s="1"/>
  <c r="E71" i="12761"/>
  <c r="G69" i="12761"/>
  <c r="C69" i="12761"/>
  <c r="O68" i="12761"/>
  <c r="O67" i="12761"/>
  <c r="O66" i="12761"/>
  <c r="O65" i="12761"/>
  <c r="O64" i="12761"/>
  <c r="O63" i="12761"/>
  <c r="O62" i="12761"/>
  <c r="O61" i="12761"/>
  <c r="O60" i="12761"/>
  <c r="O59" i="12761"/>
  <c r="O58" i="12761"/>
  <c r="R58" i="12761" s="1"/>
  <c r="O57" i="12761"/>
  <c r="R57" i="12761" s="1"/>
  <c r="N56" i="12761"/>
  <c r="K56" i="12761"/>
  <c r="L56" i="12761" s="1"/>
  <c r="M56" i="12761" s="1"/>
  <c r="J56" i="12761"/>
  <c r="E56" i="12761"/>
  <c r="F56" i="12761" s="1"/>
  <c r="G56" i="12761" s="1"/>
  <c r="H56" i="12761" s="1"/>
  <c r="N54" i="12761"/>
  <c r="M54" i="12761"/>
  <c r="L54" i="12761"/>
  <c r="K54" i="12761"/>
  <c r="J54" i="12761"/>
  <c r="I54" i="12761"/>
  <c r="H54" i="12761"/>
  <c r="G54" i="12761"/>
  <c r="F54" i="12761"/>
  <c r="E54" i="12761"/>
  <c r="D54" i="12761"/>
  <c r="C54" i="12761"/>
  <c r="O48" i="12761"/>
  <c r="R48" i="12761" s="1"/>
  <c r="R47" i="12761"/>
  <c r="O47" i="12761"/>
  <c r="O46" i="12761"/>
  <c r="R46" i="12761" s="1"/>
  <c r="O45" i="12761"/>
  <c r="R44" i="12761"/>
  <c r="O44" i="12761"/>
  <c r="O43" i="12761"/>
  <c r="R43" i="12761" s="1"/>
  <c r="R42" i="12761"/>
  <c r="O42" i="12761"/>
  <c r="R41" i="12761"/>
  <c r="O41" i="12761"/>
  <c r="R40" i="12761"/>
  <c r="O40" i="12761"/>
  <c r="O39" i="12761"/>
  <c r="R38" i="12761"/>
  <c r="O38" i="12761"/>
  <c r="R37" i="12761"/>
  <c r="O37" i="12761"/>
  <c r="R36" i="12761"/>
  <c r="O36" i="12761"/>
  <c r="J35" i="12761"/>
  <c r="K35" i="12761" s="1"/>
  <c r="L35" i="12761" s="1"/>
  <c r="M35" i="12761" s="1"/>
  <c r="N35" i="12761" s="1"/>
  <c r="E35" i="12761"/>
  <c r="F35" i="12761" s="1"/>
  <c r="G35" i="12761" s="1"/>
  <c r="H35" i="12761" s="1"/>
  <c r="N33" i="12761"/>
  <c r="M33" i="12761"/>
  <c r="L33" i="12761"/>
  <c r="K33" i="12761"/>
  <c r="J33" i="12761"/>
  <c r="I33" i="12761"/>
  <c r="H33" i="12761"/>
  <c r="G33" i="12761"/>
  <c r="F33" i="12761"/>
  <c r="E33" i="12761"/>
  <c r="D33" i="12761"/>
  <c r="C33" i="12761"/>
  <c r="O31" i="12761"/>
  <c r="O30" i="12761"/>
  <c r="O29" i="12761"/>
  <c r="O28" i="12761"/>
  <c r="O33" i="12761" s="1"/>
  <c r="R27" i="12761"/>
  <c r="O27" i="12761"/>
  <c r="R26" i="12761"/>
  <c r="O26" i="12761"/>
  <c r="R25" i="12761"/>
  <c r="O25" i="12761"/>
  <c r="O24" i="12761"/>
  <c r="R24" i="12761" s="1"/>
  <c r="O23" i="12761"/>
  <c r="O22" i="12761"/>
  <c r="O21" i="12761"/>
  <c r="O20" i="12761"/>
  <c r="O19" i="12761"/>
  <c r="O18" i="12761"/>
  <c r="O17" i="12761"/>
  <c r="O16" i="12761"/>
  <c r="R15" i="12761"/>
  <c r="O15" i="12761"/>
  <c r="R14" i="12761"/>
  <c r="O14" i="12761"/>
  <c r="R13" i="12761"/>
  <c r="O13" i="12761"/>
  <c r="O12" i="12761"/>
  <c r="R12" i="12761" s="1"/>
  <c r="R11" i="12761"/>
  <c r="O11" i="12761"/>
  <c r="R10" i="12761"/>
  <c r="O10" i="12761"/>
  <c r="R9" i="12761"/>
  <c r="O9" i="12761"/>
  <c r="O8" i="12761"/>
  <c r="R8" i="12761" s="1"/>
  <c r="J7" i="12761"/>
  <c r="K7" i="12761" s="1"/>
  <c r="L7" i="12761" s="1"/>
  <c r="M7" i="12761" s="1"/>
  <c r="N7" i="12761" s="1"/>
  <c r="F7" i="12761"/>
  <c r="G7" i="12761" s="1"/>
  <c r="H7" i="12761" s="1"/>
  <c r="E7" i="12761"/>
  <c r="A4" i="12761"/>
  <c r="A3" i="12761"/>
  <c r="A2" i="12761"/>
  <c r="L56" i="12837"/>
  <c r="P56" i="12837" s="1"/>
  <c r="L54" i="12837"/>
  <c r="R54" i="12837" s="1"/>
  <c r="P53" i="12837"/>
  <c r="R52" i="12837"/>
  <c r="L52" i="12837"/>
  <c r="P52" i="12837" s="1"/>
  <c r="V52" i="12837" s="1"/>
  <c r="J52" i="12837"/>
  <c r="N52" i="12837" s="1"/>
  <c r="T52" i="12837" s="1"/>
  <c r="H52" i="12837"/>
  <c r="T51" i="12837"/>
  <c r="N51" i="12837"/>
  <c r="L51" i="12837"/>
  <c r="P51" i="12837" s="1"/>
  <c r="V51" i="12837" s="1"/>
  <c r="J51" i="12837"/>
  <c r="R51" i="12837" s="1"/>
  <c r="H51" i="12837"/>
  <c r="V50" i="12837"/>
  <c r="P50" i="12837"/>
  <c r="L50" i="12837"/>
  <c r="R50" i="12837" s="1"/>
  <c r="J50" i="12837"/>
  <c r="N50" i="12837" s="1"/>
  <c r="T50" i="12837" s="1"/>
  <c r="H50" i="12837"/>
  <c r="R49" i="12837"/>
  <c r="L49" i="12837"/>
  <c r="P49" i="12837" s="1"/>
  <c r="J49" i="12837"/>
  <c r="J54" i="12837" s="1"/>
  <c r="H49" i="12837"/>
  <c r="H54" i="12837" s="1"/>
  <c r="L42" i="12837"/>
  <c r="J42" i="12837"/>
  <c r="P41" i="12837"/>
  <c r="P40" i="12837"/>
  <c r="V40" i="12837" s="1"/>
  <c r="N40" i="12837"/>
  <c r="L40" i="12837"/>
  <c r="R40" i="12837" s="1"/>
  <c r="J40" i="12837"/>
  <c r="H40" i="12837"/>
  <c r="H42" i="12837" s="1"/>
  <c r="L37" i="12837"/>
  <c r="P36" i="12837"/>
  <c r="P35" i="12837"/>
  <c r="V35" i="12837" s="1"/>
  <c r="L35" i="12837"/>
  <c r="J35" i="12837"/>
  <c r="N35" i="12837" s="1"/>
  <c r="T35" i="12837" s="1"/>
  <c r="H35" i="12837"/>
  <c r="R34" i="12837"/>
  <c r="L34" i="12837"/>
  <c r="P34" i="12837" s="1"/>
  <c r="V34" i="12837" s="1"/>
  <c r="J34" i="12837"/>
  <c r="N34" i="12837" s="1"/>
  <c r="T34" i="12837" s="1"/>
  <c r="H34" i="12837"/>
  <c r="T33" i="12837"/>
  <c r="N33" i="12837"/>
  <c r="L33" i="12837"/>
  <c r="R33" i="12837" s="1"/>
  <c r="J33" i="12837"/>
  <c r="H33" i="12837"/>
  <c r="V32" i="12837"/>
  <c r="P32" i="12837"/>
  <c r="L32" i="12837"/>
  <c r="R32" i="12837" s="1"/>
  <c r="J32" i="12837"/>
  <c r="N32" i="12837" s="1"/>
  <c r="T32" i="12837" s="1"/>
  <c r="H32" i="12837"/>
  <c r="R31" i="12837"/>
  <c r="L31" i="12837"/>
  <c r="P31" i="12837" s="1"/>
  <c r="J31" i="12837"/>
  <c r="J37" i="12837" s="1"/>
  <c r="J44" i="12837" s="1"/>
  <c r="H31" i="12837"/>
  <c r="H37" i="12837" s="1"/>
  <c r="P28" i="12837"/>
  <c r="H28" i="12837"/>
  <c r="P27" i="12837"/>
  <c r="N26" i="12837"/>
  <c r="T26" i="12837" s="1"/>
  <c r="L26" i="12837"/>
  <c r="J26" i="12837"/>
  <c r="H26" i="12837"/>
  <c r="P25" i="12837"/>
  <c r="V25" i="12837" s="1"/>
  <c r="N25" i="12837"/>
  <c r="T25" i="12837" s="1"/>
  <c r="L25" i="12837"/>
  <c r="R25" i="12837" s="1"/>
  <c r="J25" i="12837"/>
  <c r="H25" i="12837"/>
  <c r="P24" i="12837"/>
  <c r="V24" i="12837" s="1"/>
  <c r="L24" i="12837"/>
  <c r="J24" i="12837"/>
  <c r="N24" i="12837" s="1"/>
  <c r="T24" i="12837" s="1"/>
  <c r="H24" i="12837"/>
  <c r="T23" i="12837"/>
  <c r="R23" i="12837"/>
  <c r="N23" i="12837"/>
  <c r="L23" i="12837"/>
  <c r="P23" i="12837" s="1"/>
  <c r="V23" i="12837" s="1"/>
  <c r="J23" i="12837"/>
  <c r="H23" i="12837"/>
  <c r="V22" i="12837"/>
  <c r="T22" i="12837"/>
  <c r="P22" i="12837"/>
  <c r="N22" i="12837"/>
  <c r="N28" i="12837" s="1"/>
  <c r="L22" i="12837"/>
  <c r="R22" i="12837" s="1"/>
  <c r="J22" i="12837"/>
  <c r="J28" i="12837" s="1"/>
  <c r="H22" i="12837"/>
  <c r="H19" i="12837"/>
  <c r="P18" i="12837"/>
  <c r="N17" i="12837"/>
  <c r="T17" i="12837" s="1"/>
  <c r="L17" i="12837"/>
  <c r="J17" i="12837"/>
  <c r="H17" i="12837"/>
  <c r="B17" i="12837"/>
  <c r="P16" i="12837"/>
  <c r="V16" i="12837" s="1"/>
  <c r="N16" i="12837"/>
  <c r="T16" i="12837" s="1"/>
  <c r="L16" i="12837"/>
  <c r="R16" i="12837" s="1"/>
  <c r="J16" i="12837"/>
  <c r="H16" i="12837"/>
  <c r="B16" i="12837"/>
  <c r="P15" i="12837"/>
  <c r="L15" i="12837"/>
  <c r="L19" i="12837" s="1"/>
  <c r="J15" i="12837"/>
  <c r="N15" i="12837" s="1"/>
  <c r="H15" i="12837"/>
  <c r="F12" i="12837"/>
  <c r="V47" i="12859"/>
  <c r="Q46" i="12859"/>
  <c r="Q49" i="12859" s="1"/>
  <c r="N46" i="12859"/>
  <c r="N49" i="12859" s="1"/>
  <c r="V45" i="12859"/>
  <c r="U44" i="12859"/>
  <c r="U46" i="12859" s="1"/>
  <c r="U49" i="12859" s="1"/>
  <c r="T44" i="12859"/>
  <c r="T46" i="12859" s="1"/>
  <c r="T49" i="12859" s="1"/>
  <c r="S44" i="12859"/>
  <c r="S46" i="12859" s="1"/>
  <c r="S49" i="12859" s="1"/>
  <c r="R44" i="12859"/>
  <c r="R46" i="12859" s="1"/>
  <c r="R49" i="12859" s="1"/>
  <c r="Q44" i="12859"/>
  <c r="P44" i="12859"/>
  <c r="P46" i="12859" s="1"/>
  <c r="P49" i="12859" s="1"/>
  <c r="O44" i="12859"/>
  <c r="O46" i="12859" s="1"/>
  <c r="O49" i="12859" s="1"/>
  <c r="N44" i="12859"/>
  <c r="M44" i="12859"/>
  <c r="M46" i="12859" s="1"/>
  <c r="M49" i="12859" s="1"/>
  <c r="L44" i="12859"/>
  <c r="L46" i="12859" s="1"/>
  <c r="L49" i="12859" s="1"/>
  <c r="K44" i="12859"/>
  <c r="K46" i="12859" s="1"/>
  <c r="K49" i="12859" s="1"/>
  <c r="J44" i="12859"/>
  <c r="V43" i="12859"/>
  <c r="V42" i="12859"/>
  <c r="V41" i="12859"/>
  <c r="V40" i="12859"/>
  <c r="I33" i="12859"/>
  <c r="F33" i="12859"/>
  <c r="I32" i="12859"/>
  <c r="F32" i="12859"/>
  <c r="I31" i="12859"/>
  <c r="F31" i="12859"/>
  <c r="I29" i="12859"/>
  <c r="I28" i="12859"/>
  <c r="C20" i="12859"/>
  <c r="I20" i="12859" s="1"/>
  <c r="C19" i="12859"/>
  <c r="I19" i="12859" s="1"/>
  <c r="I18" i="12859"/>
  <c r="C18" i="12859"/>
  <c r="E29" i="12791"/>
  <c r="E28" i="12791"/>
  <c r="E27" i="12791"/>
  <c r="S25" i="12791"/>
  <c r="E24" i="12791"/>
  <c r="E23" i="12791"/>
  <c r="E21" i="12791"/>
  <c r="E20" i="12791"/>
  <c r="E19" i="12791"/>
  <c r="E17" i="12791"/>
  <c r="E16" i="12791"/>
  <c r="O15" i="12791"/>
  <c r="E15" i="12791"/>
  <c r="E29" i="12881"/>
  <c r="E28" i="12881"/>
  <c r="E27" i="12881"/>
  <c r="R25" i="12881"/>
  <c r="E25" i="12881"/>
  <c r="E24" i="12881"/>
  <c r="E23" i="12881"/>
  <c r="E21" i="12881"/>
  <c r="E20" i="12881"/>
  <c r="E19" i="12881"/>
  <c r="E17" i="12881"/>
  <c r="P16" i="12881"/>
  <c r="O16" i="12881"/>
  <c r="E16" i="12881"/>
  <c r="P15" i="12881"/>
  <c r="O15" i="12881"/>
  <c r="E15" i="12881"/>
  <c r="E29" i="12772"/>
  <c r="E28" i="12772"/>
  <c r="E27" i="12772"/>
  <c r="R25" i="12772"/>
  <c r="E25" i="12772"/>
  <c r="E24" i="12772"/>
  <c r="E23" i="12772"/>
  <c r="E21" i="12772"/>
  <c r="E20" i="12772"/>
  <c r="E19" i="12772"/>
  <c r="E17" i="12772"/>
  <c r="P16" i="12772"/>
  <c r="O16" i="12772"/>
  <c r="E16" i="12772"/>
  <c r="P15" i="12772"/>
  <c r="O15" i="12772"/>
  <c r="E15" i="12772"/>
  <c r="E33" i="12771"/>
  <c r="G33" i="12771" s="1"/>
  <c r="E32" i="12771"/>
  <c r="G32" i="12771" s="1"/>
  <c r="E31" i="12771"/>
  <c r="G31" i="12771" s="1"/>
  <c r="E29" i="12771"/>
  <c r="G29" i="12771" s="1"/>
  <c r="W28" i="12771"/>
  <c r="E28" i="12771"/>
  <c r="G28" i="12771" s="1"/>
  <c r="E27" i="12771"/>
  <c r="G27" i="12771" s="1"/>
  <c r="E25" i="12771"/>
  <c r="G25" i="12771" s="1"/>
  <c r="E24" i="12771"/>
  <c r="G24" i="12771" s="1"/>
  <c r="E23" i="12771"/>
  <c r="G23" i="12771" s="1"/>
  <c r="U21" i="12771"/>
  <c r="U20" i="12771"/>
  <c r="E20" i="12771"/>
  <c r="G20" i="12771" s="1"/>
  <c r="U19" i="12771"/>
  <c r="E19" i="12771"/>
  <c r="G19" i="12771" s="1"/>
  <c r="U18" i="12771"/>
  <c r="E18" i="12771"/>
  <c r="G18" i="12771" s="1"/>
  <c r="U17" i="12771"/>
  <c r="I23" i="12771" s="1"/>
  <c r="E40" i="12770"/>
  <c r="E39" i="12770"/>
  <c r="E38" i="12770"/>
  <c r="E36" i="12770"/>
  <c r="E35" i="12770"/>
  <c r="E34" i="12770"/>
  <c r="E32" i="12770"/>
  <c r="E31" i="12770"/>
  <c r="E30" i="12770"/>
  <c r="E28" i="12770"/>
  <c r="R27" i="12770"/>
  <c r="E27" i="12770"/>
  <c r="E26" i="12770"/>
  <c r="E24" i="12770"/>
  <c r="E23" i="12770"/>
  <c r="E22" i="12770"/>
  <c r="E20" i="12770"/>
  <c r="E19" i="12770"/>
  <c r="O18" i="12770"/>
  <c r="E18" i="12770"/>
  <c r="P16" i="12770"/>
  <c r="O16" i="12770"/>
  <c r="P15" i="12770"/>
  <c r="O15" i="12770"/>
  <c r="O14" i="12770"/>
  <c r="E32" i="12769"/>
  <c r="F32" i="12769" s="1"/>
  <c r="E31" i="12769"/>
  <c r="F31" i="12769" s="1"/>
  <c r="X30" i="12769"/>
  <c r="E30" i="12769"/>
  <c r="F30" i="12769" s="1"/>
  <c r="E28" i="12769"/>
  <c r="F28" i="12769" s="1"/>
  <c r="E27" i="12769"/>
  <c r="F27" i="12769" s="1"/>
  <c r="E26" i="12769"/>
  <c r="F26" i="12769" s="1"/>
  <c r="D24" i="12769"/>
  <c r="E24" i="12769" s="1"/>
  <c r="F24" i="12769" s="1"/>
  <c r="V23" i="12769"/>
  <c r="D23" i="12769"/>
  <c r="E23" i="12769" s="1"/>
  <c r="F23" i="12769" s="1"/>
  <c r="V22" i="12769"/>
  <c r="D22" i="12769"/>
  <c r="E22" i="12769" s="1"/>
  <c r="F22" i="12769" s="1"/>
  <c r="V21" i="12769"/>
  <c r="U20" i="12769"/>
  <c r="V20" i="12769" s="1"/>
  <c r="E20" i="12769"/>
  <c r="F20" i="12769" s="1"/>
  <c r="E19" i="12769"/>
  <c r="F19" i="12769" s="1"/>
  <c r="U18" i="12769"/>
  <c r="V18" i="12769" s="1"/>
  <c r="E18" i="12769"/>
  <c r="F18" i="12769" s="1"/>
  <c r="F16" i="12769"/>
  <c r="F15" i="12769"/>
  <c r="V14" i="12769"/>
  <c r="V15" i="12769" s="1"/>
  <c r="U14" i="12769"/>
  <c r="U15" i="12769" s="1"/>
  <c r="F14" i="12769"/>
  <c r="M8" i="12833"/>
  <c r="I1118" i="12843"/>
  <c r="F1104" i="12843"/>
  <c r="I1103" i="12843"/>
  <c r="L1103" i="12843" s="1"/>
  <c r="C1078" i="12843"/>
  <c r="F1076" i="12843"/>
  <c r="G38" i="12783"/>
  <c r="F1061" i="12843"/>
  <c r="F1056" i="12843"/>
  <c r="F1052" i="12843"/>
  <c r="F1042" i="12843"/>
  <c r="I1035" i="12843"/>
  <c r="F1035" i="12843"/>
  <c r="C1034" i="12843"/>
  <c r="I1032" i="12843"/>
  <c r="F1032" i="12843"/>
  <c r="C1017" i="12843"/>
  <c r="C1014" i="12843"/>
  <c r="C997" i="12843"/>
  <c r="C994" i="12843"/>
  <c r="F984" i="12843"/>
  <c r="L984" i="12843" s="1"/>
  <c r="D978" i="12843"/>
  <c r="F978" i="12843" s="1"/>
  <c r="D977" i="12843"/>
  <c r="D975" i="12843"/>
  <c r="F975" i="12843" s="1"/>
  <c r="D974" i="12843"/>
  <c r="D959" i="12843"/>
  <c r="F959" i="12843" s="1"/>
  <c r="D958" i="12843"/>
  <c r="D956" i="12843"/>
  <c r="F956" i="12843" s="1"/>
  <c r="D955" i="12843"/>
  <c r="C938" i="12843"/>
  <c r="C935" i="12843"/>
  <c r="F924" i="12843"/>
  <c r="D918" i="12843"/>
  <c r="F918" i="12843" s="1"/>
  <c r="D917" i="12843"/>
  <c r="D915" i="12843"/>
  <c r="F915" i="12843" s="1"/>
  <c r="D914" i="12843"/>
  <c r="F905" i="12843"/>
  <c r="D899" i="12843"/>
  <c r="F899" i="12843" s="1"/>
  <c r="D898" i="12843"/>
  <c r="D896" i="12843"/>
  <c r="F896" i="12843" s="1"/>
  <c r="D895" i="12843"/>
  <c r="C897" i="12843"/>
  <c r="C879" i="12843"/>
  <c r="C876" i="12843"/>
  <c r="I863" i="12843"/>
  <c r="I843" i="12843" s="1"/>
  <c r="D823" i="12843"/>
  <c r="F823" i="12843" s="1"/>
  <c r="L823" i="12843" s="1"/>
  <c r="C828" i="12843"/>
  <c r="D817" i="12843"/>
  <c r="F817" i="12843" s="1"/>
  <c r="D816" i="12843"/>
  <c r="D814" i="12843"/>
  <c r="F814" i="12843" s="1"/>
  <c r="D813" i="12843"/>
  <c r="F802" i="12843"/>
  <c r="F801" i="12843"/>
  <c r="D781" i="12843"/>
  <c r="D800" i="12843" s="1"/>
  <c r="F800" i="12843" s="1"/>
  <c r="D780" i="12843"/>
  <c r="D799" i="12843" s="1"/>
  <c r="F799" i="12843" s="1"/>
  <c r="D773" i="12843"/>
  <c r="D792" i="12843" s="1"/>
  <c r="F792" i="12843" s="1"/>
  <c r="D772" i="12843"/>
  <c r="D791" i="12843" s="1"/>
  <c r="F791" i="12843" s="1"/>
  <c r="D771" i="12843"/>
  <c r="D790" i="12843" s="1"/>
  <c r="F790" i="12843" s="1"/>
  <c r="D769" i="12843"/>
  <c r="D788" i="12843" s="1"/>
  <c r="F788" i="12843" s="1"/>
  <c r="D764" i="12843"/>
  <c r="D787" i="12843" s="1"/>
  <c r="F787" i="12843" s="1"/>
  <c r="D763" i="12843"/>
  <c r="D786" i="12843" s="1"/>
  <c r="F786" i="12843" s="1"/>
  <c r="D762" i="12843"/>
  <c r="D785" i="12843" s="1"/>
  <c r="F785" i="12843" s="1"/>
  <c r="D761" i="12843"/>
  <c r="D760" i="12843"/>
  <c r="D783" i="12843" s="1"/>
  <c r="F783" i="12843" s="1"/>
  <c r="C700" i="12843"/>
  <c r="F732" i="12843"/>
  <c r="D730" i="12843"/>
  <c r="D749" i="12843" s="1"/>
  <c r="F749" i="12843" s="1"/>
  <c r="D729" i="12843"/>
  <c r="D748" i="12843" s="1"/>
  <c r="D722" i="12843"/>
  <c r="D741" i="12843" s="1"/>
  <c r="F741" i="12843" s="1"/>
  <c r="D721" i="12843"/>
  <c r="D740" i="12843" s="1"/>
  <c r="F740" i="12843" s="1"/>
  <c r="D720" i="12843"/>
  <c r="D739" i="12843" s="1"/>
  <c r="D718" i="12843"/>
  <c r="D713" i="12843"/>
  <c r="D736" i="12843" s="1"/>
  <c r="F736" i="12843" s="1"/>
  <c r="D712" i="12843"/>
  <c r="D735" i="12843" s="1"/>
  <c r="F735" i="12843" s="1"/>
  <c r="D711" i="12843"/>
  <c r="D734" i="12843" s="1"/>
  <c r="D709" i="12843"/>
  <c r="D737" i="12843" s="1"/>
  <c r="F737" i="12843" s="1"/>
  <c r="I802" i="12843"/>
  <c r="I801" i="12843"/>
  <c r="D698" i="12843"/>
  <c r="C698" i="12843"/>
  <c r="C697" i="12843"/>
  <c r="C696" i="12843"/>
  <c r="D695" i="12843"/>
  <c r="C693" i="12843"/>
  <c r="C692" i="12843"/>
  <c r="C690" i="12843"/>
  <c r="C689" i="12843"/>
  <c r="D688" i="12843"/>
  <c r="C688" i="12843"/>
  <c r="D687" i="12843"/>
  <c r="C687" i="12843"/>
  <c r="D686" i="12843"/>
  <c r="D684" i="12843"/>
  <c r="C684" i="12843"/>
  <c r="D683" i="12843"/>
  <c r="C683" i="12843"/>
  <c r="D682" i="12843"/>
  <c r="C682" i="12843"/>
  <c r="D681" i="12843"/>
  <c r="D679" i="12843"/>
  <c r="C679" i="12843"/>
  <c r="C673" i="12843"/>
  <c r="D672" i="12843"/>
  <c r="D778" i="12843" s="1"/>
  <c r="D797" i="12843" s="1"/>
  <c r="F797" i="12843" s="1"/>
  <c r="D671" i="12843"/>
  <c r="D777" i="12843" s="1"/>
  <c r="D796" i="12843" s="1"/>
  <c r="F796" i="12843" s="1"/>
  <c r="F644" i="12843"/>
  <c r="F643" i="12843"/>
  <c r="D631" i="12843"/>
  <c r="D642" i="12843" s="1"/>
  <c r="D630" i="12843"/>
  <c r="D641" i="12843" s="1"/>
  <c r="D629" i="12843"/>
  <c r="D640" i="12843" s="1"/>
  <c r="D626" i="12843"/>
  <c r="D627" i="12843" s="1"/>
  <c r="D624" i="12843"/>
  <c r="D637" i="12843" s="1"/>
  <c r="F637" i="12843" s="1"/>
  <c r="D623" i="12843"/>
  <c r="D636" i="12843" s="1"/>
  <c r="D621" i="12843"/>
  <c r="D635" i="12843" s="1"/>
  <c r="F635" i="12843" s="1"/>
  <c r="D620" i="12843"/>
  <c r="D634" i="12843" s="1"/>
  <c r="D619" i="12843"/>
  <c r="D633" i="12843" s="1"/>
  <c r="F633" i="12843" s="1"/>
  <c r="D597" i="12843"/>
  <c r="D608" i="12843" s="1"/>
  <c r="D596" i="12843"/>
  <c r="D607" i="12843" s="1"/>
  <c r="D595" i="12843"/>
  <c r="D606" i="12843" s="1"/>
  <c r="D592" i="12843"/>
  <c r="D590" i="12843"/>
  <c r="D603" i="12843" s="1"/>
  <c r="D589" i="12843"/>
  <c r="D602" i="12843" s="1"/>
  <c r="D587" i="12843"/>
  <c r="D601" i="12843" s="1"/>
  <c r="D586" i="12843"/>
  <c r="D600" i="12843" s="1"/>
  <c r="D585" i="12843"/>
  <c r="D599" i="12843" s="1"/>
  <c r="F599" i="12843" s="1"/>
  <c r="I644" i="12843"/>
  <c r="D570" i="12843"/>
  <c r="D569" i="12843"/>
  <c r="D568" i="12843"/>
  <c r="D566" i="12843"/>
  <c r="D567" i="12843" s="1"/>
  <c r="D565" i="12843"/>
  <c r="D564" i="12843"/>
  <c r="D563" i="12843"/>
  <c r="D562" i="12843"/>
  <c r="D561" i="12843"/>
  <c r="C539" i="12843"/>
  <c r="C541" i="12843" s="1"/>
  <c r="I535" i="12843"/>
  <c r="F535" i="12843"/>
  <c r="I534" i="12843"/>
  <c r="F534" i="12843"/>
  <c r="D533" i="12843"/>
  <c r="I522" i="12843"/>
  <c r="F522" i="12843"/>
  <c r="D521" i="12843"/>
  <c r="D532" i="12843" s="1"/>
  <c r="F532" i="12843" s="1"/>
  <c r="D520" i="12843"/>
  <c r="D531" i="12843" s="1"/>
  <c r="F531" i="12843" s="1"/>
  <c r="D519" i="12843"/>
  <c r="D538" i="12843" s="1"/>
  <c r="F538" i="12843" s="1"/>
  <c r="D517" i="12843"/>
  <c r="D537" i="12843" s="1"/>
  <c r="F537" i="12843" s="1"/>
  <c r="D515" i="12843"/>
  <c r="D528" i="12843" s="1"/>
  <c r="F528" i="12843" s="1"/>
  <c r="D514" i="12843"/>
  <c r="F514" i="12843" s="1"/>
  <c r="C513" i="12843"/>
  <c r="D512" i="12843"/>
  <c r="D511" i="12843"/>
  <c r="D510" i="12843"/>
  <c r="F489" i="12843"/>
  <c r="F488" i="12843"/>
  <c r="D479" i="12843"/>
  <c r="C472" i="12843"/>
  <c r="F460" i="12843"/>
  <c r="F459" i="12843"/>
  <c r="D450" i="12843"/>
  <c r="D449" i="12843"/>
  <c r="D458" i="12843" s="1"/>
  <c r="D448" i="12843"/>
  <c r="D457" i="12843" s="1"/>
  <c r="D447" i="12843"/>
  <c r="D456" i="12843" s="1"/>
  <c r="D446" i="12843"/>
  <c r="D445" i="12843"/>
  <c r="D442" i="12843"/>
  <c r="D441" i="12843"/>
  <c r="D470" i="12843" s="1"/>
  <c r="D481" i="12843" s="1"/>
  <c r="F481" i="12843" s="1"/>
  <c r="D440" i="12843"/>
  <c r="D451" i="12843" s="1"/>
  <c r="F451" i="12843" s="1"/>
  <c r="C411" i="12843"/>
  <c r="D421" i="12843"/>
  <c r="D420" i="12843"/>
  <c r="D429" i="12843" s="1"/>
  <c r="D419" i="12843"/>
  <c r="D428" i="12843" s="1"/>
  <c r="C419" i="12843"/>
  <c r="D418" i="12843"/>
  <c r="D427" i="12843" s="1"/>
  <c r="D417" i="12843"/>
  <c r="D426" i="12843" s="1"/>
  <c r="D416" i="12843"/>
  <c r="D425" i="12843" s="1"/>
  <c r="D413" i="12843"/>
  <c r="D424" i="12843" s="1"/>
  <c r="D412" i="12843"/>
  <c r="D423" i="12843" s="1"/>
  <c r="D411" i="12843"/>
  <c r="D422" i="12843" s="1"/>
  <c r="F401" i="12843"/>
  <c r="F400" i="12843"/>
  <c r="D391" i="12843"/>
  <c r="D390" i="12843"/>
  <c r="F390" i="12843" s="1"/>
  <c r="D389" i="12843"/>
  <c r="F389" i="12843" s="1"/>
  <c r="D388" i="12843"/>
  <c r="F388" i="12843" s="1"/>
  <c r="D387" i="12843"/>
  <c r="C402" i="12843"/>
  <c r="D386" i="12843"/>
  <c r="F386" i="12843" s="1"/>
  <c r="D383" i="12843"/>
  <c r="F383" i="12843" s="1"/>
  <c r="D382" i="12843"/>
  <c r="F382" i="12843" s="1"/>
  <c r="D381" i="12843"/>
  <c r="C384" i="12843"/>
  <c r="F372" i="12843"/>
  <c r="F371" i="12843"/>
  <c r="D362" i="12843"/>
  <c r="D361" i="12843"/>
  <c r="F361" i="12843" s="1"/>
  <c r="D360" i="12843"/>
  <c r="F360" i="12843" s="1"/>
  <c r="D359" i="12843"/>
  <c r="C330" i="12843"/>
  <c r="D358" i="12843"/>
  <c r="D357" i="12843"/>
  <c r="F357" i="12843" s="1"/>
  <c r="D354" i="12843"/>
  <c r="F354" i="12843" s="1"/>
  <c r="D353" i="12843"/>
  <c r="F353" i="12843" s="1"/>
  <c r="D352" i="12843"/>
  <c r="F343" i="12843"/>
  <c r="F342" i="12843"/>
  <c r="D333" i="12843"/>
  <c r="D332" i="12843"/>
  <c r="C332" i="12843"/>
  <c r="D331" i="12843"/>
  <c r="C331" i="12843"/>
  <c r="D330" i="12843"/>
  <c r="D329" i="12843"/>
  <c r="D328" i="12843"/>
  <c r="C328" i="12843"/>
  <c r="D325" i="12843"/>
  <c r="C325" i="12843"/>
  <c r="D324" i="12843"/>
  <c r="C324" i="12843"/>
  <c r="D323" i="12843"/>
  <c r="D304" i="12843"/>
  <c r="D303" i="12843"/>
  <c r="D302" i="12843"/>
  <c r="D301" i="12843"/>
  <c r="D300" i="12843"/>
  <c r="D299" i="12843"/>
  <c r="D297" i="12843"/>
  <c r="D296" i="12843"/>
  <c r="D295" i="12843"/>
  <c r="D276" i="12843"/>
  <c r="D275" i="12843"/>
  <c r="D274" i="12843"/>
  <c r="D273" i="12843"/>
  <c r="D272" i="12843"/>
  <c r="D271" i="12843"/>
  <c r="D269" i="12843"/>
  <c r="D268" i="12843"/>
  <c r="D267" i="12843"/>
  <c r="F257" i="12843"/>
  <c r="F256" i="12843"/>
  <c r="C251" i="12843"/>
  <c r="D247" i="12843"/>
  <c r="D246" i="12843"/>
  <c r="D245" i="12843"/>
  <c r="D244" i="12843"/>
  <c r="D243" i="12843"/>
  <c r="D242" i="12843"/>
  <c r="D240" i="12843"/>
  <c r="D239" i="12843"/>
  <c r="D238" i="12843"/>
  <c r="D219" i="12843"/>
  <c r="D218" i="12843"/>
  <c r="D341" i="12843" s="1"/>
  <c r="D217" i="12843"/>
  <c r="D216" i="12843"/>
  <c r="D310" i="12843" s="1"/>
  <c r="D215" i="12843"/>
  <c r="D214" i="12843"/>
  <c r="D280" i="12843" s="1"/>
  <c r="D212" i="12843"/>
  <c r="D222" i="12843" s="1"/>
  <c r="D211" i="12843"/>
  <c r="D306" i="12843" s="1"/>
  <c r="D210" i="12843"/>
  <c r="D305" i="12843" s="1"/>
  <c r="F305" i="12843" s="1"/>
  <c r="I257" i="12843"/>
  <c r="D161" i="12843"/>
  <c r="D160" i="12843"/>
  <c r="D159" i="12843"/>
  <c r="D158" i="12843"/>
  <c r="D157" i="12843"/>
  <c r="D156" i="12843"/>
  <c r="D148" i="12843"/>
  <c r="D147" i="12843"/>
  <c r="D146" i="12843"/>
  <c r="D145" i="12843"/>
  <c r="D144" i="12843"/>
  <c r="D143" i="12843"/>
  <c r="D116" i="12843"/>
  <c r="D115" i="12843"/>
  <c r="D114" i="12843"/>
  <c r="D113" i="12843"/>
  <c r="D112" i="12843"/>
  <c r="D111" i="12843"/>
  <c r="D103" i="12843"/>
  <c r="D102" i="12843"/>
  <c r="D101" i="12843"/>
  <c r="D100" i="12843"/>
  <c r="D99" i="12843"/>
  <c r="D98" i="12843"/>
  <c r="D89" i="12843"/>
  <c r="D88" i="12843"/>
  <c r="D87" i="12843"/>
  <c r="D86" i="12843"/>
  <c r="D85" i="12843"/>
  <c r="D84" i="12843"/>
  <c r="D74" i="12843"/>
  <c r="D73" i="12843"/>
  <c r="D56" i="12843"/>
  <c r="D55" i="12843"/>
  <c r="D54" i="12843"/>
  <c r="D44" i="12843"/>
  <c r="D43" i="12843"/>
  <c r="D42" i="12843"/>
  <c r="D32" i="12843"/>
  <c r="F32" i="12843" s="1"/>
  <c r="D31" i="12843"/>
  <c r="D30" i="12843"/>
  <c r="B21" i="12783"/>
  <c r="L885" i="12843" l="1"/>
  <c r="F879" i="12843"/>
  <c r="L879" i="12843"/>
  <c r="F938" i="12843"/>
  <c r="L938" i="12843"/>
  <c r="L696" i="12843"/>
  <c r="L1023" i="12843"/>
  <c r="L697" i="12843"/>
  <c r="F876" i="12843"/>
  <c r="L876" i="12843"/>
  <c r="F935" i="12843"/>
  <c r="L935" i="12843"/>
  <c r="L251" i="12843"/>
  <c r="G21" i="12881"/>
  <c r="G17" i="12881"/>
  <c r="G20" i="12881"/>
  <c r="G15" i="12881"/>
  <c r="G16" i="12881"/>
  <c r="G19" i="12881"/>
  <c r="G23" i="12881"/>
  <c r="G25" i="12881"/>
  <c r="G24" i="12881"/>
  <c r="G28" i="12881"/>
  <c r="G29" i="12881"/>
  <c r="G27" i="12881"/>
  <c r="G20" i="12772"/>
  <c r="G19" i="12772"/>
  <c r="G17" i="12772"/>
  <c r="G15" i="12772"/>
  <c r="G16" i="12772"/>
  <c r="G21" i="12772"/>
  <c r="G23" i="12772"/>
  <c r="G28" i="12772"/>
  <c r="G27" i="12772"/>
  <c r="G29" i="12772"/>
  <c r="G24" i="12772"/>
  <c r="G25" i="12772"/>
  <c r="F341" i="12843"/>
  <c r="D693" i="12843"/>
  <c r="F533" i="12843"/>
  <c r="I533" i="12843"/>
  <c r="D527" i="12843"/>
  <c r="F527" i="12843" s="1"/>
  <c r="D452" i="12843"/>
  <c r="F452" i="12843" s="1"/>
  <c r="F423" i="12843" s="1"/>
  <c r="D221" i="12843"/>
  <c r="D393" i="12843"/>
  <c r="F393" i="12843" s="1"/>
  <c r="D476" i="12843"/>
  <c r="D485" i="12843" s="1"/>
  <c r="F485" i="12843" s="1"/>
  <c r="F330" i="12843"/>
  <c r="F431" i="12843"/>
  <c r="D692" i="12843"/>
  <c r="D726" i="12843" s="1"/>
  <c r="D745" i="12843" s="1"/>
  <c r="F745" i="12843" s="1"/>
  <c r="F692" i="12843" s="1"/>
  <c r="D638" i="12843"/>
  <c r="D639" i="12843" s="1"/>
  <c r="F639" i="12843" s="1"/>
  <c r="D278" i="12843"/>
  <c r="F278" i="12843" s="1"/>
  <c r="D220" i="12843"/>
  <c r="D251" i="12843"/>
  <c r="F251" i="12843" s="1"/>
  <c r="D335" i="12843"/>
  <c r="F335" i="12843" s="1"/>
  <c r="D368" i="12843"/>
  <c r="F368" i="12843" s="1"/>
  <c r="H534" i="12766"/>
  <c r="I609" i="12843"/>
  <c r="I643" i="12843"/>
  <c r="D307" i="12843"/>
  <c r="F307" i="12843" s="1"/>
  <c r="D394" i="12843"/>
  <c r="F394" i="12843" s="1"/>
  <c r="D254" i="12843"/>
  <c r="F254" i="12843" s="1"/>
  <c r="D311" i="12843"/>
  <c r="F311" i="12843" s="1"/>
  <c r="D604" i="12843"/>
  <c r="D605" i="12843" s="1"/>
  <c r="F605" i="12843" s="1"/>
  <c r="D593" i="12843"/>
  <c r="F593" i="12843" s="1"/>
  <c r="D474" i="12843"/>
  <c r="D483" i="12843" s="1"/>
  <c r="F483" i="12843" s="1"/>
  <c r="D454" i="12843"/>
  <c r="F454" i="12843" s="1"/>
  <c r="D367" i="12843"/>
  <c r="F367" i="12843" s="1"/>
  <c r="D396" i="12843"/>
  <c r="F396" i="12843" s="1"/>
  <c r="D224" i="12843"/>
  <c r="D223" i="12843"/>
  <c r="D469" i="12843"/>
  <c r="D480" i="12843" s="1"/>
  <c r="F480" i="12843" s="1"/>
  <c r="F422" i="12843" s="1"/>
  <c r="F687" i="12843"/>
  <c r="C117" i="12787"/>
  <c r="D530" i="12843"/>
  <c r="F530" i="12843" s="1"/>
  <c r="H83" i="12787"/>
  <c r="T84" i="12787" s="1"/>
  <c r="K104" i="12787"/>
  <c r="D529" i="12843"/>
  <c r="F529" i="12843" s="1"/>
  <c r="H35" i="12787"/>
  <c r="G35" i="12787"/>
  <c r="G188" i="12787"/>
  <c r="G159" i="12787" s="1"/>
  <c r="D225" i="12843"/>
  <c r="D477" i="12843"/>
  <c r="F477" i="12843" s="1"/>
  <c r="F515" i="12843"/>
  <c r="F517" i="12843"/>
  <c r="F519" i="12843"/>
  <c r="F520" i="12843"/>
  <c r="F521" i="12843"/>
  <c r="D774" i="12843"/>
  <c r="D793" i="12843" s="1"/>
  <c r="F793" i="12843" s="1"/>
  <c r="D689" i="12843"/>
  <c r="F457" i="12843"/>
  <c r="D249" i="12843"/>
  <c r="F249" i="12843" s="1"/>
  <c r="I256" i="12843"/>
  <c r="D282" i="12843"/>
  <c r="F282" i="12843" s="1"/>
  <c r="D308" i="12843"/>
  <c r="F308" i="12843" s="1"/>
  <c r="D364" i="12843"/>
  <c r="F364" i="12843" s="1"/>
  <c r="F448" i="12843"/>
  <c r="P19" i="12837"/>
  <c r="V15" i="12837"/>
  <c r="R26" i="12837"/>
  <c r="P26" i="12837"/>
  <c r="V26" i="12837" s="1"/>
  <c r="V31" i="12837"/>
  <c r="P37" i="12837"/>
  <c r="O97" i="12761"/>
  <c r="D20" i="12787"/>
  <c r="H37" i="12787"/>
  <c r="H20" i="12787" s="1"/>
  <c r="K23" i="12787"/>
  <c r="H56" i="12787"/>
  <c r="K83" i="12787"/>
  <c r="U84" i="12787" s="1"/>
  <c r="W84" i="12787" s="1"/>
  <c r="H110" i="12787"/>
  <c r="G110" i="12787"/>
  <c r="G115" i="12787" s="1"/>
  <c r="G117" i="12787" s="1"/>
  <c r="H704" i="12787"/>
  <c r="G704" i="12787"/>
  <c r="E723" i="12787"/>
  <c r="D1105" i="12843"/>
  <c r="F1105" i="12843" s="1"/>
  <c r="J46" i="12837"/>
  <c r="H39" i="12787"/>
  <c r="V44" i="12859"/>
  <c r="R17" i="12837"/>
  <c r="P17" i="12837"/>
  <c r="V17" i="12837" s="1"/>
  <c r="T40" i="12837"/>
  <c r="N42" i="12837"/>
  <c r="T42" i="12837" s="1"/>
  <c r="V49" i="12837"/>
  <c r="P54" i="12837"/>
  <c r="V54" i="12837" s="1"/>
  <c r="M23" i="12787"/>
  <c r="G20" i="12787"/>
  <c r="H72" i="12787"/>
  <c r="G72" i="12787"/>
  <c r="D102" i="12787"/>
  <c r="H98" i="12787"/>
  <c r="H85" i="12787" s="1"/>
  <c r="D85" i="12787"/>
  <c r="M85" i="12787" s="1"/>
  <c r="G212" i="12787"/>
  <c r="E222" i="12787"/>
  <c r="H212" i="12787"/>
  <c r="G183" i="12787"/>
  <c r="G153" i="12787" s="1"/>
  <c r="G675" i="12787"/>
  <c r="F825" i="12843"/>
  <c r="T28" i="12837"/>
  <c r="G16" i="12787"/>
  <c r="H51" i="12787"/>
  <c r="H57" i="12787"/>
  <c r="G57" i="12787"/>
  <c r="G23" i="12787" s="1"/>
  <c r="G69" i="12787"/>
  <c r="G76" i="12787" s="1"/>
  <c r="G78" i="12787" s="1"/>
  <c r="C18" i="12787"/>
  <c r="D69" i="12787"/>
  <c r="H69" i="12787" s="1"/>
  <c r="H76" i="12787" s="1"/>
  <c r="H78" i="12787" s="1"/>
  <c r="H84" i="12787"/>
  <c r="K86" i="12787"/>
  <c r="H46" i="12837"/>
  <c r="O54" i="12761"/>
  <c r="R39" i="12761"/>
  <c r="R97" i="12761" s="1"/>
  <c r="G34" i="12787"/>
  <c r="G17" i="12787" s="1"/>
  <c r="C17" i="12787"/>
  <c r="D34" i="12787"/>
  <c r="D17" i="12787" s="1"/>
  <c r="G55" i="12787"/>
  <c r="D55" i="12787"/>
  <c r="D21" i="12787" s="1"/>
  <c r="V63" i="12859"/>
  <c r="V48" i="12859"/>
  <c r="H34" i="12787"/>
  <c r="H23" i="12787"/>
  <c r="D91" i="12787"/>
  <c r="U85" i="12787"/>
  <c r="W85" i="12787" s="1"/>
  <c r="M84" i="12787"/>
  <c r="M89" i="12787" s="1"/>
  <c r="T85" i="12787"/>
  <c r="H115" i="12787"/>
  <c r="H117" i="12787" s="1"/>
  <c r="C84" i="12787"/>
  <c r="C124" i="12787"/>
  <c r="G124" i="12787" s="1"/>
  <c r="G85" i="12787" s="1"/>
  <c r="K123" i="12787"/>
  <c r="K128" i="12787" s="1"/>
  <c r="K130" i="12787" s="1"/>
  <c r="C128" i="12787"/>
  <c r="C130" i="12787" s="1"/>
  <c r="N19" i="12837"/>
  <c r="T15" i="12837"/>
  <c r="H44" i="12837"/>
  <c r="H58" i="12837"/>
  <c r="G21" i="12787"/>
  <c r="C26" i="12787"/>
  <c r="C27" i="12787" s="1"/>
  <c r="C78" i="12787"/>
  <c r="K84" i="12787"/>
  <c r="J46" i="12859"/>
  <c r="R15" i="12837"/>
  <c r="R24" i="12837"/>
  <c r="R35" i="12837"/>
  <c r="R42" i="12837"/>
  <c r="O69" i="12761"/>
  <c r="C20" i="12787"/>
  <c r="E227" i="12787"/>
  <c r="H218" i="12787"/>
  <c r="G218" i="12787"/>
  <c r="H225" i="12787"/>
  <c r="G225" i="12787"/>
  <c r="G197" i="12787" s="1"/>
  <c r="I229" i="12787"/>
  <c r="K229" i="12787" s="1"/>
  <c r="G255" i="12787"/>
  <c r="G256" i="12787"/>
  <c r="G200" i="12787" s="1"/>
  <c r="H307" i="12787"/>
  <c r="H342" i="12787"/>
  <c r="G342" i="12787"/>
  <c r="H396" i="12787"/>
  <c r="H367" i="12787" s="1"/>
  <c r="G396" i="12787"/>
  <c r="G398" i="12787"/>
  <c r="G369" i="12787" s="1"/>
  <c r="H430" i="12787"/>
  <c r="G430" i="12787"/>
  <c r="E528" i="12787"/>
  <c r="H514" i="12787"/>
  <c r="G514" i="12787"/>
  <c r="O878" i="12787"/>
  <c r="H878" i="12787"/>
  <c r="G878" i="12787"/>
  <c r="E888" i="12787"/>
  <c r="J19" i="12837"/>
  <c r="J58" i="12837" s="1"/>
  <c r="D33" i="12787"/>
  <c r="G56" i="12787"/>
  <c r="G71" i="12787"/>
  <c r="Q85" i="12787"/>
  <c r="G123" i="12787"/>
  <c r="G128" i="12787" s="1"/>
  <c r="G130" i="12787" s="1"/>
  <c r="I124" i="12787"/>
  <c r="G126" i="12787"/>
  <c r="G87" i="12787" s="1"/>
  <c r="I424" i="12787"/>
  <c r="K424" i="12787" s="1"/>
  <c r="K413" i="12787"/>
  <c r="G215" i="12787"/>
  <c r="G187" i="12787" s="1"/>
  <c r="E224" i="12787"/>
  <c r="G217" i="12787"/>
  <c r="C189" i="12787"/>
  <c r="C160" i="12787" s="1"/>
  <c r="K218" i="12787"/>
  <c r="I227" i="12787"/>
  <c r="K227" i="12787" s="1"/>
  <c r="H221" i="12787"/>
  <c r="I225" i="12787"/>
  <c r="K225" i="12787" s="1"/>
  <c r="K197" i="12787" s="1"/>
  <c r="K232" i="12787"/>
  <c r="G204" i="12787"/>
  <c r="I343" i="12787"/>
  <c r="K343" i="12787" s="1"/>
  <c r="K285" i="12787" s="1"/>
  <c r="G363" i="12787"/>
  <c r="H421" i="12787"/>
  <c r="G421" i="12787"/>
  <c r="H431" i="12787"/>
  <c r="E471" i="12787"/>
  <c r="G471" i="12787" s="1"/>
  <c r="G472" i="12787" s="1"/>
  <c r="G474" i="12787" s="1"/>
  <c r="G453" i="12787"/>
  <c r="H650" i="12787"/>
  <c r="D599" i="12787"/>
  <c r="L28" i="12837"/>
  <c r="R28" i="12837" s="1"/>
  <c r="N31" i="12837"/>
  <c r="P42" i="12837"/>
  <c r="V42" i="12837" s="1"/>
  <c r="N49" i="12837"/>
  <c r="I57" i="12787"/>
  <c r="K57" i="12787" s="1"/>
  <c r="E114" i="12787"/>
  <c r="G114" i="12787" s="1"/>
  <c r="G88" i="12787" s="1"/>
  <c r="K141" i="12787"/>
  <c r="K143" i="12787" s="1"/>
  <c r="G137" i="12787"/>
  <c r="G141" i="12787" s="1"/>
  <c r="G143" i="12787" s="1"/>
  <c r="C153" i="12787"/>
  <c r="C156" i="12787" s="1"/>
  <c r="I212" i="12787"/>
  <c r="O154" i="12787"/>
  <c r="I326" i="12787"/>
  <c r="I297" i="12787"/>
  <c r="I268" i="12787"/>
  <c r="I279" i="12787" s="1"/>
  <c r="I184" i="12787"/>
  <c r="I194" i="12787" s="1"/>
  <c r="I150" i="12787"/>
  <c r="K304" i="12787"/>
  <c r="I313" i="12787"/>
  <c r="K313" i="12787" s="1"/>
  <c r="C233" i="12787"/>
  <c r="G252" i="12787"/>
  <c r="G309" i="12787"/>
  <c r="H272" i="12787"/>
  <c r="K303" i="12787"/>
  <c r="I336" i="12787"/>
  <c r="K336" i="12787" s="1"/>
  <c r="K325" i="12787"/>
  <c r="I340" i="12787"/>
  <c r="K340" i="12787" s="1"/>
  <c r="K331" i="12787"/>
  <c r="K273" i="12787" s="1"/>
  <c r="K159" i="12787" s="1"/>
  <c r="G345" i="12787"/>
  <c r="H426" i="12787"/>
  <c r="G426" i="12787"/>
  <c r="G368" i="12787" s="1"/>
  <c r="H12" i="12837"/>
  <c r="I126" i="12787"/>
  <c r="K126" i="12787" s="1"/>
  <c r="M154" i="12787"/>
  <c r="I165" i="12787"/>
  <c r="G231" i="12787"/>
  <c r="H219" i="12787"/>
  <c r="H240" i="12787"/>
  <c r="G240" i="12787"/>
  <c r="E250" i="12787"/>
  <c r="G247" i="12787"/>
  <c r="G191" i="12787" s="1"/>
  <c r="G162" i="12787" s="1"/>
  <c r="G269" i="12787"/>
  <c r="K281" i="12787"/>
  <c r="K167" i="12787" s="1"/>
  <c r="C317" i="12787"/>
  <c r="C405" i="12787"/>
  <c r="G390" i="12787"/>
  <c r="G361" i="12787" s="1"/>
  <c r="G401" i="12787"/>
  <c r="G372" i="12787" s="1"/>
  <c r="D416" i="12787"/>
  <c r="D358" i="12787" s="1"/>
  <c r="G565" i="12787"/>
  <c r="P58" i="12837"/>
  <c r="V58" i="12837" s="1"/>
  <c r="O1035" i="12787"/>
  <c r="I114" i="12787"/>
  <c r="K114" i="12787" s="1"/>
  <c r="K115" i="12787" s="1"/>
  <c r="I258" i="12787"/>
  <c r="K258" i="12787" s="1"/>
  <c r="I316" i="12787"/>
  <c r="K316" i="12787" s="1"/>
  <c r="I230" i="12787"/>
  <c r="K230" i="12787" s="1"/>
  <c r="K202" i="12787" s="1"/>
  <c r="I433" i="12787"/>
  <c r="K433" i="12787" s="1"/>
  <c r="I404" i="12787"/>
  <c r="K404" i="12787" s="1"/>
  <c r="I375" i="12787"/>
  <c r="I345" i="12787"/>
  <c r="K345" i="12787" s="1"/>
  <c r="I287" i="12787"/>
  <c r="G185" i="12787"/>
  <c r="G155" i="12787" s="1"/>
  <c r="I240" i="12787"/>
  <c r="C246" i="12787"/>
  <c r="C190" i="12787" s="1"/>
  <c r="C161" i="12787" s="1"/>
  <c r="G245" i="12787"/>
  <c r="G281" i="12787"/>
  <c r="H339" i="12787"/>
  <c r="G339" i="12787"/>
  <c r="G502" i="12787"/>
  <c r="V62" i="12859"/>
  <c r="B18" i="12837"/>
  <c r="P33" i="12837"/>
  <c r="V33" i="12837" s="1"/>
  <c r="G26" i="12787"/>
  <c r="K26" i="12787" s="1"/>
  <c r="G39" i="12787"/>
  <c r="G22" i="12787" s="1"/>
  <c r="G51" i="12787"/>
  <c r="G59" i="12787" s="1"/>
  <c r="G61" i="12787" s="1"/>
  <c r="D73" i="12787"/>
  <c r="H73" i="12787" s="1"/>
  <c r="M87" i="12787"/>
  <c r="G96" i="12787"/>
  <c r="I100" i="12787"/>
  <c r="K100" i="12787" s="1"/>
  <c r="K87" i="12787" s="1"/>
  <c r="H125" i="12787"/>
  <c r="H86" i="12787" s="1"/>
  <c r="K213" i="12787"/>
  <c r="K185" i="12787" s="1"/>
  <c r="K155" i="12787" s="1"/>
  <c r="U151" i="12787" s="1"/>
  <c r="W151" i="12787" s="1"/>
  <c r="D239" i="12787"/>
  <c r="G254" i="12787"/>
  <c r="G198" i="12787" s="1"/>
  <c r="G276" i="12787"/>
  <c r="I311" i="12787"/>
  <c r="K311" i="12787" s="1"/>
  <c r="K370" i="12787"/>
  <c r="E572" i="12787"/>
  <c r="E538" i="12787"/>
  <c r="G491" i="12787"/>
  <c r="H712" i="12787"/>
  <c r="H610" i="12787" s="1"/>
  <c r="D610" i="12787"/>
  <c r="I432" i="12787"/>
  <c r="K432" i="12787" s="1"/>
  <c r="I374" i="12787"/>
  <c r="I403" i="12787"/>
  <c r="K403" i="12787" s="1"/>
  <c r="K374" i="12787" s="1"/>
  <c r="I344" i="12787"/>
  <c r="K344" i="12787" s="1"/>
  <c r="K286" i="12787" s="1"/>
  <c r="I286" i="12787"/>
  <c r="I201" i="12787"/>
  <c r="I257" i="12787"/>
  <c r="K257" i="12787" s="1"/>
  <c r="D227" i="12787"/>
  <c r="D226" i="12787"/>
  <c r="D219" i="12787"/>
  <c r="D228" i="12787"/>
  <c r="H228" i="12787" s="1"/>
  <c r="D230" i="12787"/>
  <c r="D215" i="12787"/>
  <c r="D223" i="12787"/>
  <c r="D216" i="12787"/>
  <c r="D213" i="12787"/>
  <c r="I254" i="12787"/>
  <c r="K254" i="12787" s="1"/>
  <c r="K245" i="12787"/>
  <c r="K278" i="12787"/>
  <c r="H338" i="12787"/>
  <c r="G338" i="12787"/>
  <c r="H333" i="12787"/>
  <c r="G333" i="12787"/>
  <c r="H355" i="12787"/>
  <c r="H149" i="12787" s="1"/>
  <c r="H425" i="12787"/>
  <c r="G425" i="12787"/>
  <c r="D535" i="12787"/>
  <c r="D524" i="12787"/>
  <c r="H524" i="12787" s="1"/>
  <c r="D536" i="12787"/>
  <c r="D525" i="12787"/>
  <c r="D518" i="12787"/>
  <c r="D532" i="12787"/>
  <c r="D519" i="12787"/>
  <c r="D539" i="12787"/>
  <c r="D533" i="12787"/>
  <c r="D521" i="12787"/>
  <c r="D531" i="12787"/>
  <c r="D534" i="12787"/>
  <c r="D537" i="12787"/>
  <c r="D526" i="12787"/>
  <c r="D522" i="12787"/>
  <c r="K584" i="12787"/>
  <c r="O160" i="12787"/>
  <c r="O161" i="12787"/>
  <c r="E201" i="12787"/>
  <c r="I249" i="12787"/>
  <c r="K249" i="12787" s="1"/>
  <c r="K193" i="12787" s="1"/>
  <c r="I274" i="12787"/>
  <c r="I283" i="12787" s="1"/>
  <c r="E286" i="12787"/>
  <c r="E313" i="12787"/>
  <c r="H327" i="12787"/>
  <c r="E362" i="12787"/>
  <c r="E371" i="12787" s="1"/>
  <c r="E375" i="12787"/>
  <c r="I384" i="12787"/>
  <c r="D388" i="12787"/>
  <c r="D359" i="12787" s="1"/>
  <c r="E391" i="12787"/>
  <c r="E404" i="12787"/>
  <c r="D420" i="12787"/>
  <c r="D429" i="12787"/>
  <c r="I431" i="12787"/>
  <c r="K431" i="12787" s="1"/>
  <c r="K373" i="12787" s="1"/>
  <c r="D433" i="12787"/>
  <c r="I538" i="12787"/>
  <c r="K538" i="12787" s="1"/>
  <c r="K504" i="12787" s="1"/>
  <c r="M504" i="12787"/>
  <c r="I572" i="12787"/>
  <c r="K572" i="12787" s="1"/>
  <c r="H495" i="12787"/>
  <c r="C542" i="12787"/>
  <c r="E556" i="12787"/>
  <c r="E567" i="12787"/>
  <c r="G555" i="12787"/>
  <c r="G571" i="12787"/>
  <c r="H582" i="12787"/>
  <c r="H654" i="12787"/>
  <c r="H603" i="12787" s="1"/>
  <c r="G665" i="12787"/>
  <c r="E710" i="12787"/>
  <c r="H687" i="12787"/>
  <c r="G687" i="12787"/>
  <c r="C814" i="12787"/>
  <c r="K934" i="12787"/>
  <c r="K936" i="12787" s="1"/>
  <c r="E223" i="12787"/>
  <c r="G246" i="12787"/>
  <c r="E251" i="12787"/>
  <c r="G289" i="12787"/>
  <c r="K289" i="12787" s="1"/>
  <c r="K298" i="12787"/>
  <c r="K269" i="12787" s="1"/>
  <c r="K301" i="12787"/>
  <c r="K330" i="12787"/>
  <c r="E336" i="12787"/>
  <c r="E344" i="12787"/>
  <c r="I392" i="12787"/>
  <c r="D395" i="12787"/>
  <c r="H395" i="12787" s="1"/>
  <c r="I397" i="12787"/>
  <c r="K397" i="12787" s="1"/>
  <c r="K368" i="12787" s="1"/>
  <c r="K166" i="12787" s="1"/>
  <c r="D403" i="12787"/>
  <c r="E420" i="12787"/>
  <c r="E433" i="12787"/>
  <c r="C481" i="12787"/>
  <c r="C483" i="12787" s="1"/>
  <c r="C517" i="12787"/>
  <c r="K496" i="12787"/>
  <c r="K552" i="12787"/>
  <c r="E659" i="12787"/>
  <c r="H636" i="12787"/>
  <c r="G636" i="12787"/>
  <c r="G585" i="12787" s="1"/>
  <c r="G591" i="12787"/>
  <c r="G599" i="12787"/>
  <c r="I673" i="12787"/>
  <c r="K673" i="12787" s="1"/>
  <c r="K622" i="12787" s="1"/>
  <c r="K654" i="12787"/>
  <c r="K603" i="12787" s="1"/>
  <c r="H714" i="12787"/>
  <c r="H698" i="12787"/>
  <c r="H596" i="12787" s="1"/>
  <c r="G698" i="12787"/>
  <c r="G714" i="12787"/>
  <c r="H724" i="12787"/>
  <c r="K749" i="12787"/>
  <c r="M749" i="12787"/>
  <c r="G864" i="12787"/>
  <c r="I256" i="12787"/>
  <c r="K256" i="12787" s="1"/>
  <c r="K200" i="12787" s="1"/>
  <c r="K171" i="12787" s="1"/>
  <c r="E316" i="12787"/>
  <c r="I333" i="12787"/>
  <c r="I363" i="12787"/>
  <c r="I372" i="12787" s="1"/>
  <c r="E403" i="12787"/>
  <c r="I421" i="12787"/>
  <c r="I559" i="12787"/>
  <c r="O491" i="12787"/>
  <c r="I525" i="12787"/>
  <c r="E573" i="12787"/>
  <c r="E539" i="12787"/>
  <c r="G595" i="12787"/>
  <c r="I711" i="12787"/>
  <c r="K711" i="12787" s="1"/>
  <c r="K688" i="12787"/>
  <c r="I702" i="12787"/>
  <c r="I714" i="12787"/>
  <c r="K714" i="12787" s="1"/>
  <c r="K695" i="12787"/>
  <c r="H715" i="12787"/>
  <c r="D773" i="12787"/>
  <c r="M773" i="12787" s="1"/>
  <c r="O149" i="12787"/>
  <c r="I217" i="12787"/>
  <c r="E229" i="12787"/>
  <c r="G244" i="12787"/>
  <c r="I246" i="12787"/>
  <c r="E258" i="12787"/>
  <c r="C271" i="12787"/>
  <c r="G304" i="12787"/>
  <c r="G275" i="12787" s="1"/>
  <c r="G308" i="12787"/>
  <c r="G279" i="12787" s="1"/>
  <c r="G312" i="12787"/>
  <c r="G283" i="12787" s="1"/>
  <c r="G341" i="12787"/>
  <c r="C346" i="12787"/>
  <c r="I362" i="12787"/>
  <c r="I371" i="12787" s="1"/>
  <c r="E374" i="12787"/>
  <c r="G389" i="12787"/>
  <c r="I391" i="12787"/>
  <c r="G395" i="12787"/>
  <c r="G399" i="12787"/>
  <c r="K406" i="12787"/>
  <c r="G413" i="12787"/>
  <c r="E424" i="12787"/>
  <c r="E428" i="12787"/>
  <c r="E432" i="12787"/>
  <c r="I539" i="12787"/>
  <c r="K539" i="12787" s="1"/>
  <c r="G524" i="12787"/>
  <c r="G530" i="12787"/>
  <c r="G496" i="12787" s="1"/>
  <c r="C551" i="12787"/>
  <c r="H564" i="12787"/>
  <c r="H496" i="12787" s="1"/>
  <c r="G564" i="12787"/>
  <c r="H562" i="12787"/>
  <c r="G562" i="12787"/>
  <c r="G586" i="12787"/>
  <c r="D669" i="12787"/>
  <c r="D665" i="12787"/>
  <c r="C625" i="12787"/>
  <c r="C627" i="12787" s="1"/>
  <c r="D651" i="12787"/>
  <c r="D600" i="12787" s="1"/>
  <c r="M600" i="12787" s="1"/>
  <c r="D670" i="12787"/>
  <c r="D619" i="12787" s="1"/>
  <c r="D653" i="12787"/>
  <c r="D675" i="12787"/>
  <c r="H675" i="12787" s="1"/>
  <c r="D654" i="12787"/>
  <c r="D672" i="12787"/>
  <c r="D621" i="12787" s="1"/>
  <c r="D663" i="12787"/>
  <c r="C678" i="12787"/>
  <c r="D673" i="12787"/>
  <c r="D622" i="12787" s="1"/>
  <c r="M622" i="12787" s="1"/>
  <c r="D664" i="12787"/>
  <c r="G669" i="12787"/>
  <c r="M756" i="12787"/>
  <c r="K756" i="12787"/>
  <c r="E311" i="12787"/>
  <c r="E315" i="12787"/>
  <c r="I332" i="12787"/>
  <c r="E343" i="12787"/>
  <c r="I355" i="12787"/>
  <c r="I366" i="12787" s="1"/>
  <c r="E402" i="12787"/>
  <c r="D418" i="12787"/>
  <c r="H418" i="12787" s="1"/>
  <c r="I420" i="12787"/>
  <c r="D422" i="12787"/>
  <c r="H422" i="12787" s="1"/>
  <c r="D427" i="12787"/>
  <c r="H427" i="12787" s="1"/>
  <c r="D431" i="12787"/>
  <c r="H472" i="12787"/>
  <c r="H474" i="12787" s="1"/>
  <c r="C484" i="12787"/>
  <c r="K490" i="12787"/>
  <c r="U482" i="12787" s="1"/>
  <c r="W482" i="12787" s="1"/>
  <c r="C570" i="12787"/>
  <c r="C502" i="12787" s="1"/>
  <c r="C501" i="12787"/>
  <c r="E670" i="12787"/>
  <c r="H651" i="12787"/>
  <c r="G596" i="12787"/>
  <c r="G602" i="12787"/>
  <c r="H701" i="12787"/>
  <c r="H717" i="12787"/>
  <c r="H615" i="12787" s="1"/>
  <c r="G717" i="12787"/>
  <c r="H839" i="12787"/>
  <c r="H811" i="12787" s="1"/>
  <c r="H783" i="12787" s="1"/>
  <c r="G839" i="12787"/>
  <c r="I190" i="12787"/>
  <c r="I199" i="12787" s="1"/>
  <c r="E287" i="12787"/>
  <c r="H296" i="12787"/>
  <c r="G302" i="12787"/>
  <c r="G273" i="12787" s="1"/>
  <c r="G331" i="12787"/>
  <c r="K390" i="12787"/>
  <c r="K361" i="12787" s="1"/>
  <c r="E469" i="12787"/>
  <c r="H518" i="12787"/>
  <c r="E531" i="12787"/>
  <c r="G518" i="12787"/>
  <c r="G484" i="12787" s="1"/>
  <c r="G487" i="12787"/>
  <c r="I562" i="12787"/>
  <c r="K562" i="12787" s="1"/>
  <c r="K494" i="12787" s="1"/>
  <c r="K548" i="12787"/>
  <c r="I569" i="12787"/>
  <c r="K569" i="12787" s="1"/>
  <c r="K558" i="12787"/>
  <c r="I573" i="12787"/>
  <c r="K573" i="12787" s="1"/>
  <c r="I663" i="12787"/>
  <c r="K663" i="12787" s="1"/>
  <c r="K612" i="12787" s="1"/>
  <c r="I651" i="12787"/>
  <c r="K644" i="12787"/>
  <c r="K593" i="12787" s="1"/>
  <c r="I718" i="12787"/>
  <c r="K718" i="12787" s="1"/>
  <c r="O996" i="12787"/>
  <c r="P996" i="12787"/>
  <c r="I531" i="12787"/>
  <c r="K531" i="12787" s="1"/>
  <c r="K518" i="12787"/>
  <c r="H536" i="12787"/>
  <c r="H535" i="12787"/>
  <c r="G535" i="12787"/>
  <c r="G570" i="12787"/>
  <c r="M599" i="12787"/>
  <c r="C729" i="12787"/>
  <c r="D723" i="12787"/>
  <c r="D704" i="12787"/>
  <c r="D714" i="12787"/>
  <c r="D705" i="12787"/>
  <c r="H705" i="12787" s="1"/>
  <c r="D724" i="12787"/>
  <c r="D693" i="12787"/>
  <c r="D715" i="12787"/>
  <c r="D695" i="12787"/>
  <c r="D593" i="12787" s="1"/>
  <c r="M593" i="12787" s="1"/>
  <c r="D696" i="12787"/>
  <c r="D726" i="12787"/>
  <c r="D720" i="12787"/>
  <c r="D716" i="12787"/>
  <c r="D701" i="12787"/>
  <c r="D697" i="12787"/>
  <c r="D595" i="12787" s="1"/>
  <c r="E522" i="12787"/>
  <c r="I537" i="12787"/>
  <c r="K537" i="12787" s="1"/>
  <c r="K503" i="12787" s="1"/>
  <c r="I556" i="12787"/>
  <c r="I637" i="12787"/>
  <c r="I647" i="12787"/>
  <c r="I684" i="12787"/>
  <c r="I693" i="12787"/>
  <c r="E702" i="12787"/>
  <c r="E709" i="12787"/>
  <c r="M740" i="12787"/>
  <c r="I752" i="12787"/>
  <c r="K822" i="12787"/>
  <c r="C794" i="12787"/>
  <c r="C813" i="12787"/>
  <c r="C785" i="12787" s="1"/>
  <c r="D838" i="12787"/>
  <c r="D826" i="12787"/>
  <c r="D840" i="12787"/>
  <c r="D834" i="12787"/>
  <c r="D806" i="12787" s="1"/>
  <c r="D778" i="12787" s="1"/>
  <c r="M778" i="12787" s="1"/>
  <c r="D830" i="12787"/>
  <c r="D802" i="12787" s="1"/>
  <c r="H881" i="12787"/>
  <c r="O884" i="12787"/>
  <c r="E892" i="12787"/>
  <c r="H884" i="12787"/>
  <c r="G884" i="12787"/>
  <c r="P910" i="12787"/>
  <c r="H910" i="12787"/>
  <c r="G356" i="12766"/>
  <c r="G150" i="12766" s="1"/>
  <c r="K515" i="12787"/>
  <c r="K481" i="12787" s="1"/>
  <c r="G550" i="12787"/>
  <c r="G482" i="12787" s="1"/>
  <c r="G553" i="12787"/>
  <c r="G485" i="12787" s="1"/>
  <c r="C559" i="12787"/>
  <c r="G559" i="12787" s="1"/>
  <c r="E569" i="12787"/>
  <c r="I642" i="12787"/>
  <c r="K653" i="12787"/>
  <c r="E656" i="12787"/>
  <c r="I658" i="12787"/>
  <c r="K658" i="12787" s="1"/>
  <c r="E664" i="12787"/>
  <c r="E667" i="12787"/>
  <c r="E673" i="12787"/>
  <c r="I674" i="12787"/>
  <c r="K674" i="12787" s="1"/>
  <c r="K623" i="12787" s="1"/>
  <c r="K738" i="12787"/>
  <c r="T767" i="12787"/>
  <c r="G850" i="12787"/>
  <c r="E860" i="12787"/>
  <c r="D825" i="12787"/>
  <c r="K779" i="12787"/>
  <c r="H833" i="12787"/>
  <c r="H836" i="12787"/>
  <c r="G836" i="12787"/>
  <c r="G808" i="12787" s="1"/>
  <c r="D853" i="12787"/>
  <c r="E866" i="12787"/>
  <c r="H858" i="12787"/>
  <c r="G858" i="12787"/>
  <c r="H867" i="12787"/>
  <c r="G867" i="12787"/>
  <c r="K893" i="12787"/>
  <c r="K782" i="12787" s="1"/>
  <c r="K959" i="12787"/>
  <c r="G959" i="12787"/>
  <c r="C20" i="12766"/>
  <c r="G71" i="12766"/>
  <c r="D71" i="12766"/>
  <c r="G507" i="12787"/>
  <c r="K507" i="12787" s="1"/>
  <c r="E533" i="12787"/>
  <c r="I535" i="12787"/>
  <c r="K535" i="12787" s="1"/>
  <c r="K501" i="12787" s="1"/>
  <c r="I565" i="12787"/>
  <c r="K565" i="12787" s="1"/>
  <c r="I636" i="12787"/>
  <c r="C638" i="12787"/>
  <c r="C587" i="12787" s="1"/>
  <c r="I687" i="12787"/>
  <c r="I698" i="12787"/>
  <c r="I704" i="12787"/>
  <c r="E711" i="12787"/>
  <c r="E716" i="12787"/>
  <c r="E720" i="12787"/>
  <c r="E726" i="12787"/>
  <c r="H753" i="12787"/>
  <c r="G753" i="12787"/>
  <c r="E757" i="12787"/>
  <c r="H853" i="12787"/>
  <c r="G853" i="12787"/>
  <c r="E862" i="12787"/>
  <c r="H825" i="12787"/>
  <c r="K805" i="12787"/>
  <c r="K777" i="12787" s="1"/>
  <c r="K855" i="12787"/>
  <c r="K799" i="12787" s="1"/>
  <c r="K771" i="12787" s="1"/>
  <c r="U770" i="12787" s="1"/>
  <c r="W770" i="12787" s="1"/>
  <c r="G893" i="12787"/>
  <c r="I980" i="12787"/>
  <c r="K980" i="12787" s="1"/>
  <c r="K943" i="12787" s="1"/>
  <c r="H37" i="12766"/>
  <c r="K514" i="12787"/>
  <c r="I522" i="12787"/>
  <c r="I605" i="12787"/>
  <c r="M605" i="12787" s="1"/>
  <c r="I608" i="12787"/>
  <c r="M608" i="12787" s="1"/>
  <c r="I609" i="12787"/>
  <c r="M609" i="12787" s="1"/>
  <c r="I610" i="12787"/>
  <c r="M610" i="12787" s="1"/>
  <c r="I612" i="12787"/>
  <c r="I613" i="12787"/>
  <c r="I614" i="12787"/>
  <c r="I615" i="12787"/>
  <c r="M615" i="12787" s="1"/>
  <c r="I616" i="12787"/>
  <c r="M616" i="12787" s="1"/>
  <c r="I618" i="12787"/>
  <c r="I619" i="12787"/>
  <c r="M619" i="12787" s="1"/>
  <c r="I621" i="12787"/>
  <c r="I646" i="12787"/>
  <c r="E663" i="12787"/>
  <c r="E672" i="12787"/>
  <c r="G686" i="12787"/>
  <c r="G584" i="12787" s="1"/>
  <c r="G697" i="12787"/>
  <c r="G701" i="12787"/>
  <c r="E707" i="12787"/>
  <c r="I709" i="12787"/>
  <c r="K709" i="12787" s="1"/>
  <c r="E725" i="12787"/>
  <c r="E750" i="12787"/>
  <c r="E756" i="12787"/>
  <c r="G742" i="12787"/>
  <c r="K748" i="12787"/>
  <c r="M750" i="12787"/>
  <c r="H755" i="12787"/>
  <c r="D768" i="12787"/>
  <c r="I811" i="12787"/>
  <c r="I894" i="12787"/>
  <c r="K894" i="12787" s="1"/>
  <c r="M783" i="12787"/>
  <c r="D787" i="12787"/>
  <c r="G823" i="12787"/>
  <c r="G825" i="12787"/>
  <c r="G797" i="12787" s="1"/>
  <c r="G769" i="12787" s="1"/>
  <c r="D827" i="12787"/>
  <c r="C799" i="12787"/>
  <c r="C771" i="12787" s="1"/>
  <c r="E834" i="12787"/>
  <c r="D837" i="12787"/>
  <c r="H851" i="12787"/>
  <c r="G851" i="12787"/>
  <c r="K853" i="12787"/>
  <c r="K857" i="12787"/>
  <c r="K801" i="12787" s="1"/>
  <c r="K773" i="12787" s="1"/>
  <c r="U771" i="12787" s="1"/>
  <c r="W771" i="12787" s="1"/>
  <c r="C801" i="12787"/>
  <c r="C773" i="12787" s="1"/>
  <c r="H889" i="12787"/>
  <c r="K966" i="12787"/>
  <c r="K971" i="12787" s="1"/>
  <c r="G966" i="12787"/>
  <c r="C973" i="12787"/>
  <c r="D968" i="12787"/>
  <c r="D969" i="12787"/>
  <c r="C945" i="12787"/>
  <c r="C947" i="12787" s="1"/>
  <c r="E718" i="12787"/>
  <c r="H742" i="12787"/>
  <c r="G751" i="12787"/>
  <c r="M755" i="12787"/>
  <c r="K755" i="12787"/>
  <c r="G799" i="12787"/>
  <c r="G771" i="12787" s="1"/>
  <c r="E838" i="12787"/>
  <c r="H830" i="12787"/>
  <c r="H802" i="12787" s="1"/>
  <c r="H774" i="12787" s="1"/>
  <c r="G830" i="12787"/>
  <c r="G802" i="12787" s="1"/>
  <c r="G774" i="12787" s="1"/>
  <c r="C843" i="12787"/>
  <c r="H863" i="12787"/>
  <c r="G863" i="12787"/>
  <c r="G807" i="12787" s="1"/>
  <c r="G779" i="12787" s="1"/>
  <c r="H877" i="12787"/>
  <c r="G877" i="12787"/>
  <c r="E887" i="12787"/>
  <c r="G904" i="12787"/>
  <c r="G923" i="12787" s="1"/>
  <c r="G925" i="12787" s="1"/>
  <c r="P925" i="12787" s="1"/>
  <c r="D904" i="12787"/>
  <c r="I533" i="12787"/>
  <c r="K533" i="12787" s="1"/>
  <c r="K499" i="12787" s="1"/>
  <c r="E537" i="12787"/>
  <c r="G548" i="12787"/>
  <c r="G558" i="12787"/>
  <c r="G563" i="12787"/>
  <c r="G495" i="12787" s="1"/>
  <c r="M595" i="12787"/>
  <c r="M596" i="12787"/>
  <c r="M597" i="12787"/>
  <c r="M623" i="12787"/>
  <c r="G644" i="12787"/>
  <c r="I645" i="12787"/>
  <c r="I648" i="12787"/>
  <c r="G654" i="12787"/>
  <c r="G603" i="12787" s="1"/>
  <c r="G666" i="12787"/>
  <c r="G615" i="12787" s="1"/>
  <c r="G688" i="12787"/>
  <c r="G695" i="12787"/>
  <c r="I697" i="12787"/>
  <c r="G699" i="12787"/>
  <c r="G597" i="12787" s="1"/>
  <c r="G715" i="12787"/>
  <c r="K728" i="12787"/>
  <c r="K736" i="12787"/>
  <c r="K743" i="12787"/>
  <c r="G747" i="12787"/>
  <c r="G749" i="12787"/>
  <c r="I751" i="12787"/>
  <c r="E829" i="12787"/>
  <c r="E809" i="12787"/>
  <c r="E857" i="12787"/>
  <c r="K797" i="12787"/>
  <c r="K769" i="12787" s="1"/>
  <c r="D835" i="12787"/>
  <c r="D807" i="12787" s="1"/>
  <c r="D843" i="12787"/>
  <c r="H854" i="12787"/>
  <c r="G854" i="12787"/>
  <c r="G798" i="12787" s="1"/>
  <c r="G770" i="12787" s="1"/>
  <c r="C782" i="12787"/>
  <c r="D864" i="12787"/>
  <c r="D808" i="12787" s="1"/>
  <c r="D780" i="12787" s="1"/>
  <c r="M780" i="12787" s="1"/>
  <c r="D865" i="12787"/>
  <c r="D866" i="12787"/>
  <c r="D854" i="12787"/>
  <c r="D868" i="12787"/>
  <c r="H868" i="12787" s="1"/>
  <c r="D855" i="12787"/>
  <c r="H855" i="12787" s="1"/>
  <c r="K896" i="12787"/>
  <c r="K898" i="12787" s="1"/>
  <c r="O888" i="12787" s="1"/>
  <c r="P917" i="12787"/>
  <c r="H917" i="12787"/>
  <c r="G128" i="12766"/>
  <c r="G130" i="12766" s="1"/>
  <c r="H83" i="12766"/>
  <c r="T84" i="12766" s="1"/>
  <c r="H141" i="12766"/>
  <c r="H143" i="12766" s="1"/>
  <c r="K589" i="12787"/>
  <c r="O594" i="12787"/>
  <c r="H644" i="12787"/>
  <c r="M736" i="12787"/>
  <c r="G738" i="12787"/>
  <c r="K742" i="12787"/>
  <c r="H749" i="12787"/>
  <c r="I812" i="12787"/>
  <c r="I895" i="12787"/>
  <c r="K895" i="12787" s="1"/>
  <c r="O801" i="12787"/>
  <c r="K802" i="12787"/>
  <c r="K774" i="12787" s="1"/>
  <c r="G840" i="12787"/>
  <c r="G812" i="12787" s="1"/>
  <c r="G784" i="12787" s="1"/>
  <c r="E861" i="12787"/>
  <c r="O877" i="12787"/>
  <c r="G943" i="12787"/>
  <c r="G945" i="12787" s="1"/>
  <c r="G947" i="12787" s="1"/>
  <c r="G971" i="12787"/>
  <c r="G973" i="12787" s="1"/>
  <c r="O795" i="12787"/>
  <c r="O798" i="12787"/>
  <c r="E804" i="12787"/>
  <c r="E822" i="12787"/>
  <c r="D882" i="12787"/>
  <c r="H882" i="12787" s="1"/>
  <c r="D893" i="12787"/>
  <c r="H893" i="12787" s="1"/>
  <c r="P905" i="12787"/>
  <c r="H909" i="12787"/>
  <c r="P912" i="12787"/>
  <c r="H916" i="12787"/>
  <c r="P920" i="12787"/>
  <c r="K941" i="12787"/>
  <c r="M941" i="12787" s="1"/>
  <c r="G1030" i="12787"/>
  <c r="G1032" i="12787" s="1"/>
  <c r="K37" i="12766"/>
  <c r="G102" i="12766"/>
  <c r="G83" i="12766"/>
  <c r="K88" i="12766"/>
  <c r="K87" i="12766"/>
  <c r="K141" i="12766"/>
  <c r="K143" i="12766" s="1"/>
  <c r="O794" i="12787"/>
  <c r="O797" i="12787"/>
  <c r="C809" i="12787"/>
  <c r="C781" i="12787" s="1"/>
  <c r="I864" i="12787"/>
  <c r="K864" i="12787" s="1"/>
  <c r="K808" i="12787" s="1"/>
  <c r="K780" i="12787" s="1"/>
  <c r="D892" i="12787"/>
  <c r="C943" i="12787"/>
  <c r="D980" i="12787"/>
  <c r="H980" i="12787" s="1"/>
  <c r="M993" i="12787"/>
  <c r="D1026" i="12787"/>
  <c r="H1026" i="12787" s="1"/>
  <c r="D1019" i="12787"/>
  <c r="H1019" i="12787" s="1"/>
  <c r="D1013" i="12787"/>
  <c r="H1013" i="12787" s="1"/>
  <c r="D1005" i="12787"/>
  <c r="H1005" i="12787" s="1"/>
  <c r="D1028" i="12787"/>
  <c r="H1028" i="12787" s="1"/>
  <c r="D1009" i="12787"/>
  <c r="H1009" i="12787" s="1"/>
  <c r="D1022" i="12787"/>
  <c r="H1022" i="12787" s="1"/>
  <c r="D1017" i="12787"/>
  <c r="H1017" i="12787" s="1"/>
  <c r="D1010" i="12787"/>
  <c r="H1010" i="12787" s="1"/>
  <c r="D1001" i="12787"/>
  <c r="H1001" i="12787" s="1"/>
  <c r="D1024" i="12787"/>
  <c r="H1024" i="12787" s="1"/>
  <c r="D1002" i="12787"/>
  <c r="H1002" i="12787" s="1"/>
  <c r="D1025" i="12787"/>
  <c r="H1025" i="12787" s="1"/>
  <c r="D1018" i="12787"/>
  <c r="H1018" i="12787" s="1"/>
  <c r="G23" i="12766"/>
  <c r="K55" i="12766"/>
  <c r="H89" i="12766"/>
  <c r="H91" i="12766" s="1"/>
  <c r="H104" i="12766"/>
  <c r="K85" i="12766"/>
  <c r="U86" i="12766" s="1"/>
  <c r="W86" i="12766" s="1"/>
  <c r="H88" i="12766"/>
  <c r="D223" i="12766"/>
  <c r="K223" i="12766" s="1"/>
  <c r="C195" i="12766"/>
  <c r="C166" i="12766" s="1"/>
  <c r="D931" i="12787"/>
  <c r="M89" i="12766"/>
  <c r="K102" i="12766"/>
  <c r="K83" i="12766"/>
  <c r="U84" i="12766" s="1"/>
  <c r="W84" i="12766" s="1"/>
  <c r="C162" i="12766"/>
  <c r="C797" i="12787"/>
  <c r="C769" i="12787" s="1"/>
  <c r="D890" i="12787"/>
  <c r="H890" i="12787" s="1"/>
  <c r="E891" i="12787"/>
  <c r="K932" i="12787"/>
  <c r="G946" i="12787"/>
  <c r="K946" i="12787" s="1"/>
  <c r="G42" i="12766"/>
  <c r="G16" i="12766"/>
  <c r="G18" i="12766"/>
  <c r="K68" i="12766"/>
  <c r="K86" i="12766"/>
  <c r="I312" i="12766"/>
  <c r="D885" i="12787"/>
  <c r="H885" i="12787" s="1"/>
  <c r="D979" i="12787"/>
  <c r="C22" i="12766"/>
  <c r="G39" i="12766"/>
  <c r="G22" i="12766" s="1"/>
  <c r="D39" i="12766"/>
  <c r="C304" i="12766"/>
  <c r="C317" i="12766"/>
  <c r="G302" i="12766"/>
  <c r="C273" i="12766"/>
  <c r="C159" i="12766" s="1"/>
  <c r="E807" i="12787"/>
  <c r="D1003" i="12787"/>
  <c r="H1003" i="12787" s="1"/>
  <c r="C1032" i="12787"/>
  <c r="G57" i="12766"/>
  <c r="D57" i="12766"/>
  <c r="G141" i="12766"/>
  <c r="G143" i="12766" s="1"/>
  <c r="H218" i="12766"/>
  <c r="C17" i="12766"/>
  <c r="G34" i="12766"/>
  <c r="G17" i="12766" s="1"/>
  <c r="D34" i="12766"/>
  <c r="G20" i="12766"/>
  <c r="G52" i="12766"/>
  <c r="G59" i="12766" s="1"/>
  <c r="G61" i="12766" s="1"/>
  <c r="D52" i="12766"/>
  <c r="G76" i="12766"/>
  <c r="G78" i="12766" s="1"/>
  <c r="G198" i="12766"/>
  <c r="G223" i="12766"/>
  <c r="G195" i="12766" s="1"/>
  <c r="I314" i="12766"/>
  <c r="H337" i="12766"/>
  <c r="H346" i="12766" s="1"/>
  <c r="H348" i="12766" s="1"/>
  <c r="G337" i="12766"/>
  <c r="C364" i="12766"/>
  <c r="G393" i="12766"/>
  <c r="G364" i="12766" s="1"/>
  <c r="G127" i="12766"/>
  <c r="G88" i="12766" s="1"/>
  <c r="H221" i="12766"/>
  <c r="G221" i="12766"/>
  <c r="G193" i="12766" s="1"/>
  <c r="G240" i="12766"/>
  <c r="G184" i="12766" s="1"/>
  <c r="G154" i="12766" s="1"/>
  <c r="C184" i="12766"/>
  <c r="C154" i="12766" s="1"/>
  <c r="C156" i="12766" s="1"/>
  <c r="G267" i="12766"/>
  <c r="P1032" i="12787"/>
  <c r="D33" i="12766"/>
  <c r="D38" i="12766"/>
  <c r="D51" i="12766"/>
  <c r="D56" i="12766"/>
  <c r="D69" i="12766"/>
  <c r="D74" i="12766"/>
  <c r="C83" i="12766"/>
  <c r="G246" i="12766"/>
  <c r="G190" i="12766" s="1"/>
  <c r="C190" i="12766"/>
  <c r="G254" i="12766"/>
  <c r="G346" i="12766"/>
  <c r="G348" i="12766" s="1"/>
  <c r="C115" i="12766"/>
  <c r="I127" i="12766"/>
  <c r="K127" i="12766" s="1"/>
  <c r="K128" i="12766" s="1"/>
  <c r="K130" i="12766" s="1"/>
  <c r="G219" i="12766"/>
  <c r="G191" i="12766" s="1"/>
  <c r="G162" i="12766" s="1"/>
  <c r="D219" i="12766"/>
  <c r="H225" i="12766"/>
  <c r="G225" i="12766"/>
  <c r="G197" i="12766" s="1"/>
  <c r="H227" i="12766"/>
  <c r="D296" i="12766"/>
  <c r="D299" i="12766"/>
  <c r="G395" i="12766"/>
  <c r="G366" i="12766" s="1"/>
  <c r="H224" i="12766"/>
  <c r="G230" i="12766"/>
  <c r="G202" i="12766" s="1"/>
  <c r="G173" i="12766" s="1"/>
  <c r="D230" i="12766"/>
  <c r="C202" i="12766"/>
  <c r="C173" i="12766" s="1"/>
  <c r="I340" i="12766"/>
  <c r="K340" i="12766" s="1"/>
  <c r="K331" i="12766"/>
  <c r="H355" i="12766"/>
  <c r="H149" i="12766" s="1"/>
  <c r="I399" i="12766"/>
  <c r="U85" i="12766"/>
  <c r="W85" i="12766" s="1"/>
  <c r="D91" i="12766"/>
  <c r="D226" i="12766"/>
  <c r="C198" i="12766"/>
  <c r="C169" i="12766" s="1"/>
  <c r="C242" i="12766"/>
  <c r="C259" i="12766"/>
  <c r="G244" i="12766"/>
  <c r="G188" i="12766" s="1"/>
  <c r="G250" i="12766"/>
  <c r="G194" i="12766" s="1"/>
  <c r="D355" i="12766"/>
  <c r="K419" i="12766"/>
  <c r="I413" i="12766"/>
  <c r="I355" i="12766"/>
  <c r="I366" i="12766" s="1"/>
  <c r="I384" i="12766"/>
  <c r="I414" i="12766"/>
  <c r="I356" i="12766"/>
  <c r="I367" i="12766" s="1"/>
  <c r="I385" i="12766"/>
  <c r="I362" i="12766"/>
  <c r="I371" i="12766" s="1"/>
  <c r="I332" i="12766"/>
  <c r="I420" i="12766"/>
  <c r="I274" i="12766"/>
  <c r="I283" i="12766" s="1"/>
  <c r="I245" i="12766"/>
  <c r="I217" i="12766"/>
  <c r="I161" i="12766"/>
  <c r="G196" i="12766"/>
  <c r="H228" i="12766"/>
  <c r="G228" i="12766"/>
  <c r="G200" i="12766" s="1"/>
  <c r="G171" i="12766" s="1"/>
  <c r="G336" i="12766"/>
  <c r="G278" i="12766" s="1"/>
  <c r="I391" i="12766"/>
  <c r="K444" i="12766"/>
  <c r="I458" i="12766"/>
  <c r="G453" i="12766"/>
  <c r="E471" i="12766"/>
  <c r="G471" i="12766" s="1"/>
  <c r="E464" i="12766"/>
  <c r="G464" i="12766" s="1"/>
  <c r="I397" i="12766"/>
  <c r="D420" i="12766"/>
  <c r="H420" i="12766" s="1"/>
  <c r="D403" i="12766"/>
  <c r="D395" i="12766"/>
  <c r="H395" i="12766" s="1"/>
  <c r="H366" i="12766" s="1"/>
  <c r="D388" i="12766"/>
  <c r="D359" i="12766" s="1"/>
  <c r="D396" i="12766"/>
  <c r="H396" i="12766" s="1"/>
  <c r="G369" i="12766"/>
  <c r="I565" i="12766"/>
  <c r="G239" i="12766"/>
  <c r="I307" i="12766"/>
  <c r="K307" i="12766" s="1"/>
  <c r="K278" i="12766" s="1"/>
  <c r="D356" i="12766"/>
  <c r="D150" i="12766" s="1"/>
  <c r="M150" i="12766" s="1"/>
  <c r="G399" i="12766"/>
  <c r="G370" i="12766" s="1"/>
  <c r="H308" i="12766"/>
  <c r="H279" i="12766" s="1"/>
  <c r="G308" i="12766"/>
  <c r="I343" i="12766"/>
  <c r="K343" i="12766" s="1"/>
  <c r="K334" i="12766"/>
  <c r="C436" i="12766"/>
  <c r="D429" i="12766"/>
  <c r="H429" i="12766" s="1"/>
  <c r="D421" i="12766"/>
  <c r="H421" i="12766" s="1"/>
  <c r="D430" i="12766"/>
  <c r="D426" i="12766"/>
  <c r="H426" i="12766" s="1"/>
  <c r="D418" i="12766"/>
  <c r="D427" i="12766"/>
  <c r="H427" i="12766" s="1"/>
  <c r="D422" i="12766"/>
  <c r="D419" i="12766"/>
  <c r="H419" i="12766" s="1"/>
  <c r="D433" i="12766"/>
  <c r="H433" i="12766" s="1"/>
  <c r="D431" i="12766"/>
  <c r="H431" i="12766" s="1"/>
  <c r="K532" i="12766"/>
  <c r="G567" i="12766"/>
  <c r="C201" i="12766"/>
  <c r="C172" i="12766" s="1"/>
  <c r="G312" i="12766"/>
  <c r="G283" i="12766" s="1"/>
  <c r="C363" i="12766"/>
  <c r="C405" i="12766"/>
  <c r="D416" i="12766"/>
  <c r="D358" i="12766" s="1"/>
  <c r="E469" i="12766"/>
  <c r="G450" i="12766"/>
  <c r="E462" i="12766"/>
  <c r="G462" i="12766" s="1"/>
  <c r="E457" i="12766"/>
  <c r="G457" i="12766" s="1"/>
  <c r="I533" i="12766"/>
  <c r="K533" i="12766" s="1"/>
  <c r="K521" i="12766"/>
  <c r="H532" i="12766"/>
  <c r="G556" i="12766"/>
  <c r="G488" i="12766" s="1"/>
  <c r="E568" i="12766"/>
  <c r="M767" i="12766"/>
  <c r="D768" i="12766"/>
  <c r="I464" i="12766"/>
  <c r="K453" i="12766"/>
  <c r="C482" i="12766"/>
  <c r="G550" i="12766"/>
  <c r="G482" i="12766" s="1"/>
  <c r="G586" i="12766"/>
  <c r="K645" i="12766"/>
  <c r="K594" i="12766" s="1"/>
  <c r="I664" i="12766"/>
  <c r="K664" i="12766" s="1"/>
  <c r="K433" i="12766"/>
  <c r="K496" i="12766"/>
  <c r="H522" i="12766"/>
  <c r="K494" i="12766"/>
  <c r="C505" i="12766"/>
  <c r="G539" i="12766"/>
  <c r="G505" i="12766" s="1"/>
  <c r="C559" i="12766"/>
  <c r="G559" i="12766" s="1"/>
  <c r="G491" i="12766" s="1"/>
  <c r="G558" i="12766"/>
  <c r="G490" i="12766" s="1"/>
  <c r="I571" i="12766"/>
  <c r="I310" i="12766"/>
  <c r="G427" i="12766"/>
  <c r="I428" i="12766"/>
  <c r="K428" i="12766" s="1"/>
  <c r="I431" i="12766"/>
  <c r="H472" i="12766"/>
  <c r="H474" i="12766" s="1"/>
  <c r="E458" i="12766"/>
  <c r="G458" i="12766" s="1"/>
  <c r="K480" i="12766"/>
  <c r="G531" i="12766"/>
  <c r="G497" i="12766" s="1"/>
  <c r="H535" i="12766"/>
  <c r="G535" i="12766"/>
  <c r="K550" i="12766"/>
  <c r="K482" i="12766" s="1"/>
  <c r="I564" i="12766"/>
  <c r="K564" i="12766" s="1"/>
  <c r="G564" i="12766"/>
  <c r="G496" i="12766" s="1"/>
  <c r="I672" i="12766"/>
  <c r="K672" i="12766" s="1"/>
  <c r="H430" i="12766"/>
  <c r="D432" i="12766"/>
  <c r="H432" i="12766" s="1"/>
  <c r="E463" i="12766"/>
  <c r="G463" i="12766" s="1"/>
  <c r="G452" i="12766"/>
  <c r="K519" i="12766"/>
  <c r="C492" i="12766"/>
  <c r="G526" i="12766"/>
  <c r="G492" i="12766" s="1"/>
  <c r="H529" i="12766"/>
  <c r="H495" i="12766" s="1"/>
  <c r="G529" i="12766"/>
  <c r="G495" i="12766" s="1"/>
  <c r="K535" i="12766"/>
  <c r="G555" i="12766"/>
  <c r="G487" i="12766" s="1"/>
  <c r="C487" i="12766"/>
  <c r="H562" i="12766"/>
  <c r="H494" i="12766" s="1"/>
  <c r="G562" i="12766"/>
  <c r="G494" i="12766" s="1"/>
  <c r="I619" i="12766"/>
  <c r="I618" i="12766"/>
  <c r="H752" i="12766"/>
  <c r="G752" i="12766"/>
  <c r="G331" i="12766"/>
  <c r="D425" i="12766"/>
  <c r="H425" i="12766" s="1"/>
  <c r="G426" i="12766"/>
  <c r="G430" i="12766"/>
  <c r="G372" i="12766" s="1"/>
  <c r="G170" i="12766" s="1"/>
  <c r="C517" i="12766"/>
  <c r="C480" i="12766"/>
  <c r="I522" i="12766"/>
  <c r="I529" i="12766"/>
  <c r="K529" i="12766" s="1"/>
  <c r="K495" i="12766" s="1"/>
  <c r="K531" i="12766"/>
  <c r="G533" i="12766"/>
  <c r="C551" i="12766"/>
  <c r="G549" i="12766"/>
  <c r="I567" i="12766"/>
  <c r="I556" i="12766"/>
  <c r="G569" i="12766"/>
  <c r="C638" i="12766"/>
  <c r="C587" i="12766" s="1"/>
  <c r="K452" i="12766"/>
  <c r="I463" i="12766"/>
  <c r="E470" i="12766"/>
  <c r="G514" i="12766"/>
  <c r="H536" i="12766"/>
  <c r="C504" i="12766"/>
  <c r="G538" i="12766"/>
  <c r="G504" i="12766" s="1"/>
  <c r="I663" i="12766"/>
  <c r="I651" i="12766"/>
  <c r="K644" i="12766"/>
  <c r="G670" i="12766"/>
  <c r="K704" i="12766"/>
  <c r="H709" i="12766"/>
  <c r="H607" i="12766" s="1"/>
  <c r="G709" i="12766"/>
  <c r="G607" i="12766" s="1"/>
  <c r="D518" i="12766"/>
  <c r="D524" i="12766"/>
  <c r="I525" i="12766"/>
  <c r="D539" i="12766"/>
  <c r="C542" i="12766"/>
  <c r="M610" i="12766"/>
  <c r="E669" i="12766"/>
  <c r="G650" i="12766"/>
  <c r="G599" i="12766" s="1"/>
  <c r="I720" i="12766"/>
  <c r="K720" i="12766" s="1"/>
  <c r="H724" i="12766"/>
  <c r="W481" i="12766"/>
  <c r="D533" i="12766"/>
  <c r="I559" i="12766"/>
  <c r="I647" i="12766"/>
  <c r="I698" i="12766"/>
  <c r="I699" i="12766"/>
  <c r="I648" i="12766"/>
  <c r="I695" i="12766"/>
  <c r="I724" i="12766"/>
  <c r="G755" i="12766"/>
  <c r="G830" i="12766"/>
  <c r="G802" i="12766" s="1"/>
  <c r="G774" i="12766" s="1"/>
  <c r="C802" i="12766"/>
  <c r="C774" i="12766" s="1"/>
  <c r="D830" i="12766"/>
  <c r="C955" i="12766"/>
  <c r="D950" i="12766"/>
  <c r="H950" i="12766" s="1"/>
  <c r="D951" i="12766"/>
  <c r="H951" i="12766" s="1"/>
  <c r="H715" i="12766"/>
  <c r="M747" i="12766"/>
  <c r="K747" i="12766"/>
  <c r="E748" i="12766"/>
  <c r="G738" i="12766"/>
  <c r="M752" i="12766"/>
  <c r="K752" i="12766"/>
  <c r="M918" i="12766"/>
  <c r="K918" i="12766"/>
  <c r="H918" i="12766"/>
  <c r="D526" i="12766"/>
  <c r="D531" i="12766"/>
  <c r="S587" i="12766"/>
  <c r="O593" i="12766"/>
  <c r="M596" i="12766"/>
  <c r="M597" i="12766"/>
  <c r="I615" i="12766"/>
  <c r="M615" i="12766" s="1"/>
  <c r="I669" i="12766"/>
  <c r="G651" i="12766"/>
  <c r="G600" i="12766" s="1"/>
  <c r="H664" i="12766"/>
  <c r="H613" i="12766" s="1"/>
  <c r="H702" i="12766"/>
  <c r="H746" i="12766"/>
  <c r="G746" i="12766"/>
  <c r="M748" i="12766"/>
  <c r="K748" i="12766"/>
  <c r="K607" i="12766"/>
  <c r="D650" i="12766"/>
  <c r="D669" i="12766"/>
  <c r="D665" i="12766"/>
  <c r="D651" i="12766"/>
  <c r="D600" i="12766" s="1"/>
  <c r="M600" i="12766" s="1"/>
  <c r="D670" i="12766"/>
  <c r="D619" i="12766" s="1"/>
  <c r="C625" i="12766"/>
  <c r="C627" i="12766" s="1"/>
  <c r="C678" i="12766"/>
  <c r="D654" i="12766"/>
  <c r="D675" i="12766"/>
  <c r="D672" i="12766"/>
  <c r="D663" i="12766"/>
  <c r="H660" i="12766"/>
  <c r="H609" i="12766" s="1"/>
  <c r="G660" i="12766"/>
  <c r="G609" i="12766" s="1"/>
  <c r="D673" i="12766"/>
  <c r="H721" i="12766"/>
  <c r="G721" i="12766"/>
  <c r="D738" i="12766"/>
  <c r="H738" i="12766" s="1"/>
  <c r="C760" i="12766"/>
  <c r="D743" i="12766"/>
  <c r="D742" i="12766"/>
  <c r="D740" i="12766"/>
  <c r="D755" i="12766"/>
  <c r="K755" i="12766" s="1"/>
  <c r="D756" i="12766"/>
  <c r="K756" i="12766" s="1"/>
  <c r="D757" i="12766"/>
  <c r="I809" i="12766"/>
  <c r="I742" i="12766"/>
  <c r="M480" i="12766"/>
  <c r="D525" i="12766"/>
  <c r="D653" i="12766"/>
  <c r="H661" i="12766"/>
  <c r="G661" i="12766"/>
  <c r="G610" i="12766" s="1"/>
  <c r="G712" i="12766"/>
  <c r="H665" i="12766"/>
  <c r="K716" i="12766"/>
  <c r="H723" i="12766"/>
  <c r="K726" i="12766"/>
  <c r="H726" i="12766"/>
  <c r="M980" i="12766"/>
  <c r="K980" i="12766"/>
  <c r="H980" i="12766"/>
  <c r="P980" i="12766"/>
  <c r="D697" i="12766"/>
  <c r="D701" i="12766"/>
  <c r="H701" i="12766" s="1"/>
  <c r="D716" i="12766"/>
  <c r="H716" i="12766" s="1"/>
  <c r="D720" i="12766"/>
  <c r="C729" i="12766"/>
  <c r="E747" i="12766"/>
  <c r="I749" i="12766"/>
  <c r="G869" i="12766"/>
  <c r="G871" i="12766" s="1"/>
  <c r="H862" i="12766"/>
  <c r="I887" i="12766"/>
  <c r="K887" i="12766" s="1"/>
  <c r="K877" i="12766"/>
  <c r="I665" i="12766"/>
  <c r="K665" i="12766" s="1"/>
  <c r="E720" i="12766"/>
  <c r="I723" i="12766"/>
  <c r="E751" i="12766"/>
  <c r="K830" i="12766"/>
  <c r="K802" i="12766" s="1"/>
  <c r="G806" i="12766"/>
  <c r="G778" i="12766" s="1"/>
  <c r="K811" i="12766"/>
  <c r="K783" i="12766" s="1"/>
  <c r="K853" i="12766"/>
  <c r="H853" i="12766"/>
  <c r="K868" i="12766"/>
  <c r="H868" i="12766"/>
  <c r="G942" i="12766"/>
  <c r="P974" i="12766"/>
  <c r="M974" i="12766"/>
  <c r="K974" i="12766"/>
  <c r="H974" i="12766"/>
  <c r="K684" i="12766"/>
  <c r="D696" i="12766"/>
  <c r="D715" i="12766"/>
  <c r="K715" i="12766" s="1"/>
  <c r="M740" i="12766"/>
  <c r="M743" i="12766"/>
  <c r="E756" i="12766"/>
  <c r="G825" i="12766"/>
  <c r="G797" i="12766" s="1"/>
  <c r="G769" i="12766" s="1"/>
  <c r="C797" i="12766"/>
  <c r="C769" i="12766" s="1"/>
  <c r="D825" i="12766"/>
  <c r="I836" i="12766"/>
  <c r="K836" i="12766" s="1"/>
  <c r="K827" i="12766"/>
  <c r="H835" i="12766"/>
  <c r="H807" i="12766" s="1"/>
  <c r="G835" i="12766"/>
  <c r="H863" i="12766"/>
  <c r="G863" i="12766"/>
  <c r="I673" i="12766"/>
  <c r="K673" i="12766" s="1"/>
  <c r="D724" i="12766"/>
  <c r="E750" i="12766"/>
  <c r="C843" i="12766"/>
  <c r="D834" i="12766"/>
  <c r="D835" i="12766"/>
  <c r="D807" i="12766" s="1"/>
  <c r="D826" i="12766"/>
  <c r="C813" i="12766"/>
  <c r="C785" i="12766" s="1"/>
  <c r="C787" i="12766" s="1"/>
  <c r="K835" i="12766"/>
  <c r="D838" i="12766"/>
  <c r="K838" i="12766" s="1"/>
  <c r="K810" i="12766" s="1"/>
  <c r="D840" i="12766"/>
  <c r="C795" i="12766"/>
  <c r="C852" i="12766"/>
  <c r="G851" i="12766"/>
  <c r="G795" i="12766" s="1"/>
  <c r="G767" i="12766" s="1"/>
  <c r="K862" i="12766"/>
  <c r="H866" i="12766"/>
  <c r="P907" i="12766"/>
  <c r="M907" i="12766"/>
  <c r="K907" i="12766"/>
  <c r="H907" i="12766"/>
  <c r="K950" i="12766"/>
  <c r="G976" i="12766"/>
  <c r="G1001" i="12766" s="1"/>
  <c r="G1003" i="12766" s="1"/>
  <c r="D976" i="12766"/>
  <c r="D843" i="12766"/>
  <c r="K829" i="12766"/>
  <c r="H829" i="12766"/>
  <c r="D801" i="12766"/>
  <c r="K840" i="12766"/>
  <c r="K812" i="12766" s="1"/>
  <c r="K866" i="12766"/>
  <c r="G929" i="12766"/>
  <c r="C929" i="12766"/>
  <c r="G951" i="12766"/>
  <c r="G953" i="12766" s="1"/>
  <c r="G955" i="12766" s="1"/>
  <c r="G653" i="12766"/>
  <c r="G602" i="12766" s="1"/>
  <c r="I659" i="12766"/>
  <c r="K659" i="12766" s="1"/>
  <c r="K608" i="12766" s="1"/>
  <c r="G710" i="12766"/>
  <c r="G608" i="12766" s="1"/>
  <c r="D723" i="12766"/>
  <c r="G724" i="12766"/>
  <c r="G622" i="12766" s="1"/>
  <c r="K746" i="12766"/>
  <c r="E749" i="12766"/>
  <c r="I756" i="12766"/>
  <c r="I832" i="12766"/>
  <c r="K832" i="12766" s="1"/>
  <c r="K804" i="12766" s="1"/>
  <c r="K776" i="12766" s="1"/>
  <c r="K822" i="12766"/>
  <c r="H836" i="12766"/>
  <c r="H808" i="12766" s="1"/>
  <c r="D693" i="12766"/>
  <c r="K696" i="12766"/>
  <c r="D704" i="12766"/>
  <c r="H704" i="12766" s="1"/>
  <c r="D712" i="12766"/>
  <c r="D610" i="12766" s="1"/>
  <c r="I750" i="12766"/>
  <c r="G798" i="12766"/>
  <c r="G770" i="12766" s="1"/>
  <c r="K837" i="12766"/>
  <c r="K809" i="12766" s="1"/>
  <c r="K863" i="12766"/>
  <c r="K858" i="12766"/>
  <c r="H858" i="12766"/>
  <c r="M964" i="12766"/>
  <c r="P973" i="12766"/>
  <c r="M973" i="12766"/>
  <c r="K973" i="12766"/>
  <c r="H973" i="12766"/>
  <c r="I860" i="12766"/>
  <c r="K860" i="12766" s="1"/>
  <c r="I865" i="12766"/>
  <c r="K865" i="12766" s="1"/>
  <c r="C871" i="12766"/>
  <c r="I892" i="12766"/>
  <c r="P904" i="12766"/>
  <c r="M905" i="12766"/>
  <c r="C942" i="12766"/>
  <c r="P981" i="12766"/>
  <c r="P982" i="12766"/>
  <c r="P984" i="12766"/>
  <c r="P985" i="12766"/>
  <c r="P988" i="12766"/>
  <c r="P989" i="12766"/>
  <c r="P990" i="12766"/>
  <c r="K823" i="12766"/>
  <c r="K795" i="12766" s="1"/>
  <c r="K767" i="12766" s="1"/>
  <c r="K825" i="12766"/>
  <c r="D827" i="12766"/>
  <c r="G833" i="12766"/>
  <c r="G805" i="12766" s="1"/>
  <c r="G777" i="12766" s="1"/>
  <c r="D837" i="12766"/>
  <c r="K854" i="12766"/>
  <c r="D857" i="12766"/>
  <c r="K857" i="12766" s="1"/>
  <c r="G862" i="12766"/>
  <c r="K880" i="12766"/>
  <c r="G887" i="12766"/>
  <c r="G776" i="12766" s="1"/>
  <c r="G890" i="12766"/>
  <c r="C896" i="12766"/>
  <c r="P905" i="12766"/>
  <c r="D917" i="12766"/>
  <c r="C922" i="12766"/>
  <c r="D977" i="12766"/>
  <c r="G963" i="12766"/>
  <c r="G964" i="12766" s="1"/>
  <c r="G966" i="12766" s="1"/>
  <c r="H794" i="12766"/>
  <c r="H766" i="12766" s="1"/>
  <c r="D855" i="12766"/>
  <c r="D866" i="12766"/>
  <c r="I890" i="12766"/>
  <c r="C892" i="12766"/>
  <c r="D995" i="12766"/>
  <c r="D854" i="12766"/>
  <c r="H854" i="12766" s="1"/>
  <c r="D864" i="12766"/>
  <c r="H864" i="12766" s="1"/>
  <c r="G866" i="12766"/>
  <c r="G810" i="12766" s="1"/>
  <c r="G782" i="12766" s="1"/>
  <c r="H904" i="12766"/>
  <c r="D906" i="12766"/>
  <c r="D972" i="12766"/>
  <c r="H981" i="12766"/>
  <c r="H982" i="12766"/>
  <c r="H984" i="12766"/>
  <c r="H985" i="12766"/>
  <c r="H988" i="12766"/>
  <c r="H989" i="12766"/>
  <c r="H990" i="12766"/>
  <c r="H992" i="12766"/>
  <c r="H993" i="12766"/>
  <c r="D996" i="12766"/>
  <c r="I28" i="12771"/>
  <c r="G28" i="12770"/>
  <c r="G39" i="12770"/>
  <c r="G15" i="12770"/>
  <c r="G32" i="12769"/>
  <c r="G30" i="12769"/>
  <c r="G14" i="12769"/>
  <c r="G22" i="12769"/>
  <c r="G16" i="12769"/>
  <c r="G19" i="12769"/>
  <c r="G27" i="12769"/>
  <c r="I31" i="12771"/>
  <c r="I32" i="12771"/>
  <c r="I29" i="12771"/>
  <c r="D19" i="12833"/>
  <c r="R19" i="12833" s="1"/>
  <c r="D32" i="12833"/>
  <c r="R32" i="12833" s="1"/>
  <c r="D10" i="12833"/>
  <c r="R10" i="12833" s="1"/>
  <c r="D20" i="12833"/>
  <c r="R20" i="12833" s="1"/>
  <c r="D33" i="12833"/>
  <c r="R33" i="12833" s="1"/>
  <c r="D12" i="12833"/>
  <c r="R12" i="12833" s="1"/>
  <c r="D23" i="12833"/>
  <c r="R23" i="12833" s="1"/>
  <c r="D11" i="12833"/>
  <c r="R11" i="12833" s="1"/>
  <c r="D22" i="12833"/>
  <c r="R22" i="12833" s="1"/>
  <c r="D14" i="12833"/>
  <c r="R14" i="12833" s="1"/>
  <c r="D25" i="12833"/>
  <c r="R25" i="12833" s="1"/>
  <c r="D15" i="12833"/>
  <c r="R15" i="12833" s="1"/>
  <c r="D27" i="12833"/>
  <c r="R27" i="12833" s="1"/>
  <c r="D16" i="12833"/>
  <c r="R16" i="12833" s="1"/>
  <c r="D28" i="12833"/>
  <c r="R28" i="12833" s="1"/>
  <c r="D17" i="12833"/>
  <c r="R17" i="12833" s="1"/>
  <c r="D29" i="12833"/>
  <c r="R29" i="12833" s="1"/>
  <c r="D26" i="12833"/>
  <c r="R26" i="12833" s="1"/>
  <c r="D31" i="12833"/>
  <c r="R31" i="12833" s="1"/>
  <c r="D21" i="12833"/>
  <c r="R21" i="12833" s="1"/>
  <c r="C420" i="12843"/>
  <c r="C417" i="12843"/>
  <c r="C1077" i="12843"/>
  <c r="C880" i="12843"/>
  <c r="C416" i="12843"/>
  <c r="F994" i="12843"/>
  <c r="F1014" i="12843"/>
  <c r="F1017" i="12843"/>
  <c r="F332" i="12843"/>
  <c r="F324" i="12843"/>
  <c r="F430" i="12843"/>
  <c r="F325" i="12843"/>
  <c r="I160" i="12843"/>
  <c r="I147" i="12843"/>
  <c r="I88" i="12843"/>
  <c r="I102" i="12843"/>
  <c r="I115" i="12843"/>
  <c r="D524" i="12843"/>
  <c r="F524" i="12843" s="1"/>
  <c r="F510" i="12843"/>
  <c r="I313" i="12843"/>
  <c r="D284" i="12843"/>
  <c r="F284" i="12843" s="1"/>
  <c r="D312" i="12843"/>
  <c r="F312" i="12843" s="1"/>
  <c r="D226" i="12843"/>
  <c r="D250" i="12843"/>
  <c r="F250" i="12843" s="1"/>
  <c r="D253" i="12843"/>
  <c r="F253" i="12843" s="1"/>
  <c r="D277" i="12843"/>
  <c r="F277" i="12843" s="1"/>
  <c r="D279" i="12843"/>
  <c r="F279" i="12843" s="1"/>
  <c r="D281" i="12843"/>
  <c r="F281" i="12843" s="1"/>
  <c r="D283" i="12843"/>
  <c r="F283" i="12843" s="1"/>
  <c r="I285" i="12843"/>
  <c r="F328" i="12843"/>
  <c r="D336" i="12843"/>
  <c r="F336" i="12843" s="1"/>
  <c r="D339" i="12843"/>
  <c r="F339" i="12843" s="1"/>
  <c r="D365" i="12843"/>
  <c r="F365" i="12843" s="1"/>
  <c r="D370" i="12843"/>
  <c r="F370" i="12843" s="1"/>
  <c r="I372" i="12843"/>
  <c r="D399" i="12843"/>
  <c r="F399" i="12843" s="1"/>
  <c r="I401" i="12843"/>
  <c r="D471" i="12843"/>
  <c r="D453" i="12843"/>
  <c r="F453" i="12843" s="1"/>
  <c r="I371" i="12843"/>
  <c r="I459" i="12843"/>
  <c r="I400" i="12843"/>
  <c r="D309" i="12843"/>
  <c r="F309" i="12843" s="1"/>
  <c r="D340" i="12843"/>
  <c r="F340" i="12843" s="1"/>
  <c r="D363" i="12843"/>
  <c r="F363" i="12843" s="1"/>
  <c r="D397" i="12843"/>
  <c r="F397" i="12843" s="1"/>
  <c r="D478" i="12843"/>
  <c r="D487" i="12843" s="1"/>
  <c r="F487" i="12843" s="1"/>
  <c r="D227" i="12843"/>
  <c r="D252" i="12843"/>
  <c r="F252" i="12843" s="1"/>
  <c r="D255" i="12843"/>
  <c r="F255" i="12843" s="1"/>
  <c r="D334" i="12843"/>
  <c r="F334" i="12843" s="1"/>
  <c r="D337" i="12843"/>
  <c r="F337" i="12843" s="1"/>
  <c r="D366" i="12843"/>
  <c r="F366" i="12843" s="1"/>
  <c r="D392" i="12843"/>
  <c r="F392" i="12843" s="1"/>
  <c r="D248" i="12843"/>
  <c r="F248" i="12843" s="1"/>
  <c r="D369" i="12843"/>
  <c r="F369" i="12843" s="1"/>
  <c r="D395" i="12843"/>
  <c r="F395" i="12843" s="1"/>
  <c r="D475" i="12843"/>
  <c r="D484" i="12843" s="1"/>
  <c r="F484" i="12843" s="1"/>
  <c r="D455" i="12843"/>
  <c r="F455" i="12843" s="1"/>
  <c r="D338" i="12843"/>
  <c r="F338" i="12843" s="1"/>
  <c r="D398" i="12843"/>
  <c r="F398" i="12843" s="1"/>
  <c r="D526" i="12843"/>
  <c r="F526" i="12843" s="1"/>
  <c r="F512" i="12843"/>
  <c r="D775" i="12843"/>
  <c r="D794" i="12843" s="1"/>
  <c r="F794" i="12843" s="1"/>
  <c r="D724" i="12843"/>
  <c r="D743" i="12843" s="1"/>
  <c r="F743" i="12843" s="1"/>
  <c r="D690" i="12843"/>
  <c r="F99" i="12843"/>
  <c r="I286" i="12843"/>
  <c r="I489" i="12843"/>
  <c r="I314" i="12843"/>
  <c r="I460" i="12843"/>
  <c r="F458" i="12843"/>
  <c r="F456" i="12843"/>
  <c r="I488" i="12843"/>
  <c r="D525" i="12843"/>
  <c r="F525" i="12843" s="1"/>
  <c r="F511" i="12843"/>
  <c r="D536" i="12843"/>
  <c r="F536" i="12843" s="1"/>
  <c r="G22" i="12770"/>
  <c r="I24" i="12771"/>
  <c r="I20" i="12771"/>
  <c r="I18" i="12771"/>
  <c r="I19" i="12771"/>
  <c r="I25" i="12771"/>
  <c r="I610" i="12843"/>
  <c r="F331" i="12843"/>
  <c r="G30" i="12770"/>
  <c r="G40" i="12770"/>
  <c r="D727" i="12843"/>
  <c r="D746" i="12843" s="1"/>
  <c r="F746" i="12843" s="1"/>
  <c r="F693" i="12843" s="1"/>
  <c r="F816" i="12843"/>
  <c r="G18" i="12769"/>
  <c r="G20" i="12769"/>
  <c r="G24" i="12770"/>
  <c r="G32" i="12770"/>
  <c r="I27" i="12771"/>
  <c r="I33" i="12771"/>
  <c r="D723" i="12843"/>
  <c r="D742" i="12843" s="1"/>
  <c r="F742" i="12843" s="1"/>
  <c r="F824" i="12843"/>
  <c r="G15" i="12769"/>
  <c r="G24" i="12769"/>
  <c r="G31" i="12769"/>
  <c r="G34" i="12770"/>
  <c r="G28" i="12769"/>
  <c r="G35" i="12770"/>
  <c r="I14" i="12769"/>
  <c r="G18" i="12770"/>
  <c r="G27" i="12770"/>
  <c r="F813" i="12843"/>
  <c r="G23" i="12769"/>
  <c r="G26" i="12769"/>
  <c r="G23" i="12770"/>
  <c r="G38" i="12770"/>
  <c r="F826" i="12843"/>
  <c r="G30" i="12783"/>
  <c r="F997" i="12843"/>
  <c r="F860" i="12843"/>
  <c r="F857" i="12843"/>
  <c r="F688" i="12843"/>
  <c r="F683" i="12843"/>
  <c r="F684" i="12843"/>
  <c r="F697" i="12843"/>
  <c r="F679" i="12843"/>
  <c r="F696" i="12843"/>
  <c r="F682" i="12843"/>
  <c r="F698" i="12843"/>
  <c r="F561" i="12843"/>
  <c r="C171" i="12843"/>
  <c r="F739" i="12843"/>
  <c r="F686" i="12843" s="1"/>
  <c r="C1119" i="12843"/>
  <c r="C329" i="12843"/>
  <c r="I750" i="12843"/>
  <c r="C665" i="12843"/>
  <c r="C681" i="12843"/>
  <c r="C695" i="12843"/>
  <c r="C1079" i="12843"/>
  <c r="F44" i="12843"/>
  <c r="C686" i="12843"/>
  <c r="C660" i="12843"/>
  <c r="C699" i="12843"/>
  <c r="F43" i="12843"/>
  <c r="C661" i="12843"/>
  <c r="I23" i="12769"/>
  <c r="I15" i="12769"/>
  <c r="I18" i="12769"/>
  <c r="I20" i="12769"/>
  <c r="I22" i="12769"/>
  <c r="C554" i="12843"/>
  <c r="C645" i="12843"/>
  <c r="C925" i="12843"/>
  <c r="C985" i="12843"/>
  <c r="C1043" i="12843"/>
  <c r="G19" i="12770"/>
  <c r="G16" i="12770"/>
  <c r="G20" i="12770"/>
  <c r="G26" i="12770"/>
  <c r="G31" i="12770"/>
  <c r="G36" i="12770"/>
  <c r="G14" i="12770"/>
  <c r="C860" i="12843"/>
  <c r="C840" i="12843" s="1"/>
  <c r="C1013" i="12843"/>
  <c r="C162" i="12843"/>
  <c r="F630" i="12843"/>
  <c r="F587" i="12843"/>
  <c r="F592" i="12843"/>
  <c r="C996" i="12843"/>
  <c r="F156" i="12843"/>
  <c r="F98" i="12843"/>
  <c r="C210" i="12843"/>
  <c r="F358" i="12843"/>
  <c r="C559" i="12843"/>
  <c r="F720" i="12843"/>
  <c r="F721" i="12843"/>
  <c r="F442" i="12843"/>
  <c r="C561" i="12843"/>
  <c r="F713" i="12843"/>
  <c r="F914" i="12843"/>
  <c r="F157" i="12843"/>
  <c r="C413" i="12843"/>
  <c r="C173" i="12843" s="1"/>
  <c r="C418" i="12843"/>
  <c r="F601" i="12843"/>
  <c r="F563" i="12843" s="1"/>
  <c r="C656" i="12843"/>
  <c r="C667" i="12843"/>
  <c r="C714" i="12843"/>
  <c r="C993" i="12843"/>
  <c r="C653" i="12843"/>
  <c r="C666" i="12843"/>
  <c r="F751" i="12843"/>
  <c r="F700" i="12843" s="1"/>
  <c r="F895" i="12843"/>
  <c r="C222" i="12843"/>
  <c r="C188" i="12843" s="1"/>
  <c r="C104" i="12843"/>
  <c r="F285" i="12843"/>
  <c r="C567" i="12843"/>
  <c r="C663" i="12843"/>
  <c r="C857" i="12843"/>
  <c r="C837" i="12843" s="1"/>
  <c r="C885" i="12843"/>
  <c r="F885" i="12843" s="1"/>
  <c r="B24" i="12783"/>
  <c r="B25" i="12783" s="1"/>
  <c r="C226" i="12843"/>
  <c r="C555" i="12843"/>
  <c r="C562" i="12843"/>
  <c r="C563" i="12843"/>
  <c r="F597" i="12843"/>
  <c r="F609" i="12843"/>
  <c r="F571" i="12843" s="1"/>
  <c r="C875" i="12843"/>
  <c r="C1003" i="12843"/>
  <c r="F602" i="12843"/>
  <c r="F302" i="12843"/>
  <c r="F301" i="12843"/>
  <c r="C549" i="12843"/>
  <c r="F624" i="12843"/>
  <c r="C69" i="12843"/>
  <c r="F147" i="12843"/>
  <c r="F161" i="12843"/>
  <c r="C211" i="12843"/>
  <c r="C176" i="12843" s="1"/>
  <c r="C315" i="12843"/>
  <c r="C415" i="12843"/>
  <c r="C548" i="12843"/>
  <c r="F620" i="12843"/>
  <c r="F634" i="12843"/>
  <c r="F640" i="12843"/>
  <c r="C657" i="12843"/>
  <c r="C658" i="12843"/>
  <c r="C668" i="12843"/>
  <c r="C669" i="12843"/>
  <c r="F771" i="12843"/>
  <c r="F772" i="12843"/>
  <c r="F777" i="12843"/>
  <c r="F965" i="12843"/>
  <c r="C1023" i="12843"/>
  <c r="F1055" i="12843"/>
  <c r="F1060" i="12843"/>
  <c r="F1064" i="12843"/>
  <c r="F1117" i="12843"/>
  <c r="C16" i="12859"/>
  <c r="L44" i="12837"/>
  <c r="R44" i="12837" s="1"/>
  <c r="F146" i="12843"/>
  <c r="C214" i="12843"/>
  <c r="F271" i="12843"/>
  <c r="F280" i="12843"/>
  <c r="C298" i="12843"/>
  <c r="C547" i="12843"/>
  <c r="F619" i="12843"/>
  <c r="C671" i="12843"/>
  <c r="I751" i="12843"/>
  <c r="F763" i="12843"/>
  <c r="F764" i="12843"/>
  <c r="C976" i="12843"/>
  <c r="C1095" i="12843"/>
  <c r="C17" i="12843"/>
  <c r="O17" i="12843" s="1"/>
  <c r="C218" i="12843"/>
  <c r="C672" i="12843"/>
  <c r="C878" i="12843"/>
  <c r="C957" i="12843"/>
  <c r="I1117" i="12843"/>
  <c r="F28" i="12859"/>
  <c r="P44" i="12837"/>
  <c r="V44" i="12837" s="1"/>
  <c r="C414" i="12843"/>
  <c r="C815" i="12843"/>
  <c r="F55" i="12843"/>
  <c r="C220" i="12843"/>
  <c r="C223" i="12843"/>
  <c r="C189" i="12843" s="1"/>
  <c r="F240" i="12843"/>
  <c r="F268" i="12843"/>
  <c r="F275" i="12843"/>
  <c r="C412" i="12843"/>
  <c r="C172" i="12843" s="1"/>
  <c r="C564" i="12843"/>
  <c r="C565" i="12843"/>
  <c r="C566" i="12843"/>
  <c r="F623" i="12843"/>
  <c r="F629" i="12843"/>
  <c r="F712" i="12843"/>
  <c r="C765" i="12843"/>
  <c r="F974" i="12843"/>
  <c r="F1053" i="12843"/>
  <c r="F1057" i="12843"/>
  <c r="F1062" i="12843"/>
  <c r="V37" i="12837"/>
  <c r="C18" i="12843"/>
  <c r="G37" i="12783" s="1"/>
  <c r="F56" i="12843"/>
  <c r="C229" i="12843"/>
  <c r="C195" i="12843" s="1"/>
  <c r="F239" i="12843"/>
  <c r="F267" i="12843"/>
  <c r="F297" i="12843"/>
  <c r="C327" i="12843"/>
  <c r="F381" i="12843"/>
  <c r="C490" i="12843"/>
  <c r="C552" i="12843"/>
  <c r="C568" i="12843"/>
  <c r="C569" i="12843"/>
  <c r="C570" i="12843"/>
  <c r="C622" i="12843"/>
  <c r="C677" i="12843"/>
  <c r="F750" i="12843"/>
  <c r="F699" i="12843" s="1"/>
  <c r="C937" i="12843"/>
  <c r="C944" i="12843"/>
  <c r="F955" i="12843"/>
  <c r="V28" i="12837"/>
  <c r="C227" i="12843"/>
  <c r="C193" i="12843" s="1"/>
  <c r="C270" i="12843"/>
  <c r="C323" i="12843"/>
  <c r="F323" i="12843" s="1"/>
  <c r="C461" i="12843"/>
  <c r="C551" i="12843"/>
  <c r="C934" i="12843"/>
  <c r="I30" i="12769"/>
  <c r="I16" i="12769"/>
  <c r="I32" i="12769"/>
  <c r="I26" i="12769"/>
  <c r="I28" i="12769"/>
  <c r="I31" i="12769"/>
  <c r="I19" i="12769"/>
  <c r="I24" i="12769"/>
  <c r="I27" i="12769"/>
  <c r="F42" i="12843"/>
  <c r="C15" i="12843"/>
  <c r="O15" i="12843" s="1"/>
  <c r="F54" i="12843"/>
  <c r="C19" i="12843"/>
  <c r="C16" i="12843"/>
  <c r="O16" i="12843" s="1"/>
  <c r="F31" i="12843"/>
  <c r="C224" i="12843"/>
  <c r="C228" i="12843"/>
  <c r="C194" i="12843" s="1"/>
  <c r="F313" i="12843"/>
  <c r="C355" i="12843"/>
  <c r="F1023" i="12843"/>
  <c r="I148" i="12843"/>
  <c r="C68" i="12843"/>
  <c r="C70" i="12843"/>
  <c r="I146" i="12843"/>
  <c r="F148" i="12843"/>
  <c r="F159" i="12843"/>
  <c r="I161" i="12843"/>
  <c r="C212" i="12843"/>
  <c r="C177" i="12843" s="1"/>
  <c r="C221" i="12843"/>
  <c r="C225" i="12843"/>
  <c r="F269" i="12843"/>
  <c r="F286" i="12843"/>
  <c r="F295" i="12843"/>
  <c r="F299" i="12843"/>
  <c r="F303" i="12843"/>
  <c r="F352" i="12843"/>
  <c r="F359" i="12843"/>
  <c r="I159" i="12843"/>
  <c r="F30" i="12843"/>
  <c r="C65" i="12843"/>
  <c r="F84" i="12843"/>
  <c r="F100" i="12843"/>
  <c r="F111" i="12843"/>
  <c r="F143" i="12843"/>
  <c r="F158" i="12843"/>
  <c r="F160" i="12843"/>
  <c r="F238" i="12843"/>
  <c r="F242" i="12843"/>
  <c r="F246" i="12843"/>
  <c r="F296" i="12843"/>
  <c r="F300" i="12843"/>
  <c r="F306" i="12843"/>
  <c r="F310" i="12843"/>
  <c r="F314" i="12843"/>
  <c r="C373" i="12843"/>
  <c r="F441" i="12843"/>
  <c r="F445" i="12843"/>
  <c r="F585" i="12843"/>
  <c r="F589" i="12843"/>
  <c r="F603" i="12843"/>
  <c r="F565" i="12843" s="1"/>
  <c r="F607" i="12843"/>
  <c r="F621" i="12843"/>
  <c r="F626" i="12843"/>
  <c r="F631" i="12843"/>
  <c r="F636" i="12843"/>
  <c r="F641" i="12843"/>
  <c r="F711" i="12843"/>
  <c r="F718" i="12843"/>
  <c r="F760" i="12843"/>
  <c r="F762" i="12843"/>
  <c r="F769" i="12843"/>
  <c r="F780" i="12843"/>
  <c r="C803" i="12843"/>
  <c r="F898" i="12843"/>
  <c r="C916" i="12843"/>
  <c r="C877" i="12843" s="1"/>
  <c r="F958" i="12843"/>
  <c r="F977" i="12843"/>
  <c r="F1054" i="12843"/>
  <c r="F1059" i="12843"/>
  <c r="F1063" i="12843"/>
  <c r="C1107" i="12843"/>
  <c r="F1118" i="12843"/>
  <c r="F1120" i="12843"/>
  <c r="C1121" i="12843"/>
  <c r="F446" i="12843"/>
  <c r="F586" i="12843"/>
  <c r="C588" i="12843"/>
  <c r="F590" i="12843"/>
  <c r="F600" i="12843"/>
  <c r="F608" i="12843"/>
  <c r="F627" i="12843"/>
  <c r="F642" i="12843"/>
  <c r="F709" i="12843"/>
  <c r="F722" i="12843"/>
  <c r="F730" i="12843"/>
  <c r="F734" i="12843"/>
  <c r="F681" i="12843" s="1"/>
  <c r="F748" i="12843"/>
  <c r="F695" i="12843" s="1"/>
  <c r="F773" i="12843"/>
  <c r="F778" i="12843"/>
  <c r="F781" i="12843"/>
  <c r="C1016" i="12843"/>
  <c r="C1020" i="12843"/>
  <c r="F447" i="12843"/>
  <c r="F387" i="12843"/>
  <c r="F440" i="12843"/>
  <c r="F449" i="12843"/>
  <c r="F470" i="12843"/>
  <c r="F606" i="12843"/>
  <c r="F610" i="12843"/>
  <c r="F572" i="12843" s="1"/>
  <c r="F917" i="12843"/>
  <c r="F29" i="12859"/>
  <c r="L46" i="12837"/>
  <c r="L58" i="12837"/>
  <c r="R58" i="12837" s="1"/>
  <c r="R37" i="12837"/>
  <c r="C15" i="12859"/>
  <c r="I15" i="12859" s="1"/>
  <c r="I21" i="12859" s="1"/>
  <c r="C34" i="12859"/>
  <c r="P46" i="12837"/>
  <c r="F1003" i="12843" l="1"/>
  <c r="L965" i="12843"/>
  <c r="L1003" i="12843" s="1"/>
  <c r="F937" i="12843"/>
  <c r="L937" i="12843"/>
  <c r="F875" i="12843"/>
  <c r="F856" i="12843" s="1"/>
  <c r="L875" i="12843"/>
  <c r="F880" i="12843"/>
  <c r="L880" i="12843"/>
  <c r="L223" i="12843"/>
  <c r="L189" i="12843" s="1"/>
  <c r="L860" i="12843"/>
  <c r="L840" i="12843" s="1"/>
  <c r="F934" i="12843"/>
  <c r="L934" i="12843"/>
  <c r="L878" i="12843"/>
  <c r="L857" i="12843"/>
  <c r="L837" i="12843" s="1"/>
  <c r="F474" i="12843"/>
  <c r="F416" i="12843" s="1"/>
  <c r="F638" i="12843"/>
  <c r="C187" i="12843"/>
  <c r="C186" i="12843"/>
  <c r="F604" i="12843"/>
  <c r="F1069" i="12843"/>
  <c r="F1071" i="12843" s="1"/>
  <c r="F727" i="12843"/>
  <c r="F774" i="12843"/>
  <c r="F726" i="12843"/>
  <c r="F671" i="12843" s="1"/>
  <c r="F723" i="12843"/>
  <c r="F469" i="12843"/>
  <c r="F476" i="12843"/>
  <c r="F418" i="12843" s="1"/>
  <c r="F724" i="12843"/>
  <c r="F427" i="12843"/>
  <c r="F425" i="12843"/>
  <c r="F689" i="12843"/>
  <c r="C184" i="12843"/>
  <c r="F419" i="12843"/>
  <c r="D486" i="12843"/>
  <c r="F486" i="12843" s="1"/>
  <c r="F428" i="12843" s="1"/>
  <c r="I572" i="12843"/>
  <c r="I699" i="12843"/>
  <c r="I700" i="12843"/>
  <c r="I571" i="12843"/>
  <c r="F329" i="12843"/>
  <c r="F775" i="12843"/>
  <c r="F475" i="12843"/>
  <c r="K525" i="12787"/>
  <c r="I536" i="12787"/>
  <c r="K536" i="12787" s="1"/>
  <c r="D482" i="12843"/>
  <c r="F482" i="12843" s="1"/>
  <c r="F424" i="12843" s="1"/>
  <c r="F471" i="12843"/>
  <c r="F413" i="12843" s="1"/>
  <c r="F173" i="12843" s="1"/>
  <c r="K582" i="12766"/>
  <c r="H747" i="12766"/>
  <c r="G747" i="12766"/>
  <c r="G368" i="12766"/>
  <c r="G434" i="12766"/>
  <c r="G436" i="12766" s="1"/>
  <c r="I921" i="12787"/>
  <c r="I906" i="12787"/>
  <c r="I920" i="12787"/>
  <c r="I912" i="12787"/>
  <c r="I905" i="12787"/>
  <c r="I919" i="12787"/>
  <c r="I911" i="12787"/>
  <c r="I918" i="12787"/>
  <c r="I904" i="12787"/>
  <c r="I917" i="12787"/>
  <c r="I910" i="12787"/>
  <c r="I916" i="12787"/>
  <c r="I909" i="12787"/>
  <c r="I915" i="12787"/>
  <c r="I908" i="12787"/>
  <c r="I913" i="12787"/>
  <c r="I907" i="12787"/>
  <c r="H391" i="12787"/>
  <c r="H362" i="12787" s="1"/>
  <c r="G391" i="12787"/>
  <c r="E400" i="12787"/>
  <c r="H226" i="12787"/>
  <c r="D23" i="12766"/>
  <c r="M23" i="12766" s="1"/>
  <c r="H57" i="12766"/>
  <c r="K57" i="12766"/>
  <c r="H526" i="12787"/>
  <c r="C781" i="12766"/>
  <c r="G892" i="12766"/>
  <c r="G781" i="12766" s="1"/>
  <c r="M917" i="12766"/>
  <c r="M920" i="12766" s="1"/>
  <c r="K917" i="12766"/>
  <c r="K920" i="12766" s="1"/>
  <c r="K922" i="12766" s="1"/>
  <c r="H917" i="12766"/>
  <c r="H920" i="12766" s="1"/>
  <c r="H922" i="12766" s="1"/>
  <c r="K892" i="12766"/>
  <c r="K781" i="12766" s="1"/>
  <c r="K463" i="12766"/>
  <c r="I463" i="12787"/>
  <c r="K463" i="12787" s="1"/>
  <c r="K602" i="12787"/>
  <c r="U584" i="12787" s="1"/>
  <c r="W584" i="12787" s="1"/>
  <c r="G405" i="12766"/>
  <c r="H696" i="12787"/>
  <c r="H594" i="12787" s="1"/>
  <c r="D594" i="12787"/>
  <c r="M594" i="12787" s="1"/>
  <c r="P972" i="12766"/>
  <c r="M972" i="12766"/>
  <c r="K972" i="12766"/>
  <c r="H972" i="12766"/>
  <c r="H422" i="12766"/>
  <c r="K422" i="12766"/>
  <c r="I400" i="12766"/>
  <c r="K400" i="12766" s="1"/>
  <c r="K371" i="12766" s="1"/>
  <c r="D17" i="12766"/>
  <c r="H34" i="12766"/>
  <c r="K34" i="12766"/>
  <c r="H336" i="12787"/>
  <c r="G336" i="12787"/>
  <c r="G278" i="12787" s="1"/>
  <c r="G164" i="12787" s="1"/>
  <c r="O937" i="12787"/>
  <c r="P937" i="12787"/>
  <c r="H979" i="12787"/>
  <c r="H982" i="12787" s="1"/>
  <c r="H984" i="12787" s="1"/>
  <c r="K979" i="12787"/>
  <c r="I534" i="12787"/>
  <c r="K534" i="12787" s="1"/>
  <c r="K522" i="12787"/>
  <c r="G862" i="12787"/>
  <c r="H862" i="12787"/>
  <c r="H716" i="12787"/>
  <c r="G716" i="12787"/>
  <c r="D812" i="12787"/>
  <c r="D784" i="12787" s="1"/>
  <c r="M784" i="12787" s="1"/>
  <c r="H840" i="12787"/>
  <c r="H812" i="12787" s="1"/>
  <c r="H784" i="12787" s="1"/>
  <c r="D618" i="12787"/>
  <c r="H669" i="12787"/>
  <c r="H834" i="12766"/>
  <c r="H806" i="12766" s="1"/>
  <c r="H778" i="12766" s="1"/>
  <c r="D806" i="12766"/>
  <c r="D778" i="12766" s="1"/>
  <c r="M778" i="12766" s="1"/>
  <c r="K834" i="12766"/>
  <c r="K806" i="12766" s="1"/>
  <c r="K778" i="12766" s="1"/>
  <c r="D198" i="12766"/>
  <c r="D169" i="12766" s="1"/>
  <c r="M169" i="12766" s="1"/>
  <c r="H226" i="12766"/>
  <c r="H230" i="12766"/>
  <c r="K230" i="12766"/>
  <c r="M751" i="12787"/>
  <c r="K751" i="12787"/>
  <c r="K697" i="12787"/>
  <c r="I716" i="12787"/>
  <c r="K716" i="12787" s="1"/>
  <c r="H795" i="12787"/>
  <c r="H767" i="12787" s="1"/>
  <c r="G567" i="12787"/>
  <c r="K117" i="12787"/>
  <c r="K89" i="12787"/>
  <c r="K91" i="12787" s="1"/>
  <c r="D815" i="12766"/>
  <c r="I717" i="12766"/>
  <c r="K717" i="12766" s="1"/>
  <c r="K698" i="12766"/>
  <c r="I568" i="12766"/>
  <c r="G472" i="12766"/>
  <c r="G474" i="12766" s="1"/>
  <c r="I341" i="12766"/>
  <c r="K341" i="12766" s="1"/>
  <c r="K332" i="12766"/>
  <c r="G273" i="12766"/>
  <c r="H891" i="12787"/>
  <c r="G891" i="12787"/>
  <c r="G780" i="12787" s="1"/>
  <c r="H432" i="12787"/>
  <c r="G432" i="12787"/>
  <c r="G360" i="12787"/>
  <c r="C157" i="12787"/>
  <c r="H585" i="12787"/>
  <c r="D624" i="12766"/>
  <c r="M624" i="12766" s="1"/>
  <c r="H675" i="12766"/>
  <c r="H624" i="12766" s="1"/>
  <c r="K675" i="12766"/>
  <c r="K624" i="12766" s="1"/>
  <c r="D599" i="12766"/>
  <c r="M599" i="12766" s="1"/>
  <c r="H650" i="12766"/>
  <c r="K650" i="12766"/>
  <c r="K599" i="12766" s="1"/>
  <c r="K219" i="12766"/>
  <c r="H219" i="12766"/>
  <c r="I1009" i="12787"/>
  <c r="I1022" i="12787"/>
  <c r="I1017" i="12787"/>
  <c r="I1010" i="12787"/>
  <c r="I1001" i="12787"/>
  <c r="I1025" i="12787"/>
  <c r="I1018" i="12787"/>
  <c r="I1011" i="12787"/>
  <c r="I1003" i="12787"/>
  <c r="I1026" i="12787"/>
  <c r="I1019" i="12787"/>
  <c r="I1013" i="12787"/>
  <c r="I1005" i="12787"/>
  <c r="I1028" i="12787"/>
  <c r="I1021" i="12787"/>
  <c r="I1006" i="12787"/>
  <c r="I1014" i="12787"/>
  <c r="I1002" i="12787"/>
  <c r="I1024" i="12787"/>
  <c r="K973" i="12787"/>
  <c r="H267" i="12787"/>
  <c r="G402" i="12787"/>
  <c r="G373" i="12787" s="1"/>
  <c r="H519" i="12787"/>
  <c r="I612" i="12843"/>
  <c r="L612" i="12843" s="1"/>
  <c r="P906" i="12766"/>
  <c r="M906" i="12766"/>
  <c r="M909" i="12766" s="1"/>
  <c r="K906" i="12766"/>
  <c r="K909" i="12766" s="1"/>
  <c r="K911" i="12766" s="1"/>
  <c r="H906" i="12766"/>
  <c r="D809" i="12766"/>
  <c r="H837" i="12766"/>
  <c r="H809" i="12766" s="1"/>
  <c r="C767" i="12766"/>
  <c r="C768" i="12766" s="1"/>
  <c r="C796" i="12766"/>
  <c r="D603" i="12766"/>
  <c r="M603" i="12766" s="1"/>
  <c r="H654" i="12766"/>
  <c r="H603" i="12766" s="1"/>
  <c r="H531" i="12766"/>
  <c r="H755" i="12766"/>
  <c r="I666" i="12766"/>
  <c r="K666" i="12766" s="1"/>
  <c r="K647" i="12766"/>
  <c r="K596" i="12766" s="1"/>
  <c r="G619" i="12766"/>
  <c r="K464" i="12766"/>
  <c r="I464" i="12787"/>
  <c r="K464" i="12787" s="1"/>
  <c r="H403" i="12766"/>
  <c r="H374" i="12766" s="1"/>
  <c r="K403" i="12766"/>
  <c r="K374" i="12766" s="1"/>
  <c r="G169" i="12766"/>
  <c r="D303" i="12766"/>
  <c r="D315" i="12766"/>
  <c r="D311" i="12766"/>
  <c r="C319" i="12766"/>
  <c r="D312" i="12766"/>
  <c r="H312" i="12766" s="1"/>
  <c r="H283" i="12766" s="1"/>
  <c r="D316" i="12766"/>
  <c r="D305" i="12766"/>
  <c r="D314" i="12766"/>
  <c r="H314" i="12766" s="1"/>
  <c r="H285" i="12766" s="1"/>
  <c r="D310" i="12766"/>
  <c r="H310" i="12766" s="1"/>
  <c r="H281" i="12766" s="1"/>
  <c r="D304" i="12766"/>
  <c r="C288" i="12766"/>
  <c r="C290" i="12766" s="1"/>
  <c r="D313" i="12766"/>
  <c r="H313" i="12766" s="1"/>
  <c r="H284" i="12766" s="1"/>
  <c r="D309" i="12766"/>
  <c r="D302" i="12766"/>
  <c r="K89" i="12766"/>
  <c r="K91" i="12766" s="1"/>
  <c r="K104" i="12766"/>
  <c r="H887" i="12787"/>
  <c r="G887" i="12787"/>
  <c r="H838" i="12787"/>
  <c r="G838" i="12787"/>
  <c r="H718" i="12787"/>
  <c r="G718" i="12787"/>
  <c r="D809" i="12787"/>
  <c r="D781" i="12787" s="1"/>
  <c r="M781" i="12787" s="1"/>
  <c r="H756" i="12787"/>
  <c r="G756" i="12787"/>
  <c r="H672" i="12787"/>
  <c r="G672" i="12787"/>
  <c r="K540" i="12787"/>
  <c r="K480" i="12787"/>
  <c r="H711" i="12787"/>
  <c r="H609" i="12787" s="1"/>
  <c r="G711" i="12787"/>
  <c r="G609" i="12787" s="1"/>
  <c r="G533" i="12787"/>
  <c r="H533" i="12787"/>
  <c r="H808" i="12787"/>
  <c r="H780" i="12787" s="1"/>
  <c r="I650" i="12787"/>
  <c r="K642" i="12787"/>
  <c r="K591" i="12787" s="1"/>
  <c r="I661" i="12787"/>
  <c r="K661" i="12787" s="1"/>
  <c r="D798" i="12787"/>
  <c r="D770" i="12787" s="1"/>
  <c r="M770" i="12787" s="1"/>
  <c r="H826" i="12787"/>
  <c r="H798" i="12787" s="1"/>
  <c r="H770" i="12787" s="1"/>
  <c r="H709" i="12787"/>
  <c r="H607" i="12787" s="1"/>
  <c r="G709" i="12787"/>
  <c r="G607" i="12787" s="1"/>
  <c r="H522" i="12787"/>
  <c r="G522" i="12787"/>
  <c r="E534" i="12787"/>
  <c r="G531" i="12787"/>
  <c r="G497" i="12787" s="1"/>
  <c r="H531" i="12787"/>
  <c r="D603" i="12787"/>
  <c r="M603" i="12787" s="1"/>
  <c r="H428" i="12787"/>
  <c r="G428" i="12787"/>
  <c r="G258" i="12787"/>
  <c r="G202" i="12787" s="1"/>
  <c r="G173" i="12787" s="1"/>
  <c r="H659" i="12787"/>
  <c r="G659" i="12787"/>
  <c r="H433" i="12787"/>
  <c r="G433" i="12787"/>
  <c r="C815" i="12787"/>
  <c r="C786" i="12787"/>
  <c r="C787" i="12787" s="1"/>
  <c r="G556" i="12787"/>
  <c r="E568" i="12787"/>
  <c r="I308" i="12787"/>
  <c r="K308" i="12787" s="1"/>
  <c r="K279" i="12787" s="1"/>
  <c r="K297" i="12787"/>
  <c r="G528" i="12787"/>
  <c r="G494" i="12787" s="1"/>
  <c r="H528" i="12787"/>
  <c r="H494" i="12787" s="1"/>
  <c r="H55" i="12787"/>
  <c r="H21" i="12787" s="1"/>
  <c r="H128" i="12787"/>
  <c r="H130" i="12787" s="1"/>
  <c r="C259" i="12787"/>
  <c r="V19" i="12837"/>
  <c r="C85" i="12787"/>
  <c r="I35" i="12843"/>
  <c r="L35" i="12843" s="1"/>
  <c r="I1122" i="12843"/>
  <c r="L1122" i="12843" s="1"/>
  <c r="V46" i="12837"/>
  <c r="R46" i="12837"/>
  <c r="H909" i="12766"/>
  <c r="H911" i="12766" s="1"/>
  <c r="P909" i="12766" s="1"/>
  <c r="P910" i="12766" s="1"/>
  <c r="C898" i="12766"/>
  <c r="D891" i="12766"/>
  <c r="D884" i="12766"/>
  <c r="D773" i="12766" s="1"/>
  <c r="D895" i="12766"/>
  <c r="D892" i="12766"/>
  <c r="H892" i="12766" s="1"/>
  <c r="D893" i="12766"/>
  <c r="D885" i="12766"/>
  <c r="D881" i="12766"/>
  <c r="D882" i="12766"/>
  <c r="D890" i="12766"/>
  <c r="H890" i="12766" s="1"/>
  <c r="K951" i="12766"/>
  <c r="K953" i="12766" s="1"/>
  <c r="K955" i="12766" s="1"/>
  <c r="M750" i="12766"/>
  <c r="K750" i="12766"/>
  <c r="K801" i="12766"/>
  <c r="P976" i="12766"/>
  <c r="M976" i="12766"/>
  <c r="K976" i="12766"/>
  <c r="H976" i="12766"/>
  <c r="H840" i="12766"/>
  <c r="H812" i="12766" s="1"/>
  <c r="D812" i="12766"/>
  <c r="D784" i="12766" s="1"/>
  <c r="M784" i="12766" s="1"/>
  <c r="G841" i="12766"/>
  <c r="H756" i="12766"/>
  <c r="G756" i="12766"/>
  <c r="K712" i="12766"/>
  <c r="K610" i="12766" s="1"/>
  <c r="H653" i="12766"/>
  <c r="H602" i="12766" s="1"/>
  <c r="R593" i="12766" s="1"/>
  <c r="D602" i="12766"/>
  <c r="M602" i="12766" s="1"/>
  <c r="K740" i="12766"/>
  <c r="H740" i="12766"/>
  <c r="H758" i="12766" s="1"/>
  <c r="H760" i="12766" s="1"/>
  <c r="M755" i="12766"/>
  <c r="K669" i="12766"/>
  <c r="K618" i="12766" s="1"/>
  <c r="H526" i="12766"/>
  <c r="H953" i="12766"/>
  <c r="H955" i="12766" s="1"/>
  <c r="K724" i="12766"/>
  <c r="I570" i="12766"/>
  <c r="K701" i="12766"/>
  <c r="K539" i="12766"/>
  <c r="H539" i="12766"/>
  <c r="H670" i="12766"/>
  <c r="H619" i="12766" s="1"/>
  <c r="D613" i="12766"/>
  <c r="M613" i="12766" s="1"/>
  <c r="G481" i="12766"/>
  <c r="K310" i="12766"/>
  <c r="K281" i="12766" s="1"/>
  <c r="C574" i="12766"/>
  <c r="K426" i="12766"/>
  <c r="H418" i="12766"/>
  <c r="H434" i="12766" s="1"/>
  <c r="H436" i="12766" s="1"/>
  <c r="K418" i="12766"/>
  <c r="K432" i="12766"/>
  <c r="K385" i="12766"/>
  <c r="I396" i="12766"/>
  <c r="K396" i="12766" s="1"/>
  <c r="G231" i="12766"/>
  <c r="K74" i="12766"/>
  <c r="H74" i="12766"/>
  <c r="G304" i="12766"/>
  <c r="G275" i="12766" s="1"/>
  <c r="C275" i="12766"/>
  <c r="H1030" i="12787"/>
  <c r="H1032" i="12787" s="1"/>
  <c r="G89" i="12766"/>
  <c r="G91" i="12766" s="1"/>
  <c r="G104" i="12766"/>
  <c r="G822" i="12787"/>
  <c r="H822" i="12787"/>
  <c r="E832" i="12787"/>
  <c r="H695" i="12787"/>
  <c r="H593" i="12787" s="1"/>
  <c r="H834" i="12787"/>
  <c r="H806" i="12787" s="1"/>
  <c r="H778" i="12787" s="1"/>
  <c r="G834" i="12787"/>
  <c r="G806" i="12787" s="1"/>
  <c r="G778" i="12787" s="1"/>
  <c r="H750" i="12787"/>
  <c r="G750" i="12787"/>
  <c r="H663" i="12787"/>
  <c r="H612" i="12787" s="1"/>
  <c r="G663" i="12787"/>
  <c r="G612" i="12787" s="1"/>
  <c r="K704" i="12787"/>
  <c r="I723" i="12787"/>
  <c r="K723" i="12787" s="1"/>
  <c r="K621" i="12787" s="1"/>
  <c r="H805" i="12787"/>
  <c r="G569" i="12787"/>
  <c r="G501" i="12787" s="1"/>
  <c r="H892" i="12787"/>
  <c r="G892" i="12787"/>
  <c r="D810" i="12787"/>
  <c r="D782" i="12787" s="1"/>
  <c r="M782" i="12787" s="1"/>
  <c r="H702" i="12787"/>
  <c r="G702" i="12787"/>
  <c r="G600" i="12787" s="1"/>
  <c r="E721" i="12787"/>
  <c r="D624" i="12787"/>
  <c r="M624" i="12787" s="1"/>
  <c r="H424" i="12787"/>
  <c r="H366" i="12787" s="1"/>
  <c r="G424" i="12787"/>
  <c r="K246" i="12787"/>
  <c r="K190" i="12787" s="1"/>
  <c r="I255" i="12787"/>
  <c r="K255" i="12787" s="1"/>
  <c r="I570" i="12787"/>
  <c r="K570" i="12787" s="1"/>
  <c r="K559" i="12787"/>
  <c r="H864" i="12787"/>
  <c r="H420" i="12787"/>
  <c r="G420" i="12787"/>
  <c r="E429" i="12787"/>
  <c r="K272" i="12787"/>
  <c r="K158" i="12787" s="1"/>
  <c r="H697" i="12787"/>
  <c r="H595" i="12787" s="1"/>
  <c r="I395" i="12787"/>
  <c r="K395" i="12787" s="1"/>
  <c r="K366" i="12787" s="1"/>
  <c r="K164" i="12787" s="1"/>
  <c r="K384" i="12787"/>
  <c r="H216" i="12787"/>
  <c r="H538" i="12787"/>
  <c r="G538" i="12787"/>
  <c r="H269" i="12787"/>
  <c r="K326" i="12787"/>
  <c r="K346" i="12787" s="1"/>
  <c r="K348" i="12787" s="1"/>
  <c r="I337" i="12787"/>
  <c r="K337" i="12787" s="1"/>
  <c r="G189" i="12787"/>
  <c r="K124" i="12787"/>
  <c r="K85" i="12787" s="1"/>
  <c r="H888" i="12787"/>
  <c r="H896" i="12787" s="1"/>
  <c r="H898" i="12787" s="1"/>
  <c r="G888" i="12787"/>
  <c r="G896" i="12787" s="1"/>
  <c r="G898" i="12787" s="1"/>
  <c r="S57" i="12859"/>
  <c r="S67" i="12859" s="1"/>
  <c r="K88" i="12787"/>
  <c r="G18" i="12787"/>
  <c r="C89" i="12787"/>
  <c r="C91" i="12787" s="1"/>
  <c r="I259" i="12843"/>
  <c r="L259" i="12843" s="1"/>
  <c r="I1096" i="12843"/>
  <c r="L1096" i="12843" s="1"/>
  <c r="H855" i="12766"/>
  <c r="H869" i="12766" s="1"/>
  <c r="H871" i="12766" s="1"/>
  <c r="K855" i="12766"/>
  <c r="K869" i="12766" s="1"/>
  <c r="K871" i="12766" s="1"/>
  <c r="H827" i="12766"/>
  <c r="D799" i="12766"/>
  <c r="D771" i="12766" s="1"/>
  <c r="M771" i="12766" s="1"/>
  <c r="H838" i="12766"/>
  <c r="H810" i="12766" s="1"/>
  <c r="D810" i="12766"/>
  <c r="D782" i="12766" s="1"/>
  <c r="M782" i="12766" s="1"/>
  <c r="H750" i="12766"/>
  <c r="G750" i="12766"/>
  <c r="G758" i="12766" s="1"/>
  <c r="G760" i="12766" s="1"/>
  <c r="G807" i="12766"/>
  <c r="G779" i="12766" s="1"/>
  <c r="K864" i="12766"/>
  <c r="H751" i="12766"/>
  <c r="G751" i="12766"/>
  <c r="H614" i="12766"/>
  <c r="H525" i="12766"/>
  <c r="D760" i="12766"/>
  <c r="H742" i="12766"/>
  <c r="D622" i="12766"/>
  <c r="M622" i="12766" s="1"/>
  <c r="I702" i="12766"/>
  <c r="I714" i="12766"/>
  <c r="K714" i="12766" s="1"/>
  <c r="K695" i="12766"/>
  <c r="I536" i="12766"/>
  <c r="K536" i="12766" s="1"/>
  <c r="K525" i="12766"/>
  <c r="K654" i="12766"/>
  <c r="K603" i="12766" s="1"/>
  <c r="I534" i="12766"/>
  <c r="K534" i="12766" s="1"/>
  <c r="K522" i="12766"/>
  <c r="G279" i="12766"/>
  <c r="G165" i="12766" s="1"/>
  <c r="I392" i="12766"/>
  <c r="I218" i="12766"/>
  <c r="I421" i="12766"/>
  <c r="I363" i="12766"/>
  <c r="I372" i="12766" s="1"/>
  <c r="I333" i="12766"/>
  <c r="I304" i="12766"/>
  <c r="I190" i="12766"/>
  <c r="I199" i="12766" s="1"/>
  <c r="I246" i="12766"/>
  <c r="I170" i="12766"/>
  <c r="O161" i="12766"/>
  <c r="I275" i="12766"/>
  <c r="I284" i="12766" s="1"/>
  <c r="H296" i="12766"/>
  <c r="K296" i="12766"/>
  <c r="D267" i="12766"/>
  <c r="D270" i="12766" s="1"/>
  <c r="K69" i="12766"/>
  <c r="K76" i="12766" s="1"/>
  <c r="K78" i="12766" s="1"/>
  <c r="H69" i="12766"/>
  <c r="H76" i="12766" s="1"/>
  <c r="H78" i="12766" s="1"/>
  <c r="G166" i="12766"/>
  <c r="H861" i="12787"/>
  <c r="G861" i="12787"/>
  <c r="G805" i="12787" s="1"/>
  <c r="G777" i="12787" s="1"/>
  <c r="D779" i="12787"/>
  <c r="M779" i="12787" s="1"/>
  <c r="I867" i="12787"/>
  <c r="K867" i="12787" s="1"/>
  <c r="K869" i="12787" s="1"/>
  <c r="K871" i="12787" s="1"/>
  <c r="I839" i="12787"/>
  <c r="K839" i="12787" s="1"/>
  <c r="I753" i="12787"/>
  <c r="H725" i="12787"/>
  <c r="H623" i="12787" s="1"/>
  <c r="G725" i="12787"/>
  <c r="G623" i="12787" s="1"/>
  <c r="K646" i="12787"/>
  <c r="K595" i="12787" s="1"/>
  <c r="I665" i="12787"/>
  <c r="K665" i="12787" s="1"/>
  <c r="G757" i="12787"/>
  <c r="H757" i="12787"/>
  <c r="K698" i="12787"/>
  <c r="I717" i="12787"/>
  <c r="K717" i="12787" s="1"/>
  <c r="H71" i="12766"/>
  <c r="K71" i="12766"/>
  <c r="H673" i="12787"/>
  <c r="H622" i="12787" s="1"/>
  <c r="G673" i="12787"/>
  <c r="G622" i="12787" s="1"/>
  <c r="I701" i="12787"/>
  <c r="I712" i="12787"/>
  <c r="K712" i="12787" s="1"/>
  <c r="K693" i="12787"/>
  <c r="D591" i="12787"/>
  <c r="M591" i="12787" s="1"/>
  <c r="H693" i="12787"/>
  <c r="K484" i="12787"/>
  <c r="H343" i="12787"/>
  <c r="G343" i="12787"/>
  <c r="G285" i="12787" s="1"/>
  <c r="D602" i="12787"/>
  <c r="M602" i="12787" s="1"/>
  <c r="H653" i="12787"/>
  <c r="H602" i="12787" s="1"/>
  <c r="T584" i="12787" s="1"/>
  <c r="G490" i="12787"/>
  <c r="G355" i="12787"/>
  <c r="G149" i="12787" s="1"/>
  <c r="D331" i="12787"/>
  <c r="H331" i="12787" s="1"/>
  <c r="H346" i="12787" s="1"/>
  <c r="H348" i="12787" s="1"/>
  <c r="C348" i="12787"/>
  <c r="K421" i="12787"/>
  <c r="I430" i="12787"/>
  <c r="K430" i="12787" s="1"/>
  <c r="H525" i="12787"/>
  <c r="G572" i="12787"/>
  <c r="H572" i="12787"/>
  <c r="G102" i="12787"/>
  <c r="G83" i="12787"/>
  <c r="K375" i="12787"/>
  <c r="T49" i="12837"/>
  <c r="N54" i="12837"/>
  <c r="T54" i="12837" s="1"/>
  <c r="K204" i="12787"/>
  <c r="G175" i="12787"/>
  <c r="K175" i="12787" s="1"/>
  <c r="G224" i="12787"/>
  <c r="G196" i="12787" s="1"/>
  <c r="G167" i="12787" s="1"/>
  <c r="H224" i="12787"/>
  <c r="K201" i="12787"/>
  <c r="K172" i="12787" s="1"/>
  <c r="D18" i="12787"/>
  <c r="K267" i="12787"/>
  <c r="K153" i="12787" s="1"/>
  <c r="H17" i="12787"/>
  <c r="O99" i="12761"/>
  <c r="I462" i="12843"/>
  <c r="L462" i="12843" s="1"/>
  <c r="H18" i="12787"/>
  <c r="H102" i="12787"/>
  <c r="H540" i="12787"/>
  <c r="H480" i="12787"/>
  <c r="H227" i="12787"/>
  <c r="G227" i="12787"/>
  <c r="G199" i="12787" s="1"/>
  <c r="T19" i="12837"/>
  <c r="I804" i="12843"/>
  <c r="L804" i="12843" s="1"/>
  <c r="K797" i="12766"/>
  <c r="K769" i="12766" s="1"/>
  <c r="G896" i="12766"/>
  <c r="G898" i="12766" s="1"/>
  <c r="K794" i="12766"/>
  <c r="K766" i="12766" s="1"/>
  <c r="K807" i="12766"/>
  <c r="H779" i="12766"/>
  <c r="K723" i="12766"/>
  <c r="K621" i="12766" s="1"/>
  <c r="K743" i="12766"/>
  <c r="H743" i="12766"/>
  <c r="H830" i="12766"/>
  <c r="H802" i="12766" s="1"/>
  <c r="D802" i="12766"/>
  <c r="D774" i="12766" s="1"/>
  <c r="M774" i="12766" s="1"/>
  <c r="K524" i="12766"/>
  <c r="D542" i="12766"/>
  <c r="H524" i="12766"/>
  <c r="K593" i="12766"/>
  <c r="K526" i="12766"/>
  <c r="C483" i="12766"/>
  <c r="D399" i="12766"/>
  <c r="H399" i="12766" s="1"/>
  <c r="H370" i="12766" s="1"/>
  <c r="D390" i="12766"/>
  <c r="C376" i="12766"/>
  <c r="C378" i="12766" s="1"/>
  <c r="C407" i="12766"/>
  <c r="D404" i="12766"/>
  <c r="D402" i="12766"/>
  <c r="D398" i="12766"/>
  <c r="D393" i="12766"/>
  <c r="D389" i="12766"/>
  <c r="D400" i="12766"/>
  <c r="H400" i="12766" s="1"/>
  <c r="H371" i="12766" s="1"/>
  <c r="D391" i="12766"/>
  <c r="D386" i="12766"/>
  <c r="D397" i="12766"/>
  <c r="H397" i="12766" s="1"/>
  <c r="H368" i="12766" s="1"/>
  <c r="D401" i="12766"/>
  <c r="H401" i="12766" s="1"/>
  <c r="H372" i="12766" s="1"/>
  <c r="D392" i="12766"/>
  <c r="G183" i="12766"/>
  <c r="G153" i="12766" s="1"/>
  <c r="G259" i="12766"/>
  <c r="G261" i="12766" s="1"/>
  <c r="I226" i="12766"/>
  <c r="K226" i="12766" s="1"/>
  <c r="K217" i="12766"/>
  <c r="I425" i="12766"/>
  <c r="K425" i="12766" s="1"/>
  <c r="K414" i="12766"/>
  <c r="G159" i="12766"/>
  <c r="C89" i="12766"/>
  <c r="C91" i="12766" s="1"/>
  <c r="C117" i="12766"/>
  <c r="C161" i="12766"/>
  <c r="K56" i="12766"/>
  <c r="H56" i="12766"/>
  <c r="C186" i="12766"/>
  <c r="C157" i="12766" s="1"/>
  <c r="M931" i="12787"/>
  <c r="M934" i="12787" s="1"/>
  <c r="H931" i="12787"/>
  <c r="H934" i="12787" s="1"/>
  <c r="H936" i="12787" s="1"/>
  <c r="G537" i="12787"/>
  <c r="G503" i="12787" s="1"/>
  <c r="H537" i="12787"/>
  <c r="H969" i="12787"/>
  <c r="H943" i="12787" s="1"/>
  <c r="D943" i="12787"/>
  <c r="M943" i="12787" s="1"/>
  <c r="H827" i="12787"/>
  <c r="H799" i="12787" s="1"/>
  <c r="H771" i="12787" s="1"/>
  <c r="T770" i="12787" s="1"/>
  <c r="D799" i="12787"/>
  <c r="D771" i="12787" s="1"/>
  <c r="M771" i="12787" s="1"/>
  <c r="M621" i="12787"/>
  <c r="D20" i="12766"/>
  <c r="K687" i="12787"/>
  <c r="I710" i="12787"/>
  <c r="K710" i="12787" s="1"/>
  <c r="D797" i="12787"/>
  <c r="D769" i="12787" s="1"/>
  <c r="M769" i="12787" s="1"/>
  <c r="H667" i="12787"/>
  <c r="G667" i="12787"/>
  <c r="G616" i="12787" s="1"/>
  <c r="I707" i="12787"/>
  <c r="K707" i="12787" s="1"/>
  <c r="K605" i="12787" s="1"/>
  <c r="K684" i="12787"/>
  <c r="K497" i="12787"/>
  <c r="G811" i="12787"/>
  <c r="G783" i="12787" s="1"/>
  <c r="I341" i="12787"/>
  <c r="K341" i="12787" s="1"/>
  <c r="K283" i="12787" s="1"/>
  <c r="K332" i="12787"/>
  <c r="D613" i="12787"/>
  <c r="M613" i="12787" s="1"/>
  <c r="K702" i="12787"/>
  <c r="I721" i="12787"/>
  <c r="K721" i="12787" s="1"/>
  <c r="H539" i="12787"/>
  <c r="G539" i="12787"/>
  <c r="H403" i="12787"/>
  <c r="H374" i="12787" s="1"/>
  <c r="G403" i="12787"/>
  <c r="G374" i="12787" s="1"/>
  <c r="H532" i="12787"/>
  <c r="H521" i="12787"/>
  <c r="H215" i="12787"/>
  <c r="D183" i="12787"/>
  <c r="H239" i="12787"/>
  <c r="K274" i="12787"/>
  <c r="K284" i="12787"/>
  <c r="I222" i="12787"/>
  <c r="K222" i="12787" s="1"/>
  <c r="K212" i="12787"/>
  <c r="G158" i="12787"/>
  <c r="G84" i="12787"/>
  <c r="C931" i="12766"/>
  <c r="C933" i="12766" s="1"/>
  <c r="C944" i="12766"/>
  <c r="D939" i="12766"/>
  <c r="D940" i="12766"/>
  <c r="K622" i="12766"/>
  <c r="K799" i="12766"/>
  <c r="H720" i="12766"/>
  <c r="G720" i="12766"/>
  <c r="G727" i="12766" s="1"/>
  <c r="G729" i="12766" s="1"/>
  <c r="H697" i="12766"/>
  <c r="H595" i="12766" s="1"/>
  <c r="K697" i="12766"/>
  <c r="K595" i="12766" s="1"/>
  <c r="D595" i="12766"/>
  <c r="M595" i="12766" s="1"/>
  <c r="I757" i="12766"/>
  <c r="M757" i="12766" s="1"/>
  <c r="I751" i="12766"/>
  <c r="M742" i="12766"/>
  <c r="K742" i="12766"/>
  <c r="H748" i="12766"/>
  <c r="G748" i="12766"/>
  <c r="W482" i="12766"/>
  <c r="K518" i="12766"/>
  <c r="H518" i="12766"/>
  <c r="K651" i="12766"/>
  <c r="I670" i="12766"/>
  <c r="K670" i="12766" s="1"/>
  <c r="M618" i="12766"/>
  <c r="K458" i="12766"/>
  <c r="K472" i="12766" s="1"/>
  <c r="K474" i="12766" s="1"/>
  <c r="I458" i="12787"/>
  <c r="K458" i="12787" s="1"/>
  <c r="K472" i="12787" s="1"/>
  <c r="K474" i="12787" s="1"/>
  <c r="I254" i="12766"/>
  <c r="K254" i="12766" s="1"/>
  <c r="K245" i="12766"/>
  <c r="K384" i="12766"/>
  <c r="I395" i="12766"/>
  <c r="K395" i="12766" s="1"/>
  <c r="D256" i="12766"/>
  <c r="D252" i="12766"/>
  <c r="D247" i="12766"/>
  <c r="D243" i="12766"/>
  <c r="D257" i="12766"/>
  <c r="D253" i="12766"/>
  <c r="D249" i="12766"/>
  <c r="D244" i="12766"/>
  <c r="C261" i="12766"/>
  <c r="D254" i="12766"/>
  <c r="H254" i="12766" s="1"/>
  <c r="D250" i="12766"/>
  <c r="D245" i="12766"/>
  <c r="D258" i="12766"/>
  <c r="D241" i="12766"/>
  <c r="D255" i="12766"/>
  <c r="D246" i="12766"/>
  <c r="C203" i="12766"/>
  <c r="D251" i="12766"/>
  <c r="G161" i="12766"/>
  <c r="K51" i="12766"/>
  <c r="H51" i="12766"/>
  <c r="H59" i="12766" s="1"/>
  <c r="H61" i="12766" s="1"/>
  <c r="D18" i="12766"/>
  <c r="H52" i="12766"/>
  <c r="K52" i="12766"/>
  <c r="K18" i="12766" s="1"/>
  <c r="D22" i="12766"/>
  <c r="H39" i="12766"/>
  <c r="H22" i="12766" s="1"/>
  <c r="K39" i="12766"/>
  <c r="K22" i="12766" s="1"/>
  <c r="G44" i="12766"/>
  <c r="G25" i="12766"/>
  <c r="G27" i="12766" s="1"/>
  <c r="K20" i="12766"/>
  <c r="I840" i="12787"/>
  <c r="K840" i="12787" s="1"/>
  <c r="K812" i="12787" s="1"/>
  <c r="K784" i="12787" s="1"/>
  <c r="I868" i="12787"/>
  <c r="K868" i="12787" s="1"/>
  <c r="I754" i="12787"/>
  <c r="E865" i="12787"/>
  <c r="G857" i="12787"/>
  <c r="H857" i="12787"/>
  <c r="K648" i="12787"/>
  <c r="K597" i="12787" s="1"/>
  <c r="I667" i="12787"/>
  <c r="K667" i="12787" s="1"/>
  <c r="K616" i="12787" s="1"/>
  <c r="D942" i="12787"/>
  <c r="M942" i="12787" s="1"/>
  <c r="M945" i="12787" s="1"/>
  <c r="H968" i="12787"/>
  <c r="H707" i="12787"/>
  <c r="G707" i="12787"/>
  <c r="H20" i="12766"/>
  <c r="G866" i="12787"/>
  <c r="H866" i="12787"/>
  <c r="G860" i="12787"/>
  <c r="H860" i="12787"/>
  <c r="H664" i="12787"/>
  <c r="H613" i="12787" s="1"/>
  <c r="G664" i="12787"/>
  <c r="G613" i="12787" s="1"/>
  <c r="C796" i="12787"/>
  <c r="C766" i="12787"/>
  <c r="C768" i="12787" s="1"/>
  <c r="C1049" i="12787" s="1"/>
  <c r="K647" i="12787"/>
  <c r="K596" i="12787" s="1"/>
  <c r="I666" i="12787"/>
  <c r="K666" i="12787" s="1"/>
  <c r="H600" i="12787"/>
  <c r="G315" i="12787"/>
  <c r="G370" i="12787"/>
  <c r="H229" i="12787"/>
  <c r="G229" i="12787"/>
  <c r="G201" i="12787" s="1"/>
  <c r="G573" i="12787"/>
  <c r="G251" i="12787"/>
  <c r="G710" i="12787"/>
  <c r="H710" i="12787"/>
  <c r="D542" i="12787"/>
  <c r="H230" i="12787"/>
  <c r="B19" i="12837"/>
  <c r="D401" i="12787"/>
  <c r="H401" i="12787" s="1"/>
  <c r="H372" i="12787" s="1"/>
  <c r="D397" i="12787"/>
  <c r="H397" i="12787" s="1"/>
  <c r="H368" i="12787" s="1"/>
  <c r="D392" i="12787"/>
  <c r="C376" i="12787"/>
  <c r="C378" i="12787" s="1"/>
  <c r="C407" i="12787"/>
  <c r="D402" i="12787"/>
  <c r="H402" i="12787" s="1"/>
  <c r="H373" i="12787" s="1"/>
  <c r="D398" i="12787"/>
  <c r="H398" i="12787" s="1"/>
  <c r="H369" i="12787" s="1"/>
  <c r="D393" i="12787"/>
  <c r="D399" i="12787"/>
  <c r="H399" i="12787" s="1"/>
  <c r="H370" i="12787" s="1"/>
  <c r="D389" i="12787"/>
  <c r="D390" i="12787"/>
  <c r="D386" i="12787"/>
  <c r="D404" i="12787"/>
  <c r="D400" i="12787"/>
  <c r="D391" i="12787"/>
  <c r="D362" i="12787" s="1"/>
  <c r="K168" i="12787"/>
  <c r="H278" i="12787"/>
  <c r="V61" i="12859"/>
  <c r="H59" i="12787"/>
  <c r="H61" i="12787" s="1"/>
  <c r="H184" i="12787"/>
  <c r="H154" i="12787" s="1"/>
  <c r="D104" i="12787"/>
  <c r="D89" i="12787"/>
  <c r="I1070" i="12843"/>
  <c r="L1070" i="12843" s="1"/>
  <c r="D22" i="12787"/>
  <c r="C106" i="12843"/>
  <c r="F690" i="12843"/>
  <c r="P996" i="12766"/>
  <c r="M996" i="12766"/>
  <c r="K996" i="12766"/>
  <c r="H996" i="12766"/>
  <c r="H995" i="12766"/>
  <c r="P995" i="12766"/>
  <c r="M995" i="12766"/>
  <c r="K995" i="12766"/>
  <c r="P977" i="12766"/>
  <c r="M977" i="12766"/>
  <c r="K977" i="12766"/>
  <c r="H977" i="12766"/>
  <c r="H693" i="12766"/>
  <c r="D591" i="12766"/>
  <c r="M591" i="12766" s="1"/>
  <c r="M756" i="12766"/>
  <c r="H826" i="12766"/>
  <c r="H798" i="12766" s="1"/>
  <c r="D798" i="12766"/>
  <c r="K826" i="12766"/>
  <c r="K798" i="12766" s="1"/>
  <c r="K808" i="12766"/>
  <c r="H696" i="12766"/>
  <c r="H594" i="12766" s="1"/>
  <c r="D594" i="12766"/>
  <c r="M594" i="12766" s="1"/>
  <c r="K614" i="12766"/>
  <c r="C815" i="12766"/>
  <c r="H712" i="12766"/>
  <c r="H610" i="12766" s="1"/>
  <c r="M738" i="12766"/>
  <c r="K738" i="12766"/>
  <c r="D612" i="12766"/>
  <c r="M612" i="12766" s="1"/>
  <c r="H663" i="12766"/>
  <c r="H612" i="12766" s="1"/>
  <c r="D614" i="12766"/>
  <c r="M614" i="12766" s="1"/>
  <c r="I667" i="12766"/>
  <c r="K667" i="12766" s="1"/>
  <c r="K648" i="12766"/>
  <c r="K597" i="12766" s="1"/>
  <c r="H669" i="12766"/>
  <c r="H618" i="12766" s="1"/>
  <c r="G669" i="12766"/>
  <c r="G618" i="12766" s="1"/>
  <c r="K663" i="12766"/>
  <c r="K612" i="12766" s="1"/>
  <c r="G540" i="12766"/>
  <c r="G480" i="12766"/>
  <c r="G499" i="12766"/>
  <c r="G501" i="12766"/>
  <c r="H651" i="12766"/>
  <c r="H600" i="12766" s="1"/>
  <c r="G568" i="12766"/>
  <c r="G500" i="12766" s="1"/>
  <c r="H367" i="12766"/>
  <c r="G167" i="12766"/>
  <c r="D240" i="12766"/>
  <c r="D239" i="12766"/>
  <c r="K427" i="12766"/>
  <c r="G168" i="12766"/>
  <c r="K38" i="12766"/>
  <c r="K21" i="12766" s="1"/>
  <c r="D21" i="12766"/>
  <c r="H38" i="12766"/>
  <c r="H21" i="12766" s="1"/>
  <c r="D195" i="12766"/>
  <c r="D166" i="12766" s="1"/>
  <c r="M166" i="12766" s="1"/>
  <c r="H223" i="12766"/>
  <c r="H835" i="12787"/>
  <c r="H807" i="12787" s="1"/>
  <c r="H779" i="12787" s="1"/>
  <c r="K645" i="12787"/>
  <c r="K594" i="12787" s="1"/>
  <c r="I664" i="12787"/>
  <c r="K664" i="12787" s="1"/>
  <c r="K613" i="12787" s="1"/>
  <c r="G795" i="12787"/>
  <c r="G767" i="12787" s="1"/>
  <c r="M618" i="12787"/>
  <c r="H797" i="12787"/>
  <c r="H769" i="12787" s="1"/>
  <c r="H726" i="12787"/>
  <c r="H624" i="12787" s="1"/>
  <c r="G726" i="12787"/>
  <c r="G624" i="12787" s="1"/>
  <c r="I659" i="12787"/>
  <c r="K659" i="12787" s="1"/>
  <c r="K608" i="12787" s="1"/>
  <c r="K636" i="12787"/>
  <c r="K607" i="12787"/>
  <c r="D774" i="12787"/>
  <c r="M774" i="12787" s="1"/>
  <c r="K794" i="12787"/>
  <c r="K766" i="12787" s="1"/>
  <c r="U768" i="12787" s="1"/>
  <c r="I660" i="12787"/>
  <c r="K660" i="12787" s="1"/>
  <c r="K609" i="12787" s="1"/>
  <c r="K637" i="12787"/>
  <c r="K586" i="12787" s="1"/>
  <c r="C1019" i="12766"/>
  <c r="K651" i="12787"/>
  <c r="K600" i="12787" s="1"/>
  <c r="I670" i="12787"/>
  <c r="K670" i="12787" s="1"/>
  <c r="C491" i="12787"/>
  <c r="G670" i="12787"/>
  <c r="H670" i="12787"/>
  <c r="K420" i="12787"/>
  <c r="I429" i="12787"/>
  <c r="K429" i="12787" s="1"/>
  <c r="G311" i="12787"/>
  <c r="C574" i="12787"/>
  <c r="K505" i="12787"/>
  <c r="G366" i="12787"/>
  <c r="I226" i="12787"/>
  <c r="K226" i="12787" s="1"/>
  <c r="K198" i="12787" s="1"/>
  <c r="K217" i="12787"/>
  <c r="K189" i="12787" s="1"/>
  <c r="K333" i="12787"/>
  <c r="K275" i="12787" s="1"/>
  <c r="I342" i="12787"/>
  <c r="K342" i="12787" s="1"/>
  <c r="K392" i="12787"/>
  <c r="K363" i="12787" s="1"/>
  <c r="I401" i="12787"/>
  <c r="K401" i="12787" s="1"/>
  <c r="G614" i="12787"/>
  <c r="H404" i="12787"/>
  <c r="H375" i="12787" s="1"/>
  <c r="G404" i="12787"/>
  <c r="G375" i="12787" s="1"/>
  <c r="G313" i="12787"/>
  <c r="G284" i="12787" s="1"/>
  <c r="K282" i="12787"/>
  <c r="K287" i="12787"/>
  <c r="K173" i="12787" s="1"/>
  <c r="H213" i="12787"/>
  <c r="G280" i="12787"/>
  <c r="I385" i="12787"/>
  <c r="I414" i="12787"/>
  <c r="I356" i="12787"/>
  <c r="I367" i="12787" s="1"/>
  <c r="O150" i="12787"/>
  <c r="M150" i="12787"/>
  <c r="T31" i="12837"/>
  <c r="N37" i="12837"/>
  <c r="H599" i="12787"/>
  <c r="G190" i="12787"/>
  <c r="G161" i="12787" s="1"/>
  <c r="V46" i="12859"/>
  <c r="J49" i="12859"/>
  <c r="V49" i="12859" s="1"/>
  <c r="S52" i="12859" s="1"/>
  <c r="T86" i="12787"/>
  <c r="G42" i="12787"/>
  <c r="G222" i="12787"/>
  <c r="H222" i="12787"/>
  <c r="H723" i="12787"/>
  <c r="G723" i="12787"/>
  <c r="R19" i="12837"/>
  <c r="I1108" i="12843"/>
  <c r="L1108" i="12843" s="1"/>
  <c r="H857" i="12766"/>
  <c r="H801" i="12766" s="1"/>
  <c r="D871" i="12766"/>
  <c r="P908" i="12766"/>
  <c r="G749" i="12766"/>
  <c r="H749" i="12766"/>
  <c r="D808" i="12766"/>
  <c r="D780" i="12766" s="1"/>
  <c r="M780" i="12766" s="1"/>
  <c r="D779" i="12766"/>
  <c r="M779" i="12766" s="1"/>
  <c r="D797" i="12766"/>
  <c r="D769" i="12766" s="1"/>
  <c r="M769" i="12766" s="1"/>
  <c r="H825" i="12766"/>
  <c r="K693" i="12766"/>
  <c r="K591" i="12766" s="1"/>
  <c r="G944" i="12766"/>
  <c r="G931" i="12766"/>
  <c r="G933" i="12766" s="1"/>
  <c r="M749" i="12766"/>
  <c r="K749" i="12766"/>
  <c r="H673" i="12766"/>
  <c r="H622" i="12766" s="1"/>
  <c r="K757" i="12766"/>
  <c r="H757" i="12766"/>
  <c r="D621" i="12766"/>
  <c r="M621" i="12766" s="1"/>
  <c r="H672" i="12766"/>
  <c r="H621" i="12766" s="1"/>
  <c r="D618" i="12766"/>
  <c r="I718" i="12766"/>
  <c r="K718" i="12766" s="1"/>
  <c r="K699" i="12766"/>
  <c r="H533" i="12766"/>
  <c r="M619" i="12766"/>
  <c r="K653" i="12766"/>
  <c r="K602" i="12766" s="1"/>
  <c r="S593" i="12766" s="1"/>
  <c r="U593" i="12766" s="1"/>
  <c r="K431" i="12766"/>
  <c r="K613" i="12766"/>
  <c r="K420" i="12766"/>
  <c r="I429" i="12766"/>
  <c r="K429" i="12766" s="1"/>
  <c r="K413" i="12766"/>
  <c r="I424" i="12766"/>
  <c r="K424" i="12766" s="1"/>
  <c r="K33" i="12766"/>
  <c r="D16" i="12766"/>
  <c r="H33" i="12766"/>
  <c r="G164" i="12766"/>
  <c r="K314" i="12766"/>
  <c r="K285" i="12766" s="1"/>
  <c r="H829" i="12787"/>
  <c r="G829" i="12787"/>
  <c r="G801" i="12787" s="1"/>
  <c r="G773" i="12787" s="1"/>
  <c r="E837" i="12787"/>
  <c r="G593" i="12787"/>
  <c r="P904" i="12787"/>
  <c r="P922" i="12787" s="1"/>
  <c r="H904" i="12787"/>
  <c r="H923" i="12787" s="1"/>
  <c r="H925" i="12787" s="1"/>
  <c r="P923" i="12787" s="1"/>
  <c r="H758" i="12787"/>
  <c r="H760" i="12787" s="1"/>
  <c r="H720" i="12787"/>
  <c r="G720" i="12787"/>
  <c r="G618" i="12787" s="1"/>
  <c r="H656" i="12787"/>
  <c r="H605" i="12787" s="1"/>
  <c r="G656" i="12787"/>
  <c r="G605" i="12787" s="1"/>
  <c r="K752" i="12787"/>
  <c r="M752" i="12787"/>
  <c r="I568" i="12787"/>
  <c r="K568" i="12787" s="1"/>
  <c r="K556" i="12787"/>
  <c r="K574" i="12787" s="1"/>
  <c r="K576" i="12787" s="1"/>
  <c r="D612" i="12787"/>
  <c r="M612" i="12787" s="1"/>
  <c r="D614" i="12787"/>
  <c r="M614" i="12787" s="1"/>
  <c r="K391" i="12787"/>
  <c r="K362" i="12787" s="1"/>
  <c r="I400" i="12787"/>
  <c r="K400" i="12787" s="1"/>
  <c r="H316" i="12787"/>
  <c r="H287" i="12787" s="1"/>
  <c r="G316" i="12787"/>
  <c r="G287" i="12787" s="1"/>
  <c r="H344" i="12787"/>
  <c r="G344" i="12787"/>
  <c r="H223" i="12787"/>
  <c r="G223" i="12787"/>
  <c r="G195" i="12787" s="1"/>
  <c r="G166" i="12787" s="1"/>
  <c r="H665" i="12787"/>
  <c r="H614" i="12787" s="1"/>
  <c r="I250" i="12787"/>
  <c r="K250" i="12787" s="1"/>
  <c r="K240" i="12787"/>
  <c r="C319" i="12787"/>
  <c r="D314" i="12787"/>
  <c r="H314" i="12787" s="1"/>
  <c r="H285" i="12787" s="1"/>
  <c r="D310" i="12787"/>
  <c r="H310" i="12787" s="1"/>
  <c r="H281" i="12787" s="1"/>
  <c r="D315" i="12787"/>
  <c r="H315" i="12787" s="1"/>
  <c r="H286" i="12787" s="1"/>
  <c r="D311" i="12787"/>
  <c r="H311" i="12787" s="1"/>
  <c r="H282" i="12787" s="1"/>
  <c r="D302" i="12787"/>
  <c r="D303" i="12787"/>
  <c r="C288" i="12787"/>
  <c r="C290" i="12787" s="1"/>
  <c r="D316" i="12787"/>
  <c r="D312" i="12787"/>
  <c r="H312" i="12787" s="1"/>
  <c r="H283" i="12787" s="1"/>
  <c r="D304" i="12787"/>
  <c r="D305" i="12787"/>
  <c r="D309" i="12787"/>
  <c r="H309" i="12787" s="1"/>
  <c r="H280" i="12787" s="1"/>
  <c r="D313" i="12787"/>
  <c r="H313" i="12787" s="1"/>
  <c r="H284" i="12787" s="1"/>
  <c r="G250" i="12787"/>
  <c r="G259" i="12787" s="1"/>
  <c r="G233" i="12787"/>
  <c r="J12" i="12837"/>
  <c r="K199" i="12787"/>
  <c r="H33" i="12787"/>
  <c r="D16" i="12787"/>
  <c r="G540" i="12787"/>
  <c r="G480" i="12787"/>
  <c r="G367" i="12787"/>
  <c r="G171" i="12787"/>
  <c r="U86" i="12787"/>
  <c r="W86" i="12787" s="1"/>
  <c r="G184" i="12787"/>
  <c r="G154" i="12787" s="1"/>
  <c r="H22" i="12787"/>
  <c r="C180" i="12843"/>
  <c r="F17" i="12843"/>
  <c r="F554" i="12843"/>
  <c r="F665" i="12843"/>
  <c r="I228" i="12843"/>
  <c r="F551" i="12843"/>
  <c r="F993" i="12843"/>
  <c r="F562" i="12843"/>
  <c r="F559" i="12843"/>
  <c r="F426" i="12843"/>
  <c r="F429" i="12843"/>
  <c r="F417" i="12843"/>
  <c r="F478" i="12843"/>
  <c r="F211" i="12843"/>
  <c r="F176" i="12843" s="1"/>
  <c r="F220" i="12843"/>
  <c r="F186" i="12843" s="1"/>
  <c r="I342" i="12843"/>
  <c r="F70" i="12843"/>
  <c r="F104" i="12843"/>
  <c r="I431" i="12843"/>
  <c r="I89" i="12843"/>
  <c r="I87" i="12843"/>
  <c r="I103" i="12843"/>
  <c r="I101" i="12843"/>
  <c r="I116" i="12843"/>
  <c r="I114" i="12843"/>
  <c r="F539" i="12843"/>
  <c r="F541" i="12843" s="1"/>
  <c r="F227" i="12843"/>
  <c r="I430" i="12843"/>
  <c r="I343" i="12843"/>
  <c r="I69" i="12843"/>
  <c r="C659" i="12843"/>
  <c r="K46" i="12783"/>
  <c r="M46" i="12783" s="1"/>
  <c r="O46" i="12783" s="1"/>
  <c r="I1128" i="12843"/>
  <c r="L1128" i="12843" s="1"/>
  <c r="F658" i="12843"/>
  <c r="F666" i="12843"/>
  <c r="F549" i="12843"/>
  <c r="F228" i="12843"/>
  <c r="F194" i="12843" s="1"/>
  <c r="F212" i="12843"/>
  <c r="F177" i="12843" s="1"/>
  <c r="C1024" i="12843"/>
  <c r="G39" i="12783"/>
  <c r="G42" i="12783" s="1"/>
  <c r="F1121" i="12843"/>
  <c r="F568" i="12843"/>
  <c r="F402" i="12843"/>
  <c r="F996" i="12843"/>
  <c r="F69" i="12843"/>
  <c r="C432" i="12843"/>
  <c r="G31" i="12783"/>
  <c r="F1095" i="12843"/>
  <c r="F224" i="12843"/>
  <c r="F16" i="12843"/>
  <c r="F567" i="12843"/>
  <c r="F555" i="12843"/>
  <c r="F548" i="12843"/>
  <c r="F564" i="12843"/>
  <c r="C550" i="12843"/>
  <c r="F226" i="12843"/>
  <c r="F1013" i="12843"/>
  <c r="F552" i="12843"/>
  <c r="B26" i="12783"/>
  <c r="F922" i="12843"/>
  <c r="C923" i="12843"/>
  <c r="F210" i="12843"/>
  <c r="F175" i="12843" s="1"/>
  <c r="F68" i="12843"/>
  <c r="F566" i="12843"/>
  <c r="F222" i="12843"/>
  <c r="I229" i="12843"/>
  <c r="C213" i="12843"/>
  <c r="C179" i="12843" s="1"/>
  <c r="F223" i="12843"/>
  <c r="C192" i="12843"/>
  <c r="C198" i="12843" s="1"/>
  <c r="F412" i="12843"/>
  <c r="F172" i="12843" s="1"/>
  <c r="F214" i="12843"/>
  <c r="C326" i="12843"/>
  <c r="C175" i="12843"/>
  <c r="F657" i="12843"/>
  <c r="F663" i="12843"/>
  <c r="C995" i="12843"/>
  <c r="C936" i="12843"/>
  <c r="C859" i="12843"/>
  <c r="C839" i="12843" s="1"/>
  <c r="F878" i="12843"/>
  <c r="F859" i="12843" s="1"/>
  <c r="F944" i="12843"/>
  <c r="C866" i="12843"/>
  <c r="C846" i="12843" s="1"/>
  <c r="C856" i="12843"/>
  <c r="C836" i="12843" s="1"/>
  <c r="C21" i="12859"/>
  <c r="C23" i="12859" s="1"/>
  <c r="I16" i="12859"/>
  <c r="F569" i="12843"/>
  <c r="F162" i="12843"/>
  <c r="F218" i="12843"/>
  <c r="G28" i="12783"/>
  <c r="F1016" i="12843"/>
  <c r="F373" i="12843"/>
  <c r="F570" i="12843"/>
  <c r="F65" i="12843"/>
  <c r="F225" i="12843"/>
  <c r="C190" i="12843"/>
  <c r="C196" i="12843" s="1"/>
  <c r="C1021" i="12843"/>
  <c r="F1107" i="12843"/>
  <c r="F1077" i="12843"/>
  <c r="F667" i="12843"/>
  <c r="F645" i="12843"/>
  <c r="G18" i="12783"/>
  <c r="F229" i="12843"/>
  <c r="F195" i="12843" s="1"/>
  <c r="C983" i="12843"/>
  <c r="C1015" i="12843"/>
  <c r="F46" i="12843"/>
  <c r="F30" i="12859"/>
  <c r="F34" i="12859" s="1"/>
  <c r="C17" i="12859"/>
  <c r="I17" i="12859" s="1"/>
  <c r="I30" i="12859"/>
  <c r="I34" i="12859" s="1"/>
  <c r="F411" i="12843"/>
  <c r="F171" i="12843" s="1"/>
  <c r="F461" i="12843"/>
  <c r="F672" i="12843"/>
  <c r="C1080" i="12843"/>
  <c r="F656" i="12843"/>
  <c r="F547" i="12843"/>
  <c r="C344" i="12843"/>
  <c r="C191" i="12843"/>
  <c r="C197" i="12843" s="1"/>
  <c r="F58" i="12843"/>
  <c r="I23" i="12859"/>
  <c r="I22" i="12859"/>
  <c r="F1040" i="12843"/>
  <c r="F677" i="12843"/>
  <c r="F653" i="12843"/>
  <c r="C939" i="12843"/>
  <c r="F15" i="12843"/>
  <c r="F34" i="12843"/>
  <c r="F315" i="12843"/>
  <c r="F221" i="12843"/>
  <c r="F187" i="12843" s="1"/>
  <c r="C1041" i="12843"/>
  <c r="L859" i="12843" l="1"/>
  <c r="L839" i="12843" s="1"/>
  <c r="L856" i="12843"/>
  <c r="L836" i="12843" s="1"/>
  <c r="F983" i="12843"/>
  <c r="F866" i="12843"/>
  <c r="F846" i="12843" s="1"/>
  <c r="L866" i="12843"/>
  <c r="L846" i="12843" s="1"/>
  <c r="L939" i="12843"/>
  <c r="L861" i="12843" s="1"/>
  <c r="L841" i="12843" s="1"/>
  <c r="F192" i="12843"/>
  <c r="F668" i="12843"/>
  <c r="M57" i="12859"/>
  <c r="M67" i="12859" s="1"/>
  <c r="N57" i="12859"/>
  <c r="N67" i="12859" s="1"/>
  <c r="L53" i="12859"/>
  <c r="M53" i="12859"/>
  <c r="N53" i="12859"/>
  <c r="N55" i="12859"/>
  <c r="B27" i="12783"/>
  <c r="B28" i="12783" s="1"/>
  <c r="F669" i="12843"/>
  <c r="F191" i="12843"/>
  <c r="F189" i="12843"/>
  <c r="C1123" i="12843"/>
  <c r="F188" i="12843"/>
  <c r="C463" i="12843"/>
  <c r="F803" i="12843"/>
  <c r="F805" i="12843" s="1"/>
  <c r="C375" i="12843"/>
  <c r="I70" i="12843"/>
  <c r="I574" i="12843"/>
  <c r="C861" i="12843"/>
  <c r="C841" i="12843" s="1"/>
  <c r="F939" i="12843"/>
  <c r="F861" i="12843" s="1"/>
  <c r="F841" i="12843" s="1"/>
  <c r="F490" i="12843"/>
  <c r="F432" i="12843" s="1"/>
  <c r="F190" i="12843"/>
  <c r="I68" i="12843"/>
  <c r="G261" i="12787"/>
  <c r="G203" i="12787"/>
  <c r="M773" i="12766"/>
  <c r="D787" i="12766"/>
  <c r="K161" i="12787"/>
  <c r="M906" i="12787"/>
  <c r="K906" i="12787"/>
  <c r="H305" i="12787"/>
  <c r="H276" i="12787" s="1"/>
  <c r="D276" i="12787"/>
  <c r="K371" i="12787"/>
  <c r="H837" i="12787"/>
  <c r="G837" i="12787"/>
  <c r="G809" i="12787" s="1"/>
  <c r="G781" i="12787" s="1"/>
  <c r="K42" i="12766"/>
  <c r="K16" i="12766"/>
  <c r="H231" i="12787"/>
  <c r="K160" i="12787"/>
  <c r="H239" i="12766"/>
  <c r="D183" i="12766"/>
  <c r="K239" i="12766"/>
  <c r="K616" i="12766"/>
  <c r="M625" i="12766"/>
  <c r="K59" i="12766"/>
  <c r="K61" i="12766" s="1"/>
  <c r="K258" i="12766"/>
  <c r="H258" i="12766"/>
  <c r="H257" i="12766"/>
  <c r="H201" i="12766" s="1"/>
  <c r="D201" i="12766"/>
  <c r="D172" i="12766" s="1"/>
  <c r="M172" i="12766" s="1"/>
  <c r="K257" i="12766"/>
  <c r="K201" i="12766" s="1"/>
  <c r="H540" i="12766"/>
  <c r="M751" i="12766"/>
  <c r="K751" i="12766"/>
  <c r="H404" i="12766"/>
  <c r="H375" i="12766" s="1"/>
  <c r="K404" i="12766"/>
  <c r="K375" i="12766" s="1"/>
  <c r="K841" i="12766"/>
  <c r="H542" i="12787"/>
  <c r="G104" i="12787"/>
  <c r="G89" i="12787"/>
  <c r="G91" i="12787" s="1"/>
  <c r="I401" i="12766"/>
  <c r="K401" i="12766" s="1"/>
  <c r="K392" i="12766"/>
  <c r="O53" i="12859"/>
  <c r="L57" i="12859"/>
  <c r="L67" i="12859" s="1"/>
  <c r="U57" i="12859"/>
  <c r="U67" i="12859" s="1"/>
  <c r="P52" i="12859"/>
  <c r="T53" i="12859"/>
  <c r="U53" i="12859"/>
  <c r="Q54" i="12859"/>
  <c r="G676" i="12766"/>
  <c r="H885" i="12766"/>
  <c r="K885" i="12766"/>
  <c r="K774" i="12766" s="1"/>
  <c r="I105" i="12843"/>
  <c r="L105" i="12843" s="1"/>
  <c r="G488" i="12787"/>
  <c r="K650" i="12787"/>
  <c r="I669" i="12787"/>
  <c r="K669" i="12787" s="1"/>
  <c r="G810" i="12787"/>
  <c r="G782" i="12787" s="1"/>
  <c r="K615" i="12766"/>
  <c r="M1013" i="12787"/>
  <c r="K1013" i="12787"/>
  <c r="K1010" i="12787"/>
  <c r="M1010" i="12787"/>
  <c r="H599" i="12766"/>
  <c r="H676" i="12766"/>
  <c r="C1048" i="12787"/>
  <c r="K23" i="12766"/>
  <c r="M907" i="12787"/>
  <c r="K907" i="12787"/>
  <c r="M904" i="12787"/>
  <c r="M923" i="12787" s="1"/>
  <c r="K904" i="12787"/>
  <c r="K923" i="12787" s="1"/>
  <c r="K925" i="12787" s="1"/>
  <c r="M921" i="12787"/>
  <c r="K921" i="12787"/>
  <c r="O16" i="12766"/>
  <c r="M16" i="12766"/>
  <c r="H241" i="12766"/>
  <c r="H185" i="12766" s="1"/>
  <c r="H155" i="12766" s="1"/>
  <c r="R167" i="12766" s="1"/>
  <c r="D185" i="12766"/>
  <c r="D155" i="12766" s="1"/>
  <c r="M155" i="12766" s="1"/>
  <c r="K241" i="12766"/>
  <c r="K185" i="12766" s="1"/>
  <c r="K155" i="12766" s="1"/>
  <c r="S167" i="12766" s="1"/>
  <c r="U167" i="12766" s="1"/>
  <c r="Q907" i="12766"/>
  <c r="R907" i="12766" s="1"/>
  <c r="Q906" i="12766"/>
  <c r="R906" i="12766" s="1"/>
  <c r="Q905" i="12766"/>
  <c r="R905" i="12766" s="1"/>
  <c r="Q904" i="12766"/>
  <c r="R904" i="12766" s="1"/>
  <c r="F193" i="12843"/>
  <c r="L12" i="12837"/>
  <c r="D275" i="12787"/>
  <c r="H304" i="12787"/>
  <c r="H275" i="12787" s="1"/>
  <c r="K169" i="12787"/>
  <c r="K841" i="12787"/>
  <c r="K240" i="12766"/>
  <c r="K184" i="12766" s="1"/>
  <c r="K154" i="12766" s="1"/>
  <c r="H240" i="12766"/>
  <c r="H184" i="12766" s="1"/>
  <c r="H154" i="12766" s="1"/>
  <c r="D184" i="12766"/>
  <c r="D154" i="12766" s="1"/>
  <c r="M154" i="12766" s="1"/>
  <c r="H591" i="12766"/>
  <c r="R592" i="12766" s="1"/>
  <c r="H727" i="12766"/>
  <c r="H729" i="12766" s="1"/>
  <c r="D357" i="12787"/>
  <c r="D151" i="12787" s="1"/>
  <c r="M151" i="12787" s="1"/>
  <c r="H386" i="12787"/>
  <c r="H865" i="12787"/>
  <c r="H869" i="12787" s="1"/>
  <c r="H871" i="12787" s="1"/>
  <c r="G865" i="12787"/>
  <c r="G869" i="12787" s="1"/>
  <c r="G871" i="12787" s="1"/>
  <c r="H245" i="12766"/>
  <c r="H189" i="12766" s="1"/>
  <c r="D189" i="12766"/>
  <c r="K243" i="12766"/>
  <c r="K187" i="12766" s="1"/>
  <c r="H243" i="12766"/>
  <c r="H187" i="12766" s="1"/>
  <c r="D187" i="12766"/>
  <c r="K540" i="12766"/>
  <c r="K189" i="12766"/>
  <c r="D357" i="12766"/>
  <c r="D151" i="12766" s="1"/>
  <c r="M151" i="12766" s="1"/>
  <c r="H386" i="12766"/>
  <c r="K386" i="12766"/>
  <c r="K357" i="12766" s="1"/>
  <c r="K151" i="12766" s="1"/>
  <c r="H774" i="12766"/>
  <c r="K614" i="12787"/>
  <c r="I255" i="12766"/>
  <c r="K255" i="12766" s="1"/>
  <c r="K246" i="12766"/>
  <c r="I374" i="12843"/>
  <c r="L374" i="12843" s="1"/>
  <c r="R54" i="12859"/>
  <c r="J54" i="12859"/>
  <c r="T57" i="12859"/>
  <c r="T67" i="12859" s="1"/>
  <c r="O52" i="12859"/>
  <c r="K53" i="12859"/>
  <c r="O54" i="12859"/>
  <c r="P54" i="12859"/>
  <c r="L55" i="12859"/>
  <c r="K367" i="12766"/>
  <c r="D570" i="12766"/>
  <c r="D553" i="12766"/>
  <c r="D571" i="12766"/>
  <c r="D565" i="12766"/>
  <c r="D560" i="12766"/>
  <c r="D555" i="12766"/>
  <c r="D567" i="12766"/>
  <c r="D556" i="12766"/>
  <c r="C576" i="12766"/>
  <c r="D573" i="12766"/>
  <c r="D558" i="12766"/>
  <c r="D552" i="12766"/>
  <c r="D559" i="12766"/>
  <c r="D569" i="12766"/>
  <c r="D568" i="12766"/>
  <c r="K568" i="12766" s="1"/>
  <c r="K500" i="12766" s="1"/>
  <c r="D566" i="12766"/>
  <c r="C506" i="12766"/>
  <c r="C508" i="12766" s="1"/>
  <c r="K893" i="12766"/>
  <c r="K782" i="12766" s="1"/>
  <c r="H893" i="12766"/>
  <c r="G621" i="12787"/>
  <c r="H810" i="12787"/>
  <c r="H782" i="12787" s="1"/>
  <c r="K311" i="12766"/>
  <c r="K282" i="12766" s="1"/>
  <c r="H311" i="12766"/>
  <c r="H282" i="12766" s="1"/>
  <c r="M1024" i="12787"/>
  <c r="K1024" i="12787"/>
  <c r="M1019" i="12787"/>
  <c r="K1019" i="12787"/>
  <c r="K1017" i="12787"/>
  <c r="M1017" i="12787"/>
  <c r="K942" i="12787"/>
  <c r="K982" i="12787"/>
  <c r="P923" i="12766"/>
  <c r="O923" i="12766"/>
  <c r="H23" i="12766"/>
  <c r="M913" i="12787"/>
  <c r="K913" i="12787"/>
  <c r="M918" i="12787"/>
  <c r="K918" i="12787"/>
  <c r="K701" i="12787"/>
  <c r="I720" i="12787"/>
  <c r="K720" i="12787" s="1"/>
  <c r="H429" i="12787"/>
  <c r="H434" i="12787" s="1"/>
  <c r="H436" i="12787" s="1"/>
  <c r="G429" i="12787"/>
  <c r="G434" i="12787" s="1"/>
  <c r="G436" i="12787" s="1"/>
  <c r="G203" i="12766"/>
  <c r="G233" i="12766"/>
  <c r="K1001" i="12787"/>
  <c r="K1030" i="12787" s="1"/>
  <c r="K1032" i="12787" s="1"/>
  <c r="M1001" i="12787"/>
  <c r="M1030" i="12787" s="1"/>
  <c r="S592" i="12766"/>
  <c r="U592" i="12766" s="1"/>
  <c r="G542" i="12787"/>
  <c r="H801" i="12787"/>
  <c r="H773" i="12787" s="1"/>
  <c r="T771" i="12787" s="1"/>
  <c r="I1005" i="12843"/>
  <c r="L1005" i="12843" s="1"/>
  <c r="W768" i="12787"/>
  <c r="U769" i="12787"/>
  <c r="W769" i="12787" s="1"/>
  <c r="K312" i="12766"/>
  <c r="K283" i="12766" s="1"/>
  <c r="D361" i="12787"/>
  <c r="H390" i="12787"/>
  <c r="H361" i="12787" s="1"/>
  <c r="D363" i="12787"/>
  <c r="H392" i="12787"/>
  <c r="H363" i="12787" s="1"/>
  <c r="G286" i="12787"/>
  <c r="G172" i="12787" s="1"/>
  <c r="K754" i="12787"/>
  <c r="K758" i="12787" s="1"/>
  <c r="K760" i="12787" s="1"/>
  <c r="M754" i="12787"/>
  <c r="M758" i="12787" s="1"/>
  <c r="O22" i="12766"/>
  <c r="M22" i="12766"/>
  <c r="D194" i="12766"/>
  <c r="D165" i="12766" s="1"/>
  <c r="M165" i="12766" s="1"/>
  <c r="K250" i="12766"/>
  <c r="K194" i="12766" s="1"/>
  <c r="K165" i="12766" s="1"/>
  <c r="H250" i="12766"/>
  <c r="H194" i="12766" s="1"/>
  <c r="H165" i="12766" s="1"/>
  <c r="K247" i="12766"/>
  <c r="H247" i="12766"/>
  <c r="H940" i="12766"/>
  <c r="H929" i="12766" s="1"/>
  <c r="D929" i="12766"/>
  <c r="M929" i="12766" s="1"/>
  <c r="K940" i="12766"/>
  <c r="K929" i="12766" s="1"/>
  <c r="H616" i="12787"/>
  <c r="K198" i="12766"/>
  <c r="H391" i="12766"/>
  <c r="H362" i="12766" s="1"/>
  <c r="D362" i="12766"/>
  <c r="K267" i="12766"/>
  <c r="H782" i="12766"/>
  <c r="M55" i="12859"/>
  <c r="M52" i="12859"/>
  <c r="N52" i="12859"/>
  <c r="J53" i="12859"/>
  <c r="S53" i="12859"/>
  <c r="J55" i="12859"/>
  <c r="K55" i="12859"/>
  <c r="T55" i="12859"/>
  <c r="G676" i="12787"/>
  <c r="H832" i="12787"/>
  <c r="H804" i="12787" s="1"/>
  <c r="H776" i="12787" s="1"/>
  <c r="G832" i="12787"/>
  <c r="G804" i="12787" s="1"/>
  <c r="G776" i="12787" s="1"/>
  <c r="K356" i="12766"/>
  <c r="K150" i="12766" s="1"/>
  <c r="G843" i="12766"/>
  <c r="G813" i="12766"/>
  <c r="H621" i="12787"/>
  <c r="H304" i="12766"/>
  <c r="H275" i="12766" s="1"/>
  <c r="D275" i="12766"/>
  <c r="H315" i="12766"/>
  <c r="H286" i="12766" s="1"/>
  <c r="K315" i="12766"/>
  <c r="K286" i="12766" s="1"/>
  <c r="M1002" i="12787"/>
  <c r="K1002" i="12787"/>
  <c r="M1026" i="12787"/>
  <c r="K1026" i="12787"/>
  <c r="K1022" i="12787"/>
  <c r="M1022" i="12787"/>
  <c r="M908" i="12787"/>
  <c r="K908" i="12787"/>
  <c r="M911" i="12787"/>
  <c r="K911" i="12787"/>
  <c r="T37" i="12837"/>
  <c r="N44" i="12837"/>
  <c r="T44" i="12837" s="1"/>
  <c r="N46" i="12837"/>
  <c r="T46" i="12837" s="1"/>
  <c r="K727" i="12787"/>
  <c r="K729" i="12787" s="1"/>
  <c r="K582" i="12787"/>
  <c r="K402" i="12766"/>
  <c r="K373" i="12766" s="1"/>
  <c r="H402" i="12766"/>
  <c r="H373" i="12766" s="1"/>
  <c r="F702" i="12843"/>
  <c r="I753" i="12843"/>
  <c r="L753" i="12843" s="1"/>
  <c r="I47" i="12843"/>
  <c r="L47" i="12843" s="1"/>
  <c r="H534" i="12787"/>
  <c r="G534" i="12787"/>
  <c r="O912" i="12766"/>
  <c r="P912" i="12766"/>
  <c r="M1005" i="12787"/>
  <c r="K1005" i="12787"/>
  <c r="M917" i="12787"/>
  <c r="K917" i="12787"/>
  <c r="I288" i="12843"/>
  <c r="L288" i="12843" s="1"/>
  <c r="H797" i="12766"/>
  <c r="H769" i="12766" s="1"/>
  <c r="H841" i="12766"/>
  <c r="G542" i="12766"/>
  <c r="D360" i="12787"/>
  <c r="H389" i="12787"/>
  <c r="H360" i="12787" s="1"/>
  <c r="H942" i="12787"/>
  <c r="H971" i="12787"/>
  <c r="H251" i="12766"/>
  <c r="H195" i="12766" s="1"/>
  <c r="H166" i="12766" s="1"/>
  <c r="K251" i="12766"/>
  <c r="K195" i="12766" s="1"/>
  <c r="K252" i="12766"/>
  <c r="K196" i="12766" s="1"/>
  <c r="H252" i="12766"/>
  <c r="H196" i="12766" s="1"/>
  <c r="D196" i="12766"/>
  <c r="D167" i="12766" s="1"/>
  <c r="M167" i="12766" s="1"/>
  <c r="D928" i="12766"/>
  <c r="M928" i="12766" s="1"/>
  <c r="M931" i="12766" s="1"/>
  <c r="H939" i="12766"/>
  <c r="K939" i="12766"/>
  <c r="H183" i="12787"/>
  <c r="H153" i="12787" s="1"/>
  <c r="T150" i="12787" s="1"/>
  <c r="M785" i="12787"/>
  <c r="D361" i="12766"/>
  <c r="H390" i="12766"/>
  <c r="H361" i="12766" s="1"/>
  <c r="K390" i="12766"/>
  <c r="K361" i="12766" s="1"/>
  <c r="N58" i="12837"/>
  <c r="T58" i="12837" s="1"/>
  <c r="H104" i="12787"/>
  <c r="H89" i="12787"/>
  <c r="H91" i="12787" s="1"/>
  <c r="H591" i="12787"/>
  <c r="T583" i="12787" s="1"/>
  <c r="H267" i="12766"/>
  <c r="I313" i="12766"/>
  <c r="K313" i="12766" s="1"/>
  <c r="K304" i="12766"/>
  <c r="U55" i="12859"/>
  <c r="U52" i="12859"/>
  <c r="Q53" i="12859"/>
  <c r="R53" i="12859"/>
  <c r="N54" i="12859"/>
  <c r="R55" i="12859"/>
  <c r="S55" i="12859"/>
  <c r="J57" i="12859"/>
  <c r="K355" i="12787"/>
  <c r="K149" i="12787" s="1"/>
  <c r="K405" i="12787"/>
  <c r="H841" i="12787"/>
  <c r="H794" i="12787"/>
  <c r="H766" i="12787" s="1"/>
  <c r="T768" i="12787" s="1"/>
  <c r="T769" i="12787" s="1"/>
  <c r="K570" i="12766"/>
  <c r="K502" i="12766" s="1"/>
  <c r="H895" i="12766"/>
  <c r="H784" i="12766" s="1"/>
  <c r="K895" i="12766"/>
  <c r="K784" i="12766" s="1"/>
  <c r="I118" i="12843"/>
  <c r="L118" i="12843" s="1"/>
  <c r="D256" i="12787"/>
  <c r="D252" i="12787"/>
  <c r="D247" i="12787"/>
  <c r="D257" i="12787"/>
  <c r="D258" i="12787"/>
  <c r="D254" i="12787"/>
  <c r="D250" i="12787"/>
  <c r="D243" i="12787"/>
  <c r="D241" i="12787"/>
  <c r="D244" i="12787"/>
  <c r="D255" i="12787"/>
  <c r="D251" i="12787"/>
  <c r="D245" i="12787"/>
  <c r="C261" i="12787"/>
  <c r="D249" i="12787"/>
  <c r="D253" i="12787"/>
  <c r="D246" i="12787"/>
  <c r="C203" i="12787"/>
  <c r="G499" i="12787"/>
  <c r="D274" i="12766"/>
  <c r="H303" i="12766"/>
  <c r="H274" i="12766" s="1"/>
  <c r="K303" i="12766"/>
  <c r="K274" i="12766" s="1"/>
  <c r="H781" i="12766"/>
  <c r="M1014" i="12787"/>
  <c r="K1014" i="12787"/>
  <c r="K1003" i="12787"/>
  <c r="M1003" i="12787"/>
  <c r="M1009" i="12787"/>
  <c r="K1009" i="12787"/>
  <c r="G317" i="12766"/>
  <c r="P92" i="12787"/>
  <c r="O92" i="12787"/>
  <c r="K202" i="12766"/>
  <c r="K17" i="12766"/>
  <c r="M915" i="12787"/>
  <c r="K915" i="12787"/>
  <c r="M919" i="12787"/>
  <c r="K919" i="12787"/>
  <c r="C48" i="12843"/>
  <c r="H16" i="12787"/>
  <c r="H42" i="12787"/>
  <c r="M785" i="12766"/>
  <c r="I425" i="12787"/>
  <c r="K425" i="12787" s="1"/>
  <c r="K414" i="12787"/>
  <c r="K434" i="12787" s="1"/>
  <c r="K436" i="12787" s="1"/>
  <c r="K372" i="12787"/>
  <c r="K170" i="12787" s="1"/>
  <c r="D571" i="12787"/>
  <c r="D565" i="12787"/>
  <c r="D555" i="12787"/>
  <c r="D566" i="12787"/>
  <c r="D556" i="12787"/>
  <c r="D573" i="12787"/>
  <c r="D567" i="12787"/>
  <c r="D558" i="12787"/>
  <c r="D559" i="12787"/>
  <c r="D568" i="12787"/>
  <c r="D500" i="12787" s="1"/>
  <c r="M500" i="12787" s="1"/>
  <c r="D560" i="12787"/>
  <c r="C576" i="12787"/>
  <c r="D569" i="12787"/>
  <c r="D552" i="12787"/>
  <c r="D570" i="12787"/>
  <c r="D553" i="12787"/>
  <c r="C506" i="12787"/>
  <c r="C508" i="12787" s="1"/>
  <c r="K619" i="12787"/>
  <c r="O21" i="12766"/>
  <c r="M21" i="12766"/>
  <c r="K758" i="12766"/>
  <c r="K760" i="12766" s="1"/>
  <c r="C205" i="12766"/>
  <c r="C174" i="12766"/>
  <c r="C176" i="12766" s="1"/>
  <c r="D200" i="12766"/>
  <c r="D171" i="12766" s="1"/>
  <c r="M171" i="12766" s="1"/>
  <c r="K256" i="12766"/>
  <c r="K200" i="12766" s="1"/>
  <c r="K171" i="12766" s="1"/>
  <c r="H256" i="12766"/>
  <c r="H200" i="12766" s="1"/>
  <c r="H171" i="12766" s="1"/>
  <c r="D186" i="12787"/>
  <c r="D153" i="12787"/>
  <c r="H389" i="12766"/>
  <c r="H360" i="12766" s="1"/>
  <c r="D360" i="12766"/>
  <c r="K389" i="12766"/>
  <c r="K360" i="12766" s="1"/>
  <c r="M625" i="12787"/>
  <c r="I342" i="12766"/>
  <c r="K342" i="12766" s="1"/>
  <c r="K333" i="12766"/>
  <c r="K346" i="12766" s="1"/>
  <c r="K348" i="12766" s="1"/>
  <c r="I721" i="12766"/>
  <c r="K721" i="12766" s="1"/>
  <c r="K702" i="12766"/>
  <c r="K600" i="12766" s="1"/>
  <c r="L52" i="12859"/>
  <c r="P53" i="12859"/>
  <c r="L54" i="12859"/>
  <c r="M54" i="12859"/>
  <c r="Q55" i="12859"/>
  <c r="P57" i="12859"/>
  <c r="P67" i="12859" s="1"/>
  <c r="Q57" i="12859"/>
  <c r="Q67" i="12859" s="1"/>
  <c r="R57" i="12859"/>
  <c r="R67" i="12859" s="1"/>
  <c r="G758" i="12787"/>
  <c r="G760" i="12787" s="1"/>
  <c r="G841" i="12787"/>
  <c r="G794" i="12787"/>
  <c r="G766" i="12787" s="1"/>
  <c r="D898" i="12766"/>
  <c r="H884" i="12766"/>
  <c r="H773" i="12766" s="1"/>
  <c r="R777" i="12766" s="1"/>
  <c r="K884" i="12766"/>
  <c r="K773" i="12766" s="1"/>
  <c r="S777" i="12766" s="1"/>
  <c r="U777" i="12766" s="1"/>
  <c r="I163" i="12843"/>
  <c r="L163" i="12843" s="1"/>
  <c r="D781" i="12766"/>
  <c r="M781" i="12766" s="1"/>
  <c r="M1006" i="12787"/>
  <c r="K1006" i="12787"/>
  <c r="M1011" i="12787"/>
  <c r="K1011" i="12787"/>
  <c r="D191" i="12766"/>
  <c r="G346" i="12787"/>
  <c r="G348" i="12787" s="1"/>
  <c r="D202" i="12766"/>
  <c r="D173" i="12766" s="1"/>
  <c r="M173" i="12766" s="1"/>
  <c r="H17" i="12766"/>
  <c r="H1001" i="12766"/>
  <c r="H1003" i="12766" s="1"/>
  <c r="P1000" i="12766" s="1"/>
  <c r="P1001" i="12766" s="1"/>
  <c r="M909" i="12787"/>
  <c r="K909" i="12787"/>
  <c r="K905" i="12787"/>
  <c r="M905" i="12787"/>
  <c r="K502" i="12787"/>
  <c r="H253" i="12766"/>
  <c r="H197" i="12766" s="1"/>
  <c r="H168" i="12766" s="1"/>
  <c r="D197" i="12766"/>
  <c r="D168" i="12766" s="1"/>
  <c r="M168" i="12766" s="1"/>
  <c r="K253" i="12766"/>
  <c r="K197" i="12766" s="1"/>
  <c r="H881" i="12766"/>
  <c r="K881" i="12766"/>
  <c r="K770" i="12766" s="1"/>
  <c r="I150" i="12843"/>
  <c r="L150" i="12843" s="1"/>
  <c r="K506" i="12787"/>
  <c r="K508" i="12787" s="1"/>
  <c r="K542" i="12787"/>
  <c r="D274" i="12787"/>
  <c r="H303" i="12787"/>
  <c r="H274" i="12787" s="1"/>
  <c r="K259" i="12787"/>
  <c r="K261" i="12787" s="1"/>
  <c r="P924" i="12787"/>
  <c r="K676" i="12766"/>
  <c r="G194" i="12787"/>
  <c r="G165" i="12787" s="1"/>
  <c r="I396" i="12787"/>
  <c r="K396" i="12787" s="1"/>
  <c r="K367" i="12787" s="1"/>
  <c r="K385" i="12787"/>
  <c r="G282" i="12787"/>
  <c r="G168" i="12787" s="1"/>
  <c r="G317" i="12787"/>
  <c r="M758" i="12766"/>
  <c r="D770" i="12766"/>
  <c r="M770" i="12766" s="1"/>
  <c r="H393" i="12787"/>
  <c r="H364" i="12787" s="1"/>
  <c r="D364" i="12787"/>
  <c r="K615" i="12787"/>
  <c r="H18" i="12766"/>
  <c r="H246" i="12766"/>
  <c r="H190" i="12766" s="1"/>
  <c r="H161" i="12766" s="1"/>
  <c r="D190" i="12766"/>
  <c r="H244" i="12766"/>
  <c r="H188" i="12766" s="1"/>
  <c r="D188" i="12766"/>
  <c r="K244" i="12766"/>
  <c r="K188" i="12766" s="1"/>
  <c r="K159" i="12766" s="1"/>
  <c r="K366" i="12766"/>
  <c r="K619" i="12766"/>
  <c r="K184" i="12787"/>
  <c r="K154" i="12787" s="1"/>
  <c r="K231" i="12787"/>
  <c r="G505" i="12787"/>
  <c r="C1006" i="12766"/>
  <c r="C1009" i="12766" s="1"/>
  <c r="C1016" i="12766" s="1"/>
  <c r="K393" i="12766"/>
  <c r="K364" i="12766" s="1"/>
  <c r="H393" i="12766"/>
  <c r="H364" i="12766" s="1"/>
  <c r="D364" i="12766"/>
  <c r="G170" i="12787"/>
  <c r="K753" i="12787"/>
  <c r="M753" i="12787"/>
  <c r="H799" i="12766"/>
  <c r="H771" i="12766" s="1"/>
  <c r="R776" i="12766" s="1"/>
  <c r="F1081" i="12843"/>
  <c r="I1081" i="12843" s="1"/>
  <c r="L1081" i="12843" s="1"/>
  <c r="K57" i="12859"/>
  <c r="K67" i="12859" s="1"/>
  <c r="K54" i="12859"/>
  <c r="T54" i="12859"/>
  <c r="U54" i="12859"/>
  <c r="O57" i="12859"/>
  <c r="O67" i="12859" s="1"/>
  <c r="J52" i="12859"/>
  <c r="K52" i="12859"/>
  <c r="B22" i="12837"/>
  <c r="G504" i="12787"/>
  <c r="H891" i="12766"/>
  <c r="H780" i="12766" s="1"/>
  <c r="K891" i="12766"/>
  <c r="K780" i="12766" s="1"/>
  <c r="G608" i="12787"/>
  <c r="M80" i="12766"/>
  <c r="P92" i="12766"/>
  <c r="O92" i="12766"/>
  <c r="H305" i="12766"/>
  <c r="H276" i="12766" s="1"/>
  <c r="D276" i="12766"/>
  <c r="K305" i="12766"/>
  <c r="K276" i="12766" s="1"/>
  <c r="C1020" i="12766"/>
  <c r="K890" i="12766"/>
  <c r="K779" i="12766" s="1"/>
  <c r="M1021" i="12787"/>
  <c r="K1021" i="12787"/>
  <c r="M1018" i="12787"/>
  <c r="K1018" i="12787"/>
  <c r="H191" i="12766"/>
  <c r="H162" i="12766" s="1"/>
  <c r="H231" i="12766"/>
  <c r="K399" i="12766"/>
  <c r="K370" i="12766" s="1"/>
  <c r="H202" i="12766"/>
  <c r="H618" i="12787"/>
  <c r="K488" i="12787"/>
  <c r="U483" i="12787" s="1"/>
  <c r="W483" i="12787" s="1"/>
  <c r="O17" i="12766"/>
  <c r="M17" i="12766"/>
  <c r="K1001" i="12766"/>
  <c r="K1003" i="12766" s="1"/>
  <c r="H400" i="12787"/>
  <c r="H371" i="12787" s="1"/>
  <c r="G400" i="12787"/>
  <c r="G371" i="12787" s="1"/>
  <c r="G169" i="12787" s="1"/>
  <c r="M916" i="12787"/>
  <c r="K916" i="12787"/>
  <c r="K912" i="12787"/>
  <c r="M912" i="12787"/>
  <c r="K491" i="12787"/>
  <c r="I227" i="12766"/>
  <c r="K227" i="12766" s="1"/>
  <c r="K199" i="12766" s="1"/>
  <c r="K218" i="12766"/>
  <c r="K190" i="12766" s="1"/>
  <c r="H309" i="12766"/>
  <c r="H280" i="12766" s="1"/>
  <c r="K309" i="12766"/>
  <c r="K280" i="12766" s="1"/>
  <c r="D273" i="12787"/>
  <c r="H302" i="12787"/>
  <c r="H16" i="12766"/>
  <c r="H42" i="12766"/>
  <c r="G44" i="12787"/>
  <c r="G25" i="12787"/>
  <c r="G27" i="12787" s="1"/>
  <c r="K585" i="12787"/>
  <c r="K676" i="12787"/>
  <c r="O18" i="12766"/>
  <c r="M18" i="12766"/>
  <c r="H255" i="12766"/>
  <c r="H199" i="12766" s="1"/>
  <c r="H170" i="12766" s="1"/>
  <c r="D199" i="12766"/>
  <c r="D170" i="12766" s="1"/>
  <c r="M170" i="12766" s="1"/>
  <c r="D193" i="12766"/>
  <c r="D164" i="12766" s="1"/>
  <c r="M164" i="12766" s="1"/>
  <c r="H249" i="12766"/>
  <c r="H193" i="12766" s="1"/>
  <c r="H164" i="12766" s="1"/>
  <c r="K249" i="12766"/>
  <c r="K193" i="12766" s="1"/>
  <c r="K355" i="12766"/>
  <c r="K149" i="12766" s="1"/>
  <c r="K194" i="12787"/>
  <c r="K165" i="12787" s="1"/>
  <c r="M20" i="12766"/>
  <c r="O20" i="12766"/>
  <c r="H392" i="12766"/>
  <c r="H363" i="12766" s="1"/>
  <c r="D363" i="12766"/>
  <c r="K398" i="12766"/>
  <c r="K369" i="12766" s="1"/>
  <c r="H398" i="12766"/>
  <c r="H369" i="12766" s="1"/>
  <c r="C752" i="12843"/>
  <c r="C701" i="12843" s="1"/>
  <c r="C674" i="12843"/>
  <c r="F729" i="12843"/>
  <c r="K811" i="12787"/>
  <c r="K783" i="12787" s="1"/>
  <c r="I430" i="12766"/>
  <c r="K430" i="12766" s="1"/>
  <c r="K421" i="12766"/>
  <c r="K434" i="12766" s="1"/>
  <c r="K436" i="12766" s="1"/>
  <c r="T52" i="12859"/>
  <c r="S54" i="12859"/>
  <c r="O55" i="12859"/>
  <c r="P55" i="12859"/>
  <c r="Q52" i="12859"/>
  <c r="R52" i="12859"/>
  <c r="H504" i="12787"/>
  <c r="H721" i="12787"/>
  <c r="H727" i="12787" s="1"/>
  <c r="H729" i="12787" s="1"/>
  <c r="G721" i="12787"/>
  <c r="G727" i="12787" s="1"/>
  <c r="G729" i="12787" s="1"/>
  <c r="H777" i="12787"/>
  <c r="K882" i="12766"/>
  <c r="K771" i="12766" s="1"/>
  <c r="S776" i="12766" s="1"/>
  <c r="U776" i="12766" s="1"/>
  <c r="H882" i="12766"/>
  <c r="K268" i="12787"/>
  <c r="K317" i="12787"/>
  <c r="H568" i="12787"/>
  <c r="G568" i="12787"/>
  <c r="G574" i="12787" s="1"/>
  <c r="H608" i="12787"/>
  <c r="K610" i="12787"/>
  <c r="U481" i="12787"/>
  <c r="W481" i="12787" s="1"/>
  <c r="K302" i="12766"/>
  <c r="K273" i="12766" s="1"/>
  <c r="D273" i="12766"/>
  <c r="H302" i="12766"/>
  <c r="H273" i="12766" s="1"/>
  <c r="H316" i="12766"/>
  <c r="H287" i="12766" s="1"/>
  <c r="K316" i="12766"/>
  <c r="K287" i="12766" s="1"/>
  <c r="K397" i="12766"/>
  <c r="K368" i="12766" s="1"/>
  <c r="N12" i="12837"/>
  <c r="M1028" i="12787"/>
  <c r="K1028" i="12787"/>
  <c r="M1025" i="12787"/>
  <c r="K1025" i="12787"/>
  <c r="K191" i="12766"/>
  <c r="H676" i="12787"/>
  <c r="H198" i="12766"/>
  <c r="H169" i="12766" s="1"/>
  <c r="K500" i="12787"/>
  <c r="G574" i="12766"/>
  <c r="G576" i="12766" s="1"/>
  <c r="K391" i="12766"/>
  <c r="K362" i="12766" s="1"/>
  <c r="M1001" i="12766"/>
  <c r="G407" i="12766"/>
  <c r="G376" i="12766"/>
  <c r="G378" i="12766" s="1"/>
  <c r="G362" i="12787"/>
  <c r="G160" i="12787" s="1"/>
  <c r="M910" i="12787"/>
  <c r="K910" i="12787"/>
  <c r="K920" i="12787"/>
  <c r="M920" i="12787"/>
  <c r="G27" i="12783"/>
  <c r="F420" i="12843"/>
  <c r="F184" i="12843" s="1"/>
  <c r="F344" i="12843"/>
  <c r="I573" i="12843"/>
  <c r="F1097" i="12843"/>
  <c r="F112" i="12843"/>
  <c r="F1080" i="12843"/>
  <c r="F836" i="12843"/>
  <c r="I194" i="12843"/>
  <c r="F1123" i="12843"/>
  <c r="I195" i="12843"/>
  <c r="C805" i="12843"/>
  <c r="F180" i="12843"/>
  <c r="G26" i="12783"/>
  <c r="F923" i="12843"/>
  <c r="F925" i="12843" s="1"/>
  <c r="F1021" i="12843"/>
  <c r="G24" i="12783"/>
  <c r="C178" i="12843"/>
  <c r="F839" i="12843"/>
  <c r="F463" i="12843"/>
  <c r="I35" i="12859"/>
  <c r="F35" i="12859" s="1"/>
  <c r="F36" i="12859" s="1"/>
  <c r="G21" i="12783"/>
  <c r="I31" i="12783"/>
  <c r="C858" i="12843"/>
  <c r="F1109" i="12843"/>
  <c r="K38" i="12783"/>
  <c r="C1022" i="12843"/>
  <c r="F36" i="12843"/>
  <c r="F19" i="12843"/>
  <c r="F1041" i="12843"/>
  <c r="C702" i="12843"/>
  <c r="C1071" i="12843"/>
  <c r="C492" i="12843"/>
  <c r="C433" i="12843"/>
  <c r="C434" i="12843" s="1"/>
  <c r="L702" i="12843" l="1"/>
  <c r="S56" i="12859"/>
  <c r="S58" i="12859" s="1"/>
  <c r="B29" i="12783"/>
  <c r="F48" i="12843"/>
  <c r="F375" i="12843"/>
  <c r="F106" i="12843"/>
  <c r="C754" i="12843"/>
  <c r="F1082" i="12843"/>
  <c r="I702" i="12843"/>
  <c r="P766" i="12766"/>
  <c r="S775" i="12766"/>
  <c r="U775" i="12766" s="1"/>
  <c r="P761" i="12787"/>
  <c r="O761" i="12787"/>
  <c r="G576" i="12787"/>
  <c r="G506" i="12787"/>
  <c r="G508" i="12787" s="1"/>
  <c r="T56" i="12859"/>
  <c r="T58" i="12859" s="1"/>
  <c r="T66" i="12859"/>
  <c r="K405" i="12766"/>
  <c r="P27" i="12787"/>
  <c r="H173" i="12766"/>
  <c r="H896" i="12766"/>
  <c r="H898" i="12766" s="1"/>
  <c r="M153" i="12787"/>
  <c r="D156" i="12787"/>
  <c r="H570" i="12787"/>
  <c r="H502" i="12787" s="1"/>
  <c r="D502" i="12787"/>
  <c r="M502" i="12787" s="1"/>
  <c r="H567" i="12787"/>
  <c r="H499" i="12787" s="1"/>
  <c r="D499" i="12787"/>
  <c r="M499" i="12787" s="1"/>
  <c r="H44" i="12787"/>
  <c r="H25" i="12787"/>
  <c r="H27" i="12787" s="1"/>
  <c r="D193" i="12787"/>
  <c r="D164" i="12787" s="1"/>
  <c r="M164" i="12787" s="1"/>
  <c r="H249" i="12787"/>
  <c r="H193" i="12787" s="1"/>
  <c r="H164" i="12787" s="1"/>
  <c r="D194" i="12787"/>
  <c r="D165" i="12787" s="1"/>
  <c r="M165" i="12787" s="1"/>
  <c r="H250" i="12787"/>
  <c r="H194" i="12787" s="1"/>
  <c r="H165" i="12787" s="1"/>
  <c r="U150" i="12787"/>
  <c r="W150" i="12787" s="1"/>
  <c r="H813" i="12766"/>
  <c r="H843" i="12766"/>
  <c r="V55" i="12859"/>
  <c r="K317" i="12766"/>
  <c r="H559" i="12766"/>
  <c r="H491" i="12766" s="1"/>
  <c r="K559" i="12766"/>
  <c r="K491" i="12766" s="1"/>
  <c r="D491" i="12766"/>
  <c r="M491" i="12766" s="1"/>
  <c r="H560" i="12766"/>
  <c r="H492" i="12766" s="1"/>
  <c r="K560" i="12766"/>
  <c r="K492" i="12766" s="1"/>
  <c r="D492" i="12766"/>
  <c r="M492" i="12766" s="1"/>
  <c r="H357" i="12766"/>
  <c r="H151" i="12766" s="1"/>
  <c r="H405" i="12766"/>
  <c r="D158" i="12766"/>
  <c r="M158" i="12766" s="1"/>
  <c r="H542" i="12766"/>
  <c r="H809" i="12787"/>
  <c r="H781" i="12787" s="1"/>
  <c r="G405" i="12787"/>
  <c r="K288" i="12787"/>
  <c r="K290" i="12787" s="1"/>
  <c r="K319" i="12787"/>
  <c r="B23" i="12837"/>
  <c r="F752" i="12843"/>
  <c r="F674" i="12843"/>
  <c r="K56" i="12859"/>
  <c r="K58" i="12859" s="1"/>
  <c r="K66" i="12859"/>
  <c r="D159" i="12766"/>
  <c r="M159" i="12766" s="1"/>
  <c r="K356" i="12787"/>
  <c r="K150" i="12787" s="1"/>
  <c r="D157" i="12787"/>
  <c r="D1048" i="12787" s="1"/>
  <c r="D1049" i="12787"/>
  <c r="H552" i="12787"/>
  <c r="D484" i="12787"/>
  <c r="M484" i="12787" s="1"/>
  <c r="M506" i="12787" s="1"/>
  <c r="H573" i="12787"/>
  <c r="H505" i="12787" s="1"/>
  <c r="D505" i="12787"/>
  <c r="M505" i="12787" s="1"/>
  <c r="H254" i="12787"/>
  <c r="H198" i="12787" s="1"/>
  <c r="H169" i="12787" s="1"/>
  <c r="D198" i="12787"/>
  <c r="D169" i="12787" s="1"/>
  <c r="M169" i="12787" s="1"/>
  <c r="J67" i="12859"/>
  <c r="V67" i="12859" s="1"/>
  <c r="V57" i="12859"/>
  <c r="C35" i="12859" s="1"/>
  <c r="C36" i="12859" s="1"/>
  <c r="K275" i="12766"/>
  <c r="K161" i="12766" s="1"/>
  <c r="H167" i="12766"/>
  <c r="K169" i="12766"/>
  <c r="G619" i="12787"/>
  <c r="H552" i="12766"/>
  <c r="K552" i="12766"/>
  <c r="D484" i="12766"/>
  <c r="M484" i="12766" s="1"/>
  <c r="H565" i="12766"/>
  <c r="H497" i="12766" s="1"/>
  <c r="K565" i="12766"/>
  <c r="K497" i="12766" s="1"/>
  <c r="D497" i="12766"/>
  <c r="M497" i="12766" s="1"/>
  <c r="H158" i="12766"/>
  <c r="K813" i="12766"/>
  <c r="K843" i="12766"/>
  <c r="S66" i="12859"/>
  <c r="K164" i="12766"/>
  <c r="H233" i="12766"/>
  <c r="J56" i="12859"/>
  <c r="V52" i="12859"/>
  <c r="J66" i="12859"/>
  <c r="H159" i="12766"/>
  <c r="K168" i="12766"/>
  <c r="C164" i="12843"/>
  <c r="P761" i="12766"/>
  <c r="O761" i="12766"/>
  <c r="H569" i="12787"/>
  <c r="H501" i="12787" s="1"/>
  <c r="D501" i="12787"/>
  <c r="M501" i="12787" s="1"/>
  <c r="H556" i="12787"/>
  <c r="H488" i="12787" s="1"/>
  <c r="D488" i="12787"/>
  <c r="M488" i="12787" s="1"/>
  <c r="D189" i="12787"/>
  <c r="D160" i="12787" s="1"/>
  <c r="M160" i="12787" s="1"/>
  <c r="H245" i="12787"/>
  <c r="H189" i="12787" s="1"/>
  <c r="H160" i="12787" s="1"/>
  <c r="D202" i="12787"/>
  <c r="D173" i="12787" s="1"/>
  <c r="M173" i="12787" s="1"/>
  <c r="H258" i="12787"/>
  <c r="H202" i="12787" s="1"/>
  <c r="H173" i="12787" s="1"/>
  <c r="K284" i="12766"/>
  <c r="K170" i="12766" s="1"/>
  <c r="K167" i="12766"/>
  <c r="V53" i="12859"/>
  <c r="K558" i="12766"/>
  <c r="K490" i="12766" s="1"/>
  <c r="D576" i="12766"/>
  <c r="H558" i="12766"/>
  <c r="H490" i="12766" s="1"/>
  <c r="S494" i="12766" s="1"/>
  <c r="D490" i="12766"/>
  <c r="H571" i="12766"/>
  <c r="H503" i="12766" s="1"/>
  <c r="D503" i="12766"/>
  <c r="M503" i="12766" s="1"/>
  <c r="K571" i="12766"/>
  <c r="K503" i="12766" s="1"/>
  <c r="K231" i="12766"/>
  <c r="K158" i="12766"/>
  <c r="M25" i="12766"/>
  <c r="K618" i="12787"/>
  <c r="G625" i="12766"/>
  <c r="G627" i="12766" s="1"/>
  <c r="G678" i="12766"/>
  <c r="K172" i="12766"/>
  <c r="H233" i="12787"/>
  <c r="R56" i="12859"/>
  <c r="R58" i="12859" s="1"/>
  <c r="R66" i="12859"/>
  <c r="O1004" i="12766"/>
  <c r="P1004" i="12766"/>
  <c r="D161" i="12766"/>
  <c r="M161" i="12766" s="1"/>
  <c r="D162" i="12766"/>
  <c r="M162" i="12766" s="1"/>
  <c r="G843" i="12787"/>
  <c r="G813" i="12787"/>
  <c r="H566" i="12787"/>
  <c r="H498" i="12787" s="1"/>
  <c r="D498" i="12787"/>
  <c r="M498" i="12787" s="1"/>
  <c r="H251" i="12787"/>
  <c r="H195" i="12787" s="1"/>
  <c r="H166" i="12787" s="1"/>
  <c r="D195" i="12787"/>
  <c r="D166" i="12787" s="1"/>
  <c r="M166" i="12787" s="1"/>
  <c r="D201" i="12787"/>
  <c r="D172" i="12787" s="1"/>
  <c r="M172" i="12787" s="1"/>
  <c r="H257" i="12787"/>
  <c r="H201" i="12787" s="1"/>
  <c r="H172" i="12787" s="1"/>
  <c r="H317" i="12766"/>
  <c r="K166" i="12766"/>
  <c r="N56" i="12859"/>
  <c r="N58" i="12859" s="1"/>
  <c r="N66" i="12859"/>
  <c r="C36" i="12843"/>
  <c r="K573" i="12766"/>
  <c r="K505" i="12766" s="1"/>
  <c r="H573" i="12766"/>
  <c r="H505" i="12766" s="1"/>
  <c r="D505" i="12766"/>
  <c r="M505" i="12766" s="1"/>
  <c r="K553" i="12766"/>
  <c r="K485" i="12766" s="1"/>
  <c r="H553" i="12766"/>
  <c r="H485" i="12766" s="1"/>
  <c r="D485" i="12766"/>
  <c r="M485" i="12766" s="1"/>
  <c r="K160" i="12766"/>
  <c r="R159" i="12766" s="1"/>
  <c r="S168" i="12766" s="1"/>
  <c r="U168" i="12766" s="1"/>
  <c r="D160" i="12766"/>
  <c r="M160" i="12766" s="1"/>
  <c r="K813" i="12787"/>
  <c r="K843" i="12787"/>
  <c r="O23" i="12766"/>
  <c r="O25" i="12766" s="1"/>
  <c r="K599" i="12787"/>
  <c r="Q56" i="12859"/>
  <c r="Q58" i="12859" s="1"/>
  <c r="Q66" i="12859"/>
  <c r="K678" i="12766"/>
  <c r="K625" i="12766"/>
  <c r="K627" i="12766" s="1"/>
  <c r="P509" i="12787"/>
  <c r="O509" i="12787"/>
  <c r="O511" i="12787" s="1"/>
  <c r="L56" i="12859"/>
  <c r="L58" i="12859" s="1"/>
  <c r="L66" i="12859"/>
  <c r="H560" i="12787"/>
  <c r="H492" i="12787" s="1"/>
  <c r="D492" i="12787"/>
  <c r="M492" i="12787" s="1"/>
  <c r="H555" i="12787"/>
  <c r="H487" i="12787" s="1"/>
  <c r="T483" i="12787" s="1"/>
  <c r="D487" i="12787"/>
  <c r="M487" i="12787" s="1"/>
  <c r="K173" i="12766"/>
  <c r="H255" i="12787"/>
  <c r="H199" i="12787" s="1"/>
  <c r="H170" i="12787" s="1"/>
  <c r="D199" i="12787"/>
  <c r="D170" i="12787" s="1"/>
  <c r="M170" i="12787" s="1"/>
  <c r="H247" i="12787"/>
  <c r="H191" i="12787" s="1"/>
  <c r="H162" i="12787" s="1"/>
  <c r="D191" i="12787"/>
  <c r="D162" i="12787" s="1"/>
  <c r="M162" i="12787" s="1"/>
  <c r="G500" i="12787"/>
  <c r="G678" i="12787"/>
  <c r="G625" i="12787"/>
  <c r="G627" i="12787" s="1"/>
  <c r="M56" i="12859"/>
  <c r="M58" i="12859" s="1"/>
  <c r="M66" i="12859"/>
  <c r="D502" i="12766"/>
  <c r="M502" i="12766" s="1"/>
  <c r="H570" i="12766"/>
  <c r="H502" i="12766" s="1"/>
  <c r="H160" i="12766"/>
  <c r="H619" i="12787"/>
  <c r="K727" i="12766"/>
  <c r="K729" i="12766" s="1"/>
  <c r="K363" i="12766"/>
  <c r="H172" i="12766"/>
  <c r="H770" i="12766"/>
  <c r="R775" i="12766" s="1"/>
  <c r="H44" i="12766"/>
  <c r="H25" i="12766"/>
  <c r="H27" i="12766" s="1"/>
  <c r="Q917" i="12787"/>
  <c r="R917" i="12787" s="1"/>
  <c r="Q910" i="12787"/>
  <c r="R910" i="12787" s="1"/>
  <c r="Q916" i="12787"/>
  <c r="R916" i="12787" s="1"/>
  <c r="Q909" i="12787"/>
  <c r="R909" i="12787" s="1"/>
  <c r="Q915" i="12787"/>
  <c r="R915" i="12787" s="1"/>
  <c r="Q908" i="12787"/>
  <c r="R908" i="12787" s="1"/>
  <c r="Q913" i="12787"/>
  <c r="R913" i="12787" s="1"/>
  <c r="Q907" i="12787"/>
  <c r="R907" i="12787" s="1"/>
  <c r="Q921" i="12787"/>
  <c r="R921" i="12787" s="1"/>
  <c r="Q906" i="12787"/>
  <c r="R906" i="12787" s="1"/>
  <c r="Q920" i="12787"/>
  <c r="R920" i="12787" s="1"/>
  <c r="Q912" i="12787"/>
  <c r="R912" i="12787" s="1"/>
  <c r="Q905" i="12787"/>
  <c r="R905" i="12787" s="1"/>
  <c r="Q919" i="12787"/>
  <c r="R919" i="12787" s="1"/>
  <c r="Q911" i="12787"/>
  <c r="R911" i="12787" s="1"/>
  <c r="Q904" i="12787"/>
  <c r="R904" i="12787" s="1"/>
  <c r="Q918" i="12787"/>
  <c r="R918" i="12787" s="1"/>
  <c r="Q976" i="12766"/>
  <c r="R976" i="12766" s="1"/>
  <c r="Q974" i="12766"/>
  <c r="R974" i="12766" s="1"/>
  <c r="Q999" i="12766"/>
  <c r="R999" i="12766" s="1"/>
  <c r="Q973" i="12766"/>
  <c r="R973" i="12766" s="1"/>
  <c r="Q997" i="12766"/>
  <c r="R997" i="12766" s="1"/>
  <c r="Q996" i="12766"/>
  <c r="R996" i="12766" s="1"/>
  <c r="Q972" i="12766"/>
  <c r="R972" i="12766" s="1"/>
  <c r="Q995" i="12766"/>
  <c r="R995" i="12766" s="1"/>
  <c r="Q993" i="12766"/>
  <c r="R993" i="12766" s="1"/>
  <c r="Q992" i="12766"/>
  <c r="R992" i="12766" s="1"/>
  <c r="Q990" i="12766"/>
  <c r="R990" i="12766" s="1"/>
  <c r="Q989" i="12766"/>
  <c r="R989" i="12766" s="1"/>
  <c r="Q988" i="12766"/>
  <c r="R988" i="12766" s="1"/>
  <c r="Q985" i="12766"/>
  <c r="R985" i="12766" s="1"/>
  <c r="Q984" i="12766"/>
  <c r="R984" i="12766" s="1"/>
  <c r="Q982" i="12766"/>
  <c r="R982" i="12766" s="1"/>
  <c r="Q981" i="12766"/>
  <c r="R981" i="12766" s="1"/>
  <c r="Q980" i="12766"/>
  <c r="R980" i="12766" s="1"/>
  <c r="Q977" i="12766"/>
  <c r="R977" i="12766" s="1"/>
  <c r="H565" i="12787"/>
  <c r="H497" i="12787" s="1"/>
  <c r="D497" i="12787"/>
  <c r="M497" i="12787" s="1"/>
  <c r="C174" i="12787"/>
  <c r="C176" i="12787" s="1"/>
  <c r="C1035" i="12787" s="1"/>
  <c r="C1038" i="12787" s="1"/>
  <c r="C1045" i="12787" s="1"/>
  <c r="C205" i="12787"/>
  <c r="H244" i="12787"/>
  <c r="H188" i="12787" s="1"/>
  <c r="H159" i="12787" s="1"/>
  <c r="D188" i="12787"/>
  <c r="D159" i="12787" s="1"/>
  <c r="M159" i="12787" s="1"/>
  <c r="D196" i="12787"/>
  <c r="D167" i="12787" s="1"/>
  <c r="M167" i="12787" s="1"/>
  <c r="H252" i="12787"/>
  <c r="H196" i="12787" s="1"/>
  <c r="H167" i="12787" s="1"/>
  <c r="K942" i="12766"/>
  <c r="K928" i="12766"/>
  <c r="H945" i="12787"/>
  <c r="H947" i="12787" s="1"/>
  <c r="H973" i="12787"/>
  <c r="G506" i="12766"/>
  <c r="G508" i="12766" s="1"/>
  <c r="F164" i="12843"/>
  <c r="H500" i="12787"/>
  <c r="B24" i="12837"/>
  <c r="C76" i="12843"/>
  <c r="P1033" i="12787"/>
  <c r="O1033" i="12787"/>
  <c r="H566" i="12766"/>
  <c r="H498" i="12766" s="1"/>
  <c r="K566" i="12766"/>
  <c r="K498" i="12766" s="1"/>
  <c r="D498" i="12766"/>
  <c r="M498" i="12766" s="1"/>
  <c r="D488" i="12766"/>
  <c r="M488" i="12766" s="1"/>
  <c r="H556" i="12766"/>
  <c r="H488" i="12766" s="1"/>
  <c r="K556" i="12766"/>
  <c r="K488" i="12766" s="1"/>
  <c r="O56" i="12859"/>
  <c r="O58" i="12859" s="1"/>
  <c r="O66" i="12859"/>
  <c r="K372" i="12766"/>
  <c r="K259" i="12766"/>
  <c r="K261" i="12766" s="1"/>
  <c r="K183" i="12766"/>
  <c r="K153" i="12766" s="1"/>
  <c r="S166" i="12766" s="1"/>
  <c r="U166" i="12766" s="1"/>
  <c r="G205" i="12787"/>
  <c r="H678" i="12787"/>
  <c r="H625" i="12787"/>
  <c r="H627" i="12787" s="1"/>
  <c r="K678" i="12787"/>
  <c r="K625" i="12787"/>
  <c r="K627" i="12787" s="1"/>
  <c r="H559" i="12787"/>
  <c r="H491" i="12787" s="1"/>
  <c r="D491" i="12787"/>
  <c r="M491" i="12787" s="1"/>
  <c r="H571" i="12787"/>
  <c r="H503" i="12787" s="1"/>
  <c r="D503" i="12787"/>
  <c r="M503" i="12787" s="1"/>
  <c r="H246" i="12787"/>
  <c r="H190" i="12787" s="1"/>
  <c r="H161" i="12787" s="1"/>
  <c r="D190" i="12787"/>
  <c r="D161" i="12787" s="1"/>
  <c r="M161" i="12787" s="1"/>
  <c r="H241" i="12787"/>
  <c r="D185" i="12787"/>
  <c r="D155" i="12787" s="1"/>
  <c r="M155" i="12787" s="1"/>
  <c r="H256" i="12787"/>
  <c r="H200" i="12787" s="1"/>
  <c r="H171" i="12787" s="1"/>
  <c r="D200" i="12787"/>
  <c r="D171" i="12787" s="1"/>
  <c r="M171" i="12787" s="1"/>
  <c r="H843" i="12787"/>
  <c r="H813" i="12787"/>
  <c r="H942" i="12766"/>
  <c r="H928" i="12766"/>
  <c r="U583" i="12787"/>
  <c r="W583" i="12787" s="1"/>
  <c r="D500" i="12766"/>
  <c r="M500" i="12766" s="1"/>
  <c r="H568" i="12766"/>
  <c r="H500" i="12766" s="1"/>
  <c r="H567" i="12766"/>
  <c r="H499" i="12766" s="1"/>
  <c r="K567" i="12766"/>
  <c r="K499" i="12766" s="1"/>
  <c r="D499" i="12766"/>
  <c r="M499" i="12766" s="1"/>
  <c r="K542" i="12766"/>
  <c r="H625" i="12766"/>
  <c r="H627" i="12766" s="1"/>
  <c r="H678" i="12766"/>
  <c r="P56" i="12859"/>
  <c r="P58" i="12859" s="1"/>
  <c r="P66" i="12859"/>
  <c r="D186" i="12766"/>
  <c r="D153" i="12766"/>
  <c r="K44" i="12766"/>
  <c r="K25" i="12766"/>
  <c r="K27" i="12766" s="1"/>
  <c r="K162" i="12766"/>
  <c r="F76" i="12843"/>
  <c r="I91" i="12843"/>
  <c r="L91" i="12843" s="1"/>
  <c r="L76" i="12843" s="1"/>
  <c r="H273" i="12787"/>
  <c r="H317" i="12787"/>
  <c r="K233" i="12787"/>
  <c r="K203" i="12787"/>
  <c r="G288" i="12787"/>
  <c r="G290" i="12787" s="1"/>
  <c r="G319" i="12787"/>
  <c r="K896" i="12766"/>
  <c r="K898" i="12766" s="1"/>
  <c r="H553" i="12787"/>
  <c r="H485" i="12787" s="1"/>
  <c r="D485" i="12787"/>
  <c r="M485" i="12787" s="1"/>
  <c r="D576" i="12787"/>
  <c r="H558" i="12787"/>
  <c r="H490" i="12787" s="1"/>
  <c r="T482" i="12787" s="1"/>
  <c r="D490" i="12787"/>
  <c r="G319" i="12766"/>
  <c r="G288" i="12766"/>
  <c r="G290" i="12766" s="1"/>
  <c r="D197" i="12787"/>
  <c r="D168" i="12787" s="1"/>
  <c r="M168" i="12787" s="1"/>
  <c r="H253" i="12787"/>
  <c r="H197" i="12787" s="1"/>
  <c r="H168" i="12787" s="1"/>
  <c r="H243" i="12787"/>
  <c r="H187" i="12787" s="1"/>
  <c r="H158" i="12787" s="1"/>
  <c r="D187" i="12787"/>
  <c r="D158" i="12787" s="1"/>
  <c r="M158" i="12787" s="1"/>
  <c r="K376" i="12787"/>
  <c r="K378" i="12787" s="1"/>
  <c r="K407" i="12787"/>
  <c r="U56" i="12859"/>
  <c r="U58" i="12859" s="1"/>
  <c r="U66" i="12859"/>
  <c r="G815" i="12766"/>
  <c r="G785" i="12766"/>
  <c r="G787" i="12766" s="1"/>
  <c r="G205" i="12766"/>
  <c r="G174" i="12766"/>
  <c r="G176" i="12766" s="1"/>
  <c r="K984" i="12787"/>
  <c r="K945" i="12787"/>
  <c r="K947" i="12787" s="1"/>
  <c r="O953" i="12787" s="1"/>
  <c r="D501" i="12766"/>
  <c r="M501" i="12766" s="1"/>
  <c r="H569" i="12766"/>
  <c r="H501" i="12766" s="1"/>
  <c r="K569" i="12766"/>
  <c r="K501" i="12766" s="1"/>
  <c r="H555" i="12766"/>
  <c r="H487" i="12766" s="1"/>
  <c r="D487" i="12766"/>
  <c r="M487" i="12766" s="1"/>
  <c r="K555" i="12766"/>
  <c r="K487" i="12766" s="1"/>
  <c r="V54" i="12859"/>
  <c r="H357" i="12787"/>
  <c r="H151" i="12787" s="1"/>
  <c r="H405" i="12787"/>
  <c r="P12" i="12837"/>
  <c r="O926" i="12787"/>
  <c r="P926" i="12787"/>
  <c r="H259" i="12766"/>
  <c r="H261" i="12766" s="1"/>
  <c r="H183" i="12766"/>
  <c r="H153" i="12766" s="1"/>
  <c r="R166" i="12766" s="1"/>
  <c r="F595" i="12843"/>
  <c r="F557" i="12843" s="1"/>
  <c r="C557" i="12843"/>
  <c r="C906" i="12843"/>
  <c r="C904" i="12843" s="1"/>
  <c r="C882" i="12843"/>
  <c r="C886" i="12843" s="1"/>
  <c r="F86" i="12843"/>
  <c r="F85" i="12843"/>
  <c r="K31" i="12783"/>
  <c r="C117" i="12843"/>
  <c r="C119" i="12843" s="1"/>
  <c r="F144" i="12843"/>
  <c r="C66" i="12843"/>
  <c r="F274" i="12843"/>
  <c r="C703" i="12843"/>
  <c r="F1022" i="12843"/>
  <c r="F985" i="12843"/>
  <c r="F1024" i="12843" s="1"/>
  <c r="F903" i="12843"/>
  <c r="C883" i="12843"/>
  <c r="C838" i="12843"/>
  <c r="G29" i="12783"/>
  <c r="I36" i="12859"/>
  <c r="C1081" i="12843"/>
  <c r="C1082" i="12843" s="1"/>
  <c r="C1097" i="12843"/>
  <c r="C231" i="12843"/>
  <c r="C317" i="12843"/>
  <c r="C1109" i="12843"/>
  <c r="C1045" i="12843"/>
  <c r="C404" i="12843"/>
  <c r="C345" i="12843"/>
  <c r="C346" i="12843" s="1"/>
  <c r="C576" i="12843"/>
  <c r="C574" i="12843"/>
  <c r="C647" i="12843"/>
  <c r="I38" i="12783"/>
  <c r="C1026" i="12843"/>
  <c r="C986" i="12843"/>
  <c r="C926" i="12843"/>
  <c r="C20" i="12843"/>
  <c r="C21" i="12843" s="1"/>
  <c r="C60" i="12843"/>
  <c r="C830" i="12843"/>
  <c r="B30" i="12783" l="1"/>
  <c r="K39" i="12783"/>
  <c r="C821" i="12843"/>
  <c r="F882" i="12843"/>
  <c r="Q161" i="12766"/>
  <c r="M630" i="12766"/>
  <c r="O628" i="12766"/>
  <c r="O630" i="12766" s="1"/>
  <c r="P628" i="12766"/>
  <c r="G785" i="12787"/>
  <c r="G787" i="12787" s="1"/>
  <c r="G815" i="12787"/>
  <c r="R12" i="12837"/>
  <c r="K174" i="12787"/>
  <c r="K176" i="12787" s="1"/>
  <c r="K205" i="12787"/>
  <c r="H185" i="12787"/>
  <c r="H155" i="12787" s="1"/>
  <c r="T151" i="12787" s="1"/>
  <c r="H259" i="12787"/>
  <c r="H319" i="12766"/>
  <c r="H288" i="12766"/>
  <c r="H290" i="12766" s="1"/>
  <c r="H203" i="12766"/>
  <c r="K815" i="12766"/>
  <c r="K785" i="12766"/>
  <c r="K787" i="12766" s="1"/>
  <c r="M174" i="12787"/>
  <c r="I76" i="12843"/>
  <c r="M153" i="12766"/>
  <c r="M174" i="12766" s="1"/>
  <c r="D156" i="12766"/>
  <c r="Q159" i="12766"/>
  <c r="R168" i="12766" s="1"/>
  <c r="R169" i="12766"/>
  <c r="K574" i="12766"/>
  <c r="K484" i="12766"/>
  <c r="K319" i="12766"/>
  <c r="K288" i="12766"/>
  <c r="K290" i="12766" s="1"/>
  <c r="B25" i="12837"/>
  <c r="I17" i="12787"/>
  <c r="I18" i="12787"/>
  <c r="I20" i="12787"/>
  <c r="I21" i="12787"/>
  <c r="I22" i="12787"/>
  <c r="I16" i="12787"/>
  <c r="T495" i="12766"/>
  <c r="V495" i="12766" s="1"/>
  <c r="G1006" i="12766"/>
  <c r="G1009" i="12766" s="1"/>
  <c r="G1016" i="12766" s="1"/>
  <c r="D157" i="12766"/>
  <c r="D1019" i="12766" s="1"/>
  <c r="D1020" i="12766"/>
  <c r="H931" i="12766"/>
  <c r="H933" i="12766" s="1"/>
  <c r="H944" i="12766"/>
  <c r="Q159" i="12787"/>
  <c r="T152" i="12787" s="1"/>
  <c r="H574" i="12766"/>
  <c r="H484" i="12766"/>
  <c r="T12" i="12837"/>
  <c r="V12" i="12837" s="1"/>
  <c r="H376" i="12787"/>
  <c r="H378" i="12787" s="1"/>
  <c r="H407" i="12787"/>
  <c r="O28" i="12766"/>
  <c r="O29" i="12766" s="1"/>
  <c r="P28" i="12766"/>
  <c r="H785" i="12787"/>
  <c r="H787" i="12787" s="1"/>
  <c r="H815" i="12787"/>
  <c r="P628" i="12787"/>
  <c r="O628" i="12787"/>
  <c r="O630" i="12787" s="1"/>
  <c r="M490" i="12766"/>
  <c r="M506" i="12766" s="1"/>
  <c r="D508" i="12766"/>
  <c r="D1006" i="12766" s="1"/>
  <c r="D1009" i="12766" s="1"/>
  <c r="D1016" i="12766" s="1"/>
  <c r="K407" i="12766"/>
  <c r="K376" i="12766"/>
  <c r="K378" i="12766" s="1"/>
  <c r="H288" i="12787"/>
  <c r="H290" i="12787" s="1"/>
  <c r="H319" i="12787"/>
  <c r="C941" i="12843"/>
  <c r="C863" i="12843" s="1"/>
  <c r="C843" i="12843" s="1"/>
  <c r="S495" i="12766"/>
  <c r="M490" i="12787"/>
  <c r="D508" i="12787"/>
  <c r="D1035" i="12787" s="1"/>
  <c r="D1038" i="12787" s="1"/>
  <c r="D1045" i="12787" s="1"/>
  <c r="P20" i="12766"/>
  <c r="P18" i="12766"/>
  <c r="P22" i="12766"/>
  <c r="P17" i="12766"/>
  <c r="P21" i="12766"/>
  <c r="P16" i="12766"/>
  <c r="S169" i="12766"/>
  <c r="U169" i="12766" s="1"/>
  <c r="V66" i="12859"/>
  <c r="R159" i="12787"/>
  <c r="F701" i="12843"/>
  <c r="F703" i="12843" s="1"/>
  <c r="F754" i="12843"/>
  <c r="G407" i="12787"/>
  <c r="G376" i="12787"/>
  <c r="G378" i="12787" s="1"/>
  <c r="H376" i="12766"/>
  <c r="H378" i="12766" s="1"/>
  <c r="H407" i="12766"/>
  <c r="K931" i="12766"/>
  <c r="K933" i="12766" s="1"/>
  <c r="K944" i="12766"/>
  <c r="K203" i="12766"/>
  <c r="K233" i="12766"/>
  <c r="K785" i="12787"/>
  <c r="K787" i="12787" s="1"/>
  <c r="K815" i="12787"/>
  <c r="T494" i="12766"/>
  <c r="V494" i="12766" s="1"/>
  <c r="V56" i="12859"/>
  <c r="C22" i="12859" s="1"/>
  <c r="J58" i="12859"/>
  <c r="V58" i="12859" s="1"/>
  <c r="T153" i="12787"/>
  <c r="H574" i="12787"/>
  <c r="H484" i="12787"/>
  <c r="H785" i="12766"/>
  <c r="H787" i="12766" s="1"/>
  <c r="H815" i="12766"/>
  <c r="C966" i="12843"/>
  <c r="C1004" i="12843" s="1"/>
  <c r="C1006" i="12843" s="1"/>
  <c r="F596" i="12843"/>
  <c r="C215" i="12843"/>
  <c r="C181" i="12843" s="1"/>
  <c r="F90" i="12843"/>
  <c r="C611" i="12843"/>
  <c r="C558" i="12843"/>
  <c r="C90" i="12843"/>
  <c r="C92" i="12843" s="1"/>
  <c r="C71" i="12843"/>
  <c r="F113" i="12843"/>
  <c r="F117" i="12843" s="1"/>
  <c r="C149" i="12843"/>
  <c r="C151" i="12843" s="1"/>
  <c r="F273" i="12843"/>
  <c r="F66" i="12843"/>
  <c r="F145" i="12843"/>
  <c r="C1000" i="12843"/>
  <c r="C67" i="12843"/>
  <c r="F244" i="12843"/>
  <c r="C287" i="12843"/>
  <c r="C289" i="12843" s="1"/>
  <c r="C216" i="12843"/>
  <c r="F243" i="12843"/>
  <c r="F245" i="12843"/>
  <c r="F217" i="12843" s="1"/>
  <c r="C217" i="12843"/>
  <c r="C258" i="12843"/>
  <c r="C260" i="12843" s="1"/>
  <c r="F272" i="12843"/>
  <c r="I27" i="12783"/>
  <c r="C1001" i="12843"/>
  <c r="F1001" i="12843"/>
  <c r="C942" i="12843"/>
  <c r="G34" i="12783"/>
  <c r="G44" i="12783" s="1"/>
  <c r="G48" i="12783" s="1"/>
  <c r="I829" i="12843"/>
  <c r="L829" i="12843" s="1"/>
  <c r="F904" i="12843"/>
  <c r="F906" i="12843" s="1"/>
  <c r="C884" i="12843"/>
  <c r="F883" i="12843"/>
  <c r="I39" i="12783"/>
  <c r="I37" i="12783"/>
  <c r="C200" i="12843"/>
  <c r="I28" i="12783"/>
  <c r="C987" i="12843"/>
  <c r="C927" i="12843"/>
  <c r="I30" i="12783"/>
  <c r="F942" i="12843" l="1"/>
  <c r="F183" i="12843"/>
  <c r="C182" i="12843"/>
  <c r="C183" i="12843"/>
  <c r="B31" i="12783"/>
  <c r="B34" i="12783" s="1"/>
  <c r="B37" i="12783" s="1"/>
  <c r="B38" i="12783" s="1"/>
  <c r="B39" i="12783" s="1"/>
  <c r="B42" i="12783" s="1"/>
  <c r="B44" i="12783" s="1"/>
  <c r="B46" i="12783" s="1"/>
  <c r="B48" i="12783" s="1"/>
  <c r="F941" i="12843"/>
  <c r="F863" i="12843" s="1"/>
  <c r="F843" i="12843" s="1"/>
  <c r="C945" i="12843"/>
  <c r="C867" i="12843" s="1"/>
  <c r="C847" i="12843" s="1"/>
  <c r="C964" i="12843"/>
  <c r="C943" i="12843" s="1"/>
  <c r="F821" i="12843"/>
  <c r="C822" i="12843"/>
  <c r="P480" i="12787"/>
  <c r="T481" i="12787"/>
  <c r="P816" i="12787"/>
  <c r="O816" i="12787"/>
  <c r="K27" i="12783"/>
  <c r="S493" i="12766"/>
  <c r="X480" i="12766"/>
  <c r="I52" i="12787"/>
  <c r="K52" i="12787" s="1"/>
  <c r="I69" i="12787"/>
  <c r="K69" i="12787" s="1"/>
  <c r="I35" i="12787"/>
  <c r="K35" i="12787" s="1"/>
  <c r="K18" i="12787" s="1"/>
  <c r="M18" i="12787"/>
  <c r="K576" i="12766"/>
  <c r="K506" i="12766"/>
  <c r="K508" i="12766" s="1"/>
  <c r="G174" i="12787"/>
  <c r="G176" i="12787" s="1"/>
  <c r="G1035" i="12787" s="1"/>
  <c r="G1038" i="12787" s="1"/>
  <c r="G1045" i="12787" s="1"/>
  <c r="H576" i="12787"/>
  <c r="H506" i="12787"/>
  <c r="H508" i="12787" s="1"/>
  <c r="O788" i="12787"/>
  <c r="P788" i="12787"/>
  <c r="R16" i="12766"/>
  <c r="Q16" i="12766"/>
  <c r="H576" i="12766"/>
  <c r="H506" i="12766"/>
  <c r="H508" i="12766" s="1"/>
  <c r="I68" i="12787"/>
  <c r="K68" i="12787" s="1"/>
  <c r="I34" i="12787"/>
  <c r="K34" i="12787" s="1"/>
  <c r="M17" i="12787"/>
  <c r="I51" i="12787"/>
  <c r="K51" i="12787" s="1"/>
  <c r="P934" i="12766"/>
  <c r="O934" i="12766"/>
  <c r="O936" i="12766" s="1"/>
  <c r="U152" i="12787"/>
  <c r="W152" i="12787" s="1"/>
  <c r="U153" i="12787"/>
  <c r="W153" i="12787" s="1"/>
  <c r="Q161" i="12787"/>
  <c r="R21" i="12766"/>
  <c r="Q21" i="12766"/>
  <c r="B26" i="12837"/>
  <c r="H261" i="12787"/>
  <c r="H203" i="12787"/>
  <c r="R17" i="12766"/>
  <c r="Q17" i="12766"/>
  <c r="O788" i="12766"/>
  <c r="O790" i="12766" s="1"/>
  <c r="P788" i="12766"/>
  <c r="R22" i="12766"/>
  <c r="Q22" i="12766"/>
  <c r="I67" i="12787"/>
  <c r="K67" i="12787" s="1"/>
  <c r="K76" i="12787" s="1"/>
  <c r="K78" i="12787" s="1"/>
  <c r="I33" i="12787"/>
  <c r="K33" i="12787" s="1"/>
  <c r="M16" i="12787"/>
  <c r="M25" i="12787" s="1"/>
  <c r="I50" i="12787"/>
  <c r="K50" i="12787" s="1"/>
  <c r="K59" i="12787" s="1"/>
  <c r="K61" i="12787" s="1"/>
  <c r="R18" i="12766"/>
  <c r="Q18" i="12766"/>
  <c r="M22" i="12787"/>
  <c r="I56" i="12787"/>
  <c r="K56" i="12787" s="1"/>
  <c r="I73" i="12787"/>
  <c r="K73" i="12787" s="1"/>
  <c r="I39" i="12787"/>
  <c r="K39" i="12787" s="1"/>
  <c r="R20" i="12766"/>
  <c r="Q20" i="12766"/>
  <c r="M21" i="12787"/>
  <c r="I55" i="12787"/>
  <c r="K55" i="12787" s="1"/>
  <c r="I72" i="12787"/>
  <c r="K72" i="12787" s="1"/>
  <c r="I38" i="12787"/>
  <c r="K38" i="12787" s="1"/>
  <c r="K21" i="12787" s="1"/>
  <c r="H205" i="12766"/>
  <c r="H174" i="12766"/>
  <c r="H176" i="12766" s="1"/>
  <c r="H1006" i="12766" s="1"/>
  <c r="H1009" i="12766" s="1"/>
  <c r="H1016" i="12766" s="1"/>
  <c r="O177" i="12787"/>
  <c r="P177" i="12787"/>
  <c r="K205" i="12766"/>
  <c r="K174" i="12766"/>
  <c r="K176" i="12766" s="1"/>
  <c r="M20" i="12787"/>
  <c r="I54" i="12787"/>
  <c r="K54" i="12787" s="1"/>
  <c r="I71" i="12787"/>
  <c r="K71" i="12787" s="1"/>
  <c r="I37" i="12787"/>
  <c r="K37" i="12787" s="1"/>
  <c r="K20" i="12787" s="1"/>
  <c r="P480" i="12766"/>
  <c r="X481" i="12766"/>
  <c r="T493" i="12766"/>
  <c r="V493" i="12766" s="1"/>
  <c r="C907" i="12843"/>
  <c r="C908" i="12843" s="1"/>
  <c r="C967" i="12843"/>
  <c r="C968" i="12843" s="1"/>
  <c r="F216" i="12843"/>
  <c r="F287" i="12843"/>
  <c r="F289" i="12843" s="1"/>
  <c r="F92" i="12843"/>
  <c r="F558" i="12843"/>
  <c r="F611" i="12843"/>
  <c r="C573" i="12843"/>
  <c r="C613" i="12843"/>
  <c r="C575" i="12843"/>
  <c r="F67" i="12843"/>
  <c r="C75" i="12843"/>
  <c r="F258" i="12843"/>
  <c r="F149" i="12843"/>
  <c r="F75" i="12843" s="1"/>
  <c r="F77" i="12843" s="1"/>
  <c r="C72" i="12843"/>
  <c r="C230" i="12843"/>
  <c r="C199" i="12843" s="1"/>
  <c r="F215" i="12843"/>
  <c r="F181" i="12843" s="1"/>
  <c r="F119" i="12843"/>
  <c r="I697" i="12843"/>
  <c r="C864" i="12843"/>
  <c r="F864" i="12843"/>
  <c r="F844" i="12843" s="1"/>
  <c r="I696" i="12843"/>
  <c r="F404" i="12843"/>
  <c r="F345" i="12843"/>
  <c r="I403" i="12843"/>
  <c r="L403" i="12843" s="1"/>
  <c r="F884" i="12843"/>
  <c r="F886" i="12843" s="1"/>
  <c r="F492" i="12843"/>
  <c r="I491" i="12843"/>
  <c r="L491" i="12843" s="1"/>
  <c r="F433" i="12843"/>
  <c r="I316" i="12843"/>
  <c r="L316" i="12843" s="1"/>
  <c r="F317" i="12843"/>
  <c r="F231" i="12843"/>
  <c r="F20" i="12843"/>
  <c r="I59" i="12843"/>
  <c r="L59" i="12843" s="1"/>
  <c r="F60" i="12843"/>
  <c r="I1044" i="12843"/>
  <c r="L1044" i="12843" s="1"/>
  <c r="F647" i="12843"/>
  <c r="I646" i="12843"/>
  <c r="L646" i="12843" s="1"/>
  <c r="F576" i="12843"/>
  <c r="F926" i="12843"/>
  <c r="I1025" i="12843"/>
  <c r="L1025" i="12843" s="1"/>
  <c r="F1026" i="12843"/>
  <c r="F986" i="12843"/>
  <c r="I42" i="12783"/>
  <c r="C577" i="12843" l="1"/>
  <c r="C201" i="12843"/>
  <c r="C77" i="12843"/>
  <c r="I18" i="12783" s="1"/>
  <c r="I21" i="12783" s="1"/>
  <c r="F964" i="12843"/>
  <c r="F1002" i="12843" s="1"/>
  <c r="F943" i="12843"/>
  <c r="F945" i="12843" s="1"/>
  <c r="F867" i="12843" s="1"/>
  <c r="C1002" i="12843"/>
  <c r="F182" i="12843"/>
  <c r="I26" i="12783"/>
  <c r="C946" i="12843"/>
  <c r="C947" i="12843" s="1"/>
  <c r="F822" i="12843"/>
  <c r="K18" i="12783"/>
  <c r="K21" i="12783" s="1"/>
  <c r="I730" i="12843"/>
  <c r="I749" i="12843"/>
  <c r="I781" i="12843"/>
  <c r="I800" i="12843"/>
  <c r="C887" i="12843"/>
  <c r="C888" i="12843" s="1"/>
  <c r="K42" i="12787"/>
  <c r="K16" i="12787"/>
  <c r="K17" i="12787"/>
  <c r="H205" i="12787"/>
  <c r="H174" i="12787"/>
  <c r="H176" i="12787" s="1"/>
  <c r="H1035" i="12787" s="1"/>
  <c r="H1038" i="12787" s="1"/>
  <c r="H1045" i="12787" s="1"/>
  <c r="B27" i="12837"/>
  <c r="M179" i="12766"/>
  <c r="O177" i="12766"/>
  <c r="P177" i="12766"/>
  <c r="K1006" i="12766"/>
  <c r="K1009" i="12766" s="1"/>
  <c r="K22" i="12787"/>
  <c r="M512" i="12766"/>
  <c r="O509" i="12766"/>
  <c r="O511" i="12766" s="1"/>
  <c r="P509" i="12766"/>
  <c r="Q23" i="12766"/>
  <c r="B28" i="12837"/>
  <c r="B31" i="12837" s="1"/>
  <c r="B32" i="12837" s="1"/>
  <c r="B33" i="12837" s="1"/>
  <c r="B34" i="12837" s="1"/>
  <c r="B35" i="12837" s="1"/>
  <c r="B36" i="12837" s="1"/>
  <c r="B40" i="12837" s="1"/>
  <c r="B41" i="12837" s="1"/>
  <c r="B44" i="12837" s="1"/>
  <c r="B46" i="12837" s="1"/>
  <c r="B49" i="12837" s="1"/>
  <c r="X482" i="12766"/>
  <c r="F613" i="12843"/>
  <c r="F575" i="12843"/>
  <c r="F577" i="12843" s="1"/>
  <c r="F230" i="12843"/>
  <c r="F199" i="12843" s="1"/>
  <c r="F260" i="12843"/>
  <c r="F151" i="12843"/>
  <c r="C232" i="12843"/>
  <c r="I24" i="12783"/>
  <c r="C844" i="12843"/>
  <c r="C865" i="12843"/>
  <c r="F966" i="12843"/>
  <c r="F907" i="12843" s="1"/>
  <c r="F908" i="12843" s="1"/>
  <c r="I986" i="12843"/>
  <c r="L986" i="12843" s="1"/>
  <c r="F987" i="12843"/>
  <c r="F21" i="12843"/>
  <c r="I20" i="12843"/>
  <c r="L20" i="12843" s="1"/>
  <c r="F200" i="12843"/>
  <c r="I231" i="12843"/>
  <c r="L231" i="12843" s="1"/>
  <c r="F865" i="12843"/>
  <c r="F845" i="12843" s="1"/>
  <c r="F346" i="12843"/>
  <c r="I345" i="12843"/>
  <c r="L345" i="12843" s="1"/>
  <c r="F927" i="12843"/>
  <c r="I926" i="12843"/>
  <c r="L926" i="12843" s="1"/>
  <c r="I576" i="12843"/>
  <c r="L576" i="12843" s="1"/>
  <c r="I433" i="12843"/>
  <c r="L433" i="12843" s="1"/>
  <c r="F434" i="12843"/>
  <c r="C869" i="12843" l="1"/>
  <c r="I698" i="12843"/>
  <c r="I677" i="12843"/>
  <c r="B50" i="12837"/>
  <c r="B51" i="12837" s="1"/>
  <c r="B52" i="12837" s="1"/>
  <c r="B53" i="12837" s="1"/>
  <c r="B54" i="12837" s="1"/>
  <c r="B56" i="12837" s="1"/>
  <c r="B58" i="12837" s="1"/>
  <c r="C868" i="12843"/>
  <c r="C848" i="12843" s="1"/>
  <c r="C849" i="12843" s="1"/>
  <c r="C1126" i="12843" s="1"/>
  <c r="K44" i="12787"/>
  <c r="K25" i="12787"/>
  <c r="K27" i="12787" s="1"/>
  <c r="K1012" i="12766"/>
  <c r="O1009" i="12766"/>
  <c r="P1009" i="12766"/>
  <c r="F232" i="12843"/>
  <c r="F967" i="12843"/>
  <c r="F968" i="12843" s="1"/>
  <c r="F1004" i="12843"/>
  <c r="C845" i="12843"/>
  <c r="F887" i="12843"/>
  <c r="I887" i="12843" s="1"/>
  <c r="L887" i="12843" s="1"/>
  <c r="I907" i="12843"/>
  <c r="L907" i="12843" s="1"/>
  <c r="F201" i="12843"/>
  <c r="I200" i="12843"/>
  <c r="L200" i="12843" s="1"/>
  <c r="K37" i="12783"/>
  <c r="K26" i="12783"/>
  <c r="I29" i="12783" l="1"/>
  <c r="I34" i="12783" s="1"/>
  <c r="I44" i="12783" s="1"/>
  <c r="I48" i="12783" s="1"/>
  <c r="C1129" i="12843"/>
  <c r="K1035" i="12787"/>
  <c r="P28" i="12787"/>
  <c r="O28" i="12787"/>
  <c r="I967" i="12843"/>
  <c r="L967" i="12843" s="1"/>
  <c r="F946" i="12843"/>
  <c r="F947" i="12843" s="1"/>
  <c r="F1006" i="12843"/>
  <c r="F888" i="12843"/>
  <c r="K42" i="12783"/>
  <c r="K24" i="12783"/>
  <c r="I676" i="12843" l="1"/>
  <c r="I675" i="12843"/>
  <c r="I500" i="12843"/>
  <c r="I128" i="12843"/>
  <c r="I499" i="12843"/>
  <c r="I127" i="12843"/>
  <c r="I1066" i="12843"/>
  <c r="I1052" i="12843"/>
  <c r="I1093" i="12843"/>
  <c r="I1078" i="12843" s="1"/>
  <c r="I1120" i="12843"/>
  <c r="I1121" i="12843" s="1"/>
  <c r="I1123" i="12843" s="1"/>
  <c r="M31" i="12783" s="1"/>
  <c r="K1038" i="12787"/>
  <c r="P1036" i="12787" s="1"/>
  <c r="O1036" i="12787"/>
  <c r="I946" i="12843"/>
  <c r="L946" i="12843" s="1"/>
  <c r="F868" i="12843"/>
  <c r="F848" i="12843" s="1"/>
  <c r="F869" i="12843"/>
  <c r="L868" i="12843" l="1"/>
  <c r="L848" i="12843" s="1"/>
  <c r="I129" i="12843"/>
  <c r="I131" i="12843" s="1"/>
  <c r="I502" i="12843"/>
  <c r="I504" i="12843" s="1"/>
  <c r="I1059" i="12843"/>
  <c r="I1060" i="12843"/>
  <c r="I1055" i="12843"/>
  <c r="I1061" i="12843"/>
  <c r="I1054" i="12843"/>
  <c r="I1062" i="12843"/>
  <c r="I1053" i="12843"/>
  <c r="I1063" i="12843"/>
  <c r="I1064" i="12843"/>
  <c r="I1057" i="12843"/>
  <c r="I1056" i="12843"/>
  <c r="I1092" i="12843"/>
  <c r="I1095" i="12843" s="1"/>
  <c r="I1097" i="12843" s="1"/>
  <c r="I1105" i="12843"/>
  <c r="I1104" i="12843"/>
  <c r="I30" i="12843"/>
  <c r="I54" i="12843"/>
  <c r="I42" i="12843"/>
  <c r="I43" i="12843"/>
  <c r="I55" i="12843"/>
  <c r="I31" i="12843"/>
  <c r="I56" i="12843"/>
  <c r="I32" i="12843"/>
  <c r="I44" i="12843"/>
  <c r="I868" i="12843"/>
  <c r="K29" i="12783"/>
  <c r="I1107" i="12843" l="1"/>
  <c r="I1080" i="12843" s="1"/>
  <c r="I1082" i="12843" s="1"/>
  <c r="M39" i="12783" s="1"/>
  <c r="I1069" i="12843"/>
  <c r="I1071" i="12843" s="1"/>
  <c r="M38" i="12783" s="1"/>
  <c r="I1077" i="12843"/>
  <c r="I729" i="12843"/>
  <c r="I748" i="12843"/>
  <c r="I780" i="12843"/>
  <c r="I799" i="12843"/>
  <c r="I17" i="12843"/>
  <c r="I16" i="12843"/>
  <c r="I46" i="12843"/>
  <c r="I48" i="12843" s="1"/>
  <c r="I58" i="12843"/>
  <c r="I60" i="12843" s="1"/>
  <c r="I15" i="12843"/>
  <c r="I34" i="12843"/>
  <c r="I848" i="12843"/>
  <c r="I1109" i="12843" l="1"/>
  <c r="I695" i="12843"/>
  <c r="I674" i="12843"/>
  <c r="I19" i="12843"/>
  <c r="I21" i="12843" s="1"/>
  <c r="I36" i="12843"/>
  <c r="I249" i="12843"/>
  <c r="I353" i="12843"/>
  <c r="I278" i="12843"/>
  <c r="I296" i="12843"/>
  <c r="I393" i="12843"/>
  <c r="I352" i="12843"/>
  <c r="I363" i="12843"/>
  <c r="X15" i="12769"/>
  <c r="I238" i="12843"/>
  <c r="I248" i="12843"/>
  <c r="I267" i="12843"/>
  <c r="I277" i="12843"/>
  <c r="I392" i="12843"/>
  <c r="I381" i="12843"/>
  <c r="I305" i="12843"/>
  <c r="I295" i="12843"/>
  <c r="M37" i="12783" l="1"/>
  <c r="I944" i="12843"/>
  <c r="Y15" i="12769"/>
  <c r="I239" i="12843"/>
  <c r="I452" i="12843"/>
  <c r="I364" i="12843"/>
  <c r="I382" i="12843"/>
  <c r="I306" i="12843"/>
  <c r="I268" i="12843"/>
  <c r="I481" i="12843"/>
  <c r="I905" i="12843"/>
  <c r="I924" i="12843"/>
  <c r="I823" i="12843"/>
  <c r="I480" i="12843"/>
  <c r="I469" i="12843"/>
  <c r="I220" i="12843"/>
  <c r="I334" i="12843"/>
  <c r="I440" i="12843"/>
  <c r="I451" i="12843"/>
  <c r="I210" i="12843"/>
  <c r="I323" i="12843"/>
  <c r="M42" i="12783" l="1"/>
  <c r="I221" i="12843"/>
  <c r="I324" i="12843"/>
  <c r="I335" i="12843"/>
  <c r="I732" i="12843"/>
  <c r="I709" i="12843"/>
  <c r="I720" i="12843"/>
  <c r="I739" i="12843"/>
  <c r="I722" i="12843"/>
  <c r="I741" i="12843"/>
  <c r="I734" i="12843"/>
  <c r="I711" i="12843"/>
  <c r="I787" i="12843"/>
  <c r="I764" i="12843"/>
  <c r="I786" i="12843"/>
  <c r="I763" i="12843"/>
  <c r="I790" i="12843"/>
  <c r="I771" i="12843"/>
  <c r="I740" i="12843"/>
  <c r="I721" i="12843"/>
  <c r="I785" i="12843"/>
  <c r="I762" i="12843"/>
  <c r="I791" i="12843"/>
  <c r="I772" i="12843"/>
  <c r="I760" i="12843"/>
  <c r="I783" i="12843"/>
  <c r="I736" i="12843"/>
  <c r="I713" i="12843"/>
  <c r="I769" i="12843"/>
  <c r="I788" i="12843"/>
  <c r="I712" i="12843"/>
  <c r="I735" i="12843"/>
  <c r="I718" i="12843"/>
  <c r="I737" i="12843"/>
  <c r="M18" i="12771"/>
  <c r="Q18" i="12771" s="1"/>
  <c r="M25" i="12771"/>
  <c r="Q25" i="12771" s="1"/>
  <c r="M20" i="12771"/>
  <c r="Q20" i="12771" s="1"/>
  <c r="M23" i="12771"/>
  <c r="Q23" i="12771" s="1"/>
  <c r="M19" i="12771"/>
  <c r="Q19" i="12771" s="1"/>
  <c r="M24" i="12771"/>
  <c r="Q24" i="12771" s="1"/>
  <c r="M29" i="12771"/>
  <c r="Q29" i="12771" s="1"/>
  <c r="M28" i="12771"/>
  <c r="Q28" i="12771" s="1"/>
  <c r="M31" i="12771"/>
  <c r="Q31" i="12771" s="1"/>
  <c r="M32" i="12771"/>
  <c r="Q32" i="12771" s="1"/>
  <c r="M33" i="12771"/>
  <c r="Q33" i="12771" s="1"/>
  <c r="M27" i="12771"/>
  <c r="Q27" i="12771" s="1"/>
  <c r="I792" i="12843"/>
  <c r="I773" i="12843"/>
  <c r="I875" i="12843"/>
  <c r="I965" i="12843"/>
  <c r="I984" i="12843"/>
  <c r="I211" i="12843"/>
  <c r="I441" i="12843"/>
  <c r="I470" i="12843"/>
  <c r="I885" i="12843"/>
  <c r="I423" i="12843"/>
  <c r="I411" i="12843"/>
  <c r="I175" i="12843"/>
  <c r="I422" i="12843"/>
  <c r="I1023" i="12843" l="1"/>
  <c r="I1003" i="12843"/>
  <c r="I866" i="12843"/>
  <c r="I684" i="12843"/>
  <c r="I663" i="12843"/>
  <c r="I682" i="12843"/>
  <c r="I657" i="12843"/>
  <c r="I186" i="12843"/>
  <c r="I176" i="12843"/>
  <c r="I171" i="12843"/>
  <c r="I187" i="12843"/>
  <c r="I683" i="12843"/>
  <c r="I656" i="12843"/>
  <c r="I666" i="12843"/>
  <c r="I688" i="12843"/>
  <c r="I665" i="12843"/>
  <c r="I653" i="12843"/>
  <c r="I743" i="12843"/>
  <c r="I724" i="12843"/>
  <c r="I797" i="12843"/>
  <c r="I778" i="12843"/>
  <c r="I794" i="12843"/>
  <c r="I775" i="12843"/>
  <c r="I745" i="12843"/>
  <c r="I726" i="12843"/>
  <c r="I777" i="12843"/>
  <c r="I796" i="12843"/>
  <c r="I746" i="12843"/>
  <c r="I727" i="12843"/>
  <c r="I774" i="12843"/>
  <c r="I793" i="12843"/>
  <c r="I681" i="12843"/>
  <c r="I686" i="12843"/>
  <c r="I723" i="12843"/>
  <c r="I742" i="12843"/>
  <c r="I687" i="12843"/>
  <c r="I658" i="12843"/>
  <c r="I667" i="12843"/>
  <c r="I679" i="12843"/>
  <c r="I814" i="12843"/>
  <c r="I876" i="12843"/>
  <c r="I915" i="12843"/>
  <c r="U18" i="12772"/>
  <c r="U18" i="12881"/>
  <c r="I878" i="12843"/>
  <c r="I959" i="12843"/>
  <c r="I938" i="12843"/>
  <c r="I978" i="12843"/>
  <c r="I879" i="12843"/>
  <c r="I813" i="12843"/>
  <c r="I914" i="12843"/>
  <c r="I974" i="12843"/>
  <c r="I955" i="12843"/>
  <c r="I934" i="12843"/>
  <c r="I958" i="12843"/>
  <c r="I937" i="12843"/>
  <c r="I977" i="12843"/>
  <c r="I412" i="12843"/>
  <c r="I668" i="12843" l="1"/>
  <c r="I856" i="12843"/>
  <c r="I689" i="12843"/>
  <c r="I172" i="12843"/>
  <c r="I803" i="12843"/>
  <c r="I672" i="12843"/>
  <c r="I752" i="12843"/>
  <c r="I671" i="12843"/>
  <c r="I693" i="12843"/>
  <c r="I692" i="12843"/>
  <c r="I669" i="12843"/>
  <c r="I690" i="12843"/>
  <c r="I896" i="12843"/>
  <c r="I903" i="12843"/>
  <c r="I883" i="12843"/>
  <c r="I922" i="12843"/>
  <c r="I860" i="12843"/>
  <c r="I898" i="12843"/>
  <c r="I917" i="12843"/>
  <c r="I918" i="12843"/>
  <c r="I899" i="12843"/>
  <c r="I935" i="12843"/>
  <c r="I975" i="12843"/>
  <c r="I956" i="12843"/>
  <c r="I895" i="12843"/>
  <c r="I1013" i="12843"/>
  <c r="I859" i="12843"/>
  <c r="I836" i="12843"/>
  <c r="I701" i="12843" l="1"/>
  <c r="I1017" i="12843"/>
  <c r="I993" i="12843"/>
  <c r="I805" i="12843"/>
  <c r="I997" i="12843"/>
  <c r="I1014" i="12843"/>
  <c r="I996" i="12843"/>
  <c r="I1016" i="12843"/>
  <c r="I857" i="12843"/>
  <c r="I754" i="12843"/>
  <c r="I826" i="12843"/>
  <c r="I923" i="12843"/>
  <c r="I904" i="12843"/>
  <c r="I822" i="12843"/>
  <c r="I884" i="12843"/>
  <c r="I982" i="12843"/>
  <c r="I821" i="12843"/>
  <c r="I994" i="12843"/>
  <c r="I839" i="12843"/>
  <c r="I817" i="12843"/>
  <c r="I942" i="12843"/>
  <c r="I963" i="12843"/>
  <c r="I816" i="12843"/>
  <c r="I703" i="12843" l="1"/>
  <c r="I1021" i="12843"/>
  <c r="I1001" i="12843"/>
  <c r="I864" i="12843"/>
  <c r="I983" i="12843"/>
  <c r="I964" i="12843"/>
  <c r="I943" i="12843"/>
  <c r="M27" i="12783" l="1"/>
  <c r="I1002" i="12843"/>
  <c r="I865" i="12843"/>
  <c r="I1022" i="12843"/>
  <c r="I979" i="12843" l="1"/>
  <c r="I939" i="12843"/>
  <c r="I960" i="12843"/>
  <c r="I824" i="12843"/>
  <c r="I825" i="12843"/>
  <c r="I880" i="12843"/>
  <c r="I919" i="12843"/>
  <c r="I925" i="12843" l="1"/>
  <c r="I1018" i="12843"/>
  <c r="I966" i="12843"/>
  <c r="I968" i="12843" s="1"/>
  <c r="I945" i="12843"/>
  <c r="I985" i="12843"/>
  <c r="I1024" i="12843" s="1"/>
  <c r="I900" i="12843"/>
  <c r="I886" i="12843"/>
  <c r="I861" i="12843"/>
  <c r="I998" i="12843" l="1"/>
  <c r="I987" i="12843"/>
  <c r="I1026" i="12843"/>
  <c r="I927" i="12843"/>
  <c r="I947" i="12843"/>
  <c r="I906" i="12843"/>
  <c r="I1004" i="12843" s="1"/>
  <c r="I888" i="12843"/>
  <c r="I867" i="12843"/>
  <c r="I1006" i="12843" l="1"/>
  <c r="I908" i="12843"/>
  <c r="F828" i="12843"/>
  <c r="I818" i="12843"/>
  <c r="I869" i="12843"/>
  <c r="F830" i="12843" l="1"/>
  <c r="I828" i="12843"/>
  <c r="M29" i="12783"/>
  <c r="K28" i="12783" l="1"/>
  <c r="I830" i="12843"/>
  <c r="M28" i="12783" l="1"/>
  <c r="I84" i="12843" l="1"/>
  <c r="I98" i="12843"/>
  <c r="I156" i="12843"/>
  <c r="I143" i="12843"/>
  <c r="I111" i="12843" l="1"/>
  <c r="I65" i="12843" l="1"/>
  <c r="I157" i="12843" l="1"/>
  <c r="I86" i="12843"/>
  <c r="I100" i="12843"/>
  <c r="I145" i="12843"/>
  <c r="I99" i="12843"/>
  <c r="I158" i="12843"/>
  <c r="I112" i="12843"/>
  <c r="I113" i="12843"/>
  <c r="I85" i="12843"/>
  <c r="I144" i="12843"/>
  <c r="I90" i="12843" l="1"/>
  <c r="I92" i="12843" s="1"/>
  <c r="I162" i="12843"/>
  <c r="I149" i="12843"/>
  <c r="I117" i="12843"/>
  <c r="I104" i="12843"/>
  <c r="I67" i="12843"/>
  <c r="I66" i="12843"/>
  <c r="I151" i="12843" l="1"/>
  <c r="I106" i="12843"/>
  <c r="I164" i="12843"/>
  <c r="I119" i="12843"/>
  <c r="I75" i="12843"/>
  <c r="I77" i="12843" l="1"/>
  <c r="M18" i="12783" s="1"/>
  <c r="M21" i="12783" l="1"/>
  <c r="U17" i="12772" l="1"/>
  <c r="U17" i="12881"/>
  <c r="F1033" i="12843" l="1"/>
  <c r="F837" i="12843" s="1"/>
  <c r="F1036" i="12843"/>
  <c r="O16" i="12791"/>
  <c r="P16" i="12791"/>
  <c r="G21" i="12791" l="1"/>
  <c r="G27" i="12791"/>
  <c r="G28" i="12791"/>
  <c r="G17" i="12791"/>
  <c r="G16" i="12791"/>
  <c r="G19" i="12791"/>
  <c r="G15" i="12791"/>
  <c r="G29" i="12791"/>
  <c r="G20" i="12791"/>
  <c r="G23" i="12791"/>
  <c r="G24" i="12791"/>
  <c r="G25" i="12791"/>
  <c r="F1043" i="12843"/>
  <c r="F847" i="12843" s="1"/>
  <c r="F849" i="12843" s="1"/>
  <c r="F1126" i="12843" s="1"/>
  <c r="F840" i="12843"/>
  <c r="F1129" i="12843" l="1"/>
  <c r="F1045" i="12843"/>
  <c r="K30" i="12783" l="1"/>
  <c r="K34" i="12783" s="1"/>
  <c r="K44" i="12783" s="1"/>
  <c r="K48" i="12783" s="1"/>
  <c r="I250" i="12843"/>
  <c r="I242" i="12843"/>
  <c r="I243" i="12843"/>
  <c r="I244" i="12843"/>
  <c r="I245" i="12843"/>
  <c r="I246" i="12843"/>
  <c r="I269" i="12843"/>
  <c r="I271" i="12843"/>
  <c r="I281" i="12843"/>
  <c r="I273" i="12843"/>
  <c r="I274" i="12843"/>
  <c r="I275" i="12843"/>
  <c r="I297" i="12843"/>
  <c r="I299" i="12843"/>
  <c r="I300" i="12843"/>
  <c r="I301" i="12843"/>
  <c r="I311" i="12843"/>
  <c r="I312" i="12843"/>
  <c r="I365" i="12843"/>
  <c r="I357" i="12843"/>
  <c r="I358" i="12843"/>
  <c r="I359" i="12843"/>
  <c r="I360" i="12843"/>
  <c r="I361" i="12843"/>
  <c r="I383" i="12843"/>
  <c r="I386" i="12843"/>
  <c r="I387" i="12843"/>
  <c r="I388" i="12843"/>
  <c r="I398" i="12843"/>
  <c r="I390" i="12843"/>
  <c r="I442" i="12843"/>
  <c r="I445" i="12843"/>
  <c r="I455" i="12843"/>
  <c r="I447" i="12843"/>
  <c r="I448" i="12843"/>
  <c r="I449" i="12843"/>
  <c r="I471" i="12843"/>
  <c r="I474" i="12843"/>
  <c r="I475" i="12843"/>
  <c r="I476" i="12843"/>
  <c r="I477" i="12843"/>
  <c r="I487" i="12843"/>
  <c r="I510" i="12843"/>
  <c r="I511" i="12843"/>
  <c r="I512" i="12843"/>
  <c r="I527" i="12843"/>
  <c r="I515" i="12843"/>
  <c r="I517" i="12843"/>
  <c r="I531" i="12843"/>
  <c r="I521" i="12843"/>
  <c r="I599" i="12843"/>
  <c r="I586" i="12843"/>
  <c r="I587" i="12843"/>
  <c r="I589" i="12843"/>
  <c r="I590" i="12843"/>
  <c r="I593" i="12843"/>
  <c r="I597" i="12843"/>
  <c r="I619" i="12843"/>
  <c r="I620" i="12843"/>
  <c r="I621" i="12843"/>
  <c r="I623" i="12843"/>
  <c r="I624" i="12843"/>
  <c r="I640" i="12843"/>
  <c r="I630" i="12843"/>
  <c r="I631" i="12843"/>
  <c r="I1033" i="12843"/>
  <c r="I1036" i="12843"/>
  <c r="I1037" i="12843"/>
  <c r="I1040" i="12843"/>
  <c r="I1041" i="12843"/>
  <c r="I1042" i="12843"/>
  <c r="V17" i="12791"/>
  <c r="V18" i="12791"/>
  <c r="I519" i="12843" l="1"/>
  <c r="I530" i="12843"/>
  <c r="I596" i="12843"/>
  <c r="I558" i="12843" s="1"/>
  <c r="I595" i="12843"/>
  <c r="Y20" i="12769"/>
  <c r="Y18" i="12769"/>
  <c r="U18" i="12770"/>
  <c r="I446" i="12843"/>
  <c r="I417" i="12843" s="1"/>
  <c r="I367" i="12843"/>
  <c r="I635" i="12843"/>
  <c r="I592" i="12843"/>
  <c r="I604" i="12843"/>
  <c r="I603" i="12843"/>
  <c r="I526" i="12843"/>
  <c r="I454" i="12843"/>
  <c r="I626" i="12843"/>
  <c r="I395" i="12843"/>
  <c r="I483" i="12843"/>
  <c r="I520" i="12843"/>
  <c r="I482" i="12843"/>
  <c r="I536" i="12843"/>
  <c r="I284" i="12843"/>
  <c r="I524" i="12843"/>
  <c r="I310" i="12843"/>
  <c r="I255" i="12843"/>
  <c r="I283" i="12843"/>
  <c r="I369" i="12843"/>
  <c r="I340" i="12843" s="1"/>
  <c r="I354" i="12843"/>
  <c r="I325" i="12843" s="1"/>
  <c r="I585" i="12843"/>
  <c r="I547" i="12843" s="1"/>
  <c r="I642" i="12843"/>
  <c r="I600" i="12843"/>
  <c r="I486" i="12843"/>
  <c r="I638" i="12843"/>
  <c r="I566" i="12843" s="1"/>
  <c r="I538" i="12843"/>
  <c r="I484" i="12843"/>
  <c r="I426" i="12843" s="1"/>
  <c r="I634" i="12843"/>
  <c r="I562" i="12843" s="1"/>
  <c r="I528" i="12843"/>
  <c r="I389" i="12843"/>
  <c r="I331" i="12843" s="1"/>
  <c r="I458" i="12843"/>
  <c r="I429" i="12843" s="1"/>
  <c r="I309" i="12843"/>
  <c r="I251" i="12843"/>
  <c r="I637" i="12843"/>
  <c r="I605" i="12843"/>
  <c r="I532" i="12843"/>
  <c r="I396" i="12843"/>
  <c r="I478" i="12843"/>
  <c r="I420" i="12843" s="1"/>
  <c r="I399" i="12843"/>
  <c r="I368" i="12843"/>
  <c r="I307" i="12843"/>
  <c r="I272" i="12843"/>
  <c r="I215" i="12843" s="1"/>
  <c r="I366" i="12843"/>
  <c r="I633" i="12843"/>
  <c r="I561" i="12843" s="1"/>
  <c r="I394" i="12843"/>
  <c r="I336" i="12843" s="1"/>
  <c r="I280" i="12843"/>
  <c r="I254" i="12843"/>
  <c r="I240" i="12843"/>
  <c r="I212" i="12843" s="1"/>
  <c r="I641" i="12843"/>
  <c r="I601" i="12843"/>
  <c r="I525" i="12843"/>
  <c r="I559" i="12843"/>
  <c r="I551" i="12843"/>
  <c r="I549" i="12843"/>
  <c r="I627" i="12843"/>
  <c r="I555" i="12843" s="1"/>
  <c r="I639" i="12843"/>
  <c r="I629" i="12843"/>
  <c r="I608" i="12843"/>
  <c r="I303" i="12843"/>
  <c r="I218" i="12843" s="1"/>
  <c r="I846" i="12843"/>
  <c r="I548" i="12843"/>
  <c r="I845" i="12843"/>
  <c r="I607" i="12843"/>
  <c r="I514" i="12843"/>
  <c r="I457" i="12843"/>
  <c r="I453" i="12843"/>
  <c r="I302" i="12843"/>
  <c r="I217" i="12843" s="1"/>
  <c r="I552" i="12843"/>
  <c r="I841" i="12843"/>
  <c r="I606" i="12843"/>
  <c r="I602" i="12843"/>
  <c r="I198" i="12843"/>
  <c r="I456" i="12843"/>
  <c r="I397" i="12843"/>
  <c r="I636" i="12843"/>
  <c r="I197" i="12843"/>
  <c r="I370" i="12843"/>
  <c r="I341" i="12843" s="1"/>
  <c r="I308" i="12843"/>
  <c r="I253" i="12843"/>
  <c r="I1043" i="12843"/>
  <c r="I840" i="12843"/>
  <c r="I282" i="12843"/>
  <c r="I252" i="12843"/>
  <c r="I330" i="12843"/>
  <c r="I416" i="12843"/>
  <c r="I329" i="12843"/>
  <c r="I419" i="12843"/>
  <c r="I413" i="12843"/>
  <c r="I332" i="12843"/>
  <c r="I214" i="12843"/>
  <c r="I425" i="12843"/>
  <c r="I216" i="12843"/>
  <c r="I328" i="12843"/>
  <c r="I418" i="12843"/>
  <c r="I837" i="12843"/>
  <c r="I485" i="12843"/>
  <c r="I279" i="12843"/>
  <c r="I844" i="12843"/>
  <c r="I565" i="12843" l="1"/>
  <c r="I557" i="12843"/>
  <c r="I338" i="12843"/>
  <c r="I226" i="12843"/>
  <c r="I339" i="12843"/>
  <c r="I537" i="12843"/>
  <c r="I223" i="12843"/>
  <c r="I227" i="12843"/>
  <c r="I424" i="12843"/>
  <c r="I337" i="12843"/>
  <c r="I554" i="12843"/>
  <c r="I225" i="12843"/>
  <c r="I428" i="12843"/>
  <c r="I224" i="12843"/>
  <c r="I402" i="12843"/>
  <c r="I404" i="12843" s="1"/>
  <c r="I529" i="12843"/>
  <c r="I539" i="12843" s="1"/>
  <c r="I541" i="12843" s="1"/>
  <c r="I315" i="12843"/>
  <c r="I317" i="12843" s="1"/>
  <c r="I461" i="12843"/>
  <c r="I463" i="12843" s="1"/>
  <c r="I611" i="12843"/>
  <c r="I613" i="12843" s="1"/>
  <c r="I847" i="12843"/>
  <c r="I849" i="12843" s="1"/>
  <c r="I373" i="12843"/>
  <c r="I563" i="12843"/>
  <c r="I1045" i="12843"/>
  <c r="I258" i="12843"/>
  <c r="I260" i="12843" s="1"/>
  <c r="I645" i="12843"/>
  <c r="I570" i="12843"/>
  <c r="I567" i="12843"/>
  <c r="I564" i="12843"/>
  <c r="I568" i="12843"/>
  <c r="I569" i="12843"/>
  <c r="I427" i="12843"/>
  <c r="I183" i="12843"/>
  <c r="I177" i="12843"/>
  <c r="I181" i="12843"/>
  <c r="I173" i="12843"/>
  <c r="I193" i="12843"/>
  <c r="I180" i="12843"/>
  <c r="I222" i="12843"/>
  <c r="I196" i="12843"/>
  <c r="I184" i="12843"/>
  <c r="I490" i="12843"/>
  <c r="I182" i="12843"/>
  <c r="I287" i="12843"/>
  <c r="I192" i="12843" l="1"/>
  <c r="I190" i="12843"/>
  <c r="I575" i="12843"/>
  <c r="I577" i="12843" s="1"/>
  <c r="M26" i="12783" s="1"/>
  <c r="I189" i="12843"/>
  <c r="I344" i="12843"/>
  <c r="I346" i="12843" s="1"/>
  <c r="I375" i="12843"/>
  <c r="M25" i="12783"/>
  <c r="M30" i="12783"/>
  <c r="I647" i="12843"/>
  <c r="I191" i="12843"/>
  <c r="I188" i="12843"/>
  <c r="I492" i="12843"/>
  <c r="I432" i="12843"/>
  <c r="I289" i="12843"/>
  <c r="I230" i="12843"/>
  <c r="I434" i="12843" l="1"/>
  <c r="I199" i="12843"/>
  <c r="I232" i="12843"/>
  <c r="I201" i="12843" l="1"/>
  <c r="I1126" i="12843" s="1"/>
  <c r="M24" i="12783" l="1"/>
  <c r="M34" i="12783" l="1"/>
  <c r="M44" i="12783" s="1"/>
  <c r="M48" i="12783" s="1"/>
  <c r="I1129" i="12843"/>
  <c r="O16" i="12882" l="1"/>
  <c r="Q16" i="12882"/>
  <c r="S16" i="12882"/>
  <c r="O19" i="12882"/>
  <c r="Q19" i="12882"/>
  <c r="O22" i="12882"/>
  <c r="Q22" i="12882"/>
  <c r="S22" i="12882"/>
  <c r="O24" i="12882"/>
  <c r="Q24" i="12882"/>
  <c r="S24" i="12882"/>
  <c r="O25" i="12882"/>
  <c r="Q25" i="12882"/>
  <c r="S25" i="12882"/>
  <c r="O26" i="12882"/>
  <c r="Q26" i="12882"/>
  <c r="S26" i="12882"/>
  <c r="O27" i="12882"/>
  <c r="Q27" i="12882"/>
  <c r="S27" i="12882"/>
  <c r="O28" i="12882"/>
  <c r="Q28" i="12882"/>
  <c r="S28" i="12882"/>
  <c r="O29" i="12882"/>
  <c r="Q29" i="12882"/>
  <c r="S29" i="12882"/>
  <c r="O32" i="12882"/>
  <c r="Q32" i="12882"/>
  <c r="O35" i="12882"/>
  <c r="Q35" i="12882"/>
  <c r="S35" i="12882"/>
  <c r="O36" i="12882"/>
  <c r="Q36" i="12882"/>
  <c r="S36" i="12882"/>
  <c r="O37" i="12882"/>
  <c r="Q37" i="12882"/>
  <c r="S37" i="12882"/>
  <c r="O40" i="12882"/>
  <c r="Q40" i="12882"/>
  <c r="O18" i="12783"/>
  <c r="Q18" i="12783"/>
  <c r="R18" i="12783"/>
  <c r="T18" i="12783"/>
  <c r="U18" i="12783"/>
  <c r="W18" i="12783"/>
  <c r="X18" i="12783"/>
  <c r="O21" i="12783"/>
  <c r="Q21" i="12783"/>
  <c r="R21" i="12783"/>
  <c r="T21" i="12783"/>
  <c r="U21" i="12783"/>
  <c r="W21" i="12783"/>
  <c r="X21" i="12783"/>
  <c r="O24" i="12783"/>
  <c r="Q24" i="12783"/>
  <c r="R24" i="12783"/>
  <c r="T24" i="12783"/>
  <c r="U24" i="12783"/>
  <c r="W24" i="12783"/>
  <c r="X24" i="12783"/>
  <c r="O25" i="12783"/>
  <c r="Q25" i="12783"/>
  <c r="R25" i="12783"/>
  <c r="U25" i="12783"/>
  <c r="W25" i="12783"/>
  <c r="X25" i="12783"/>
  <c r="O26" i="12783"/>
  <c r="Q26" i="12783"/>
  <c r="R26" i="12783"/>
  <c r="T26" i="12783"/>
  <c r="U26" i="12783"/>
  <c r="W26" i="12783"/>
  <c r="X26" i="12783"/>
  <c r="O27" i="12783"/>
  <c r="Q27" i="12783"/>
  <c r="R27" i="12783"/>
  <c r="T27" i="12783"/>
  <c r="U27" i="12783"/>
  <c r="W27" i="12783"/>
  <c r="X27" i="12783"/>
  <c r="O28" i="12783"/>
  <c r="Q28" i="12783"/>
  <c r="R28" i="12783"/>
  <c r="T28" i="12783"/>
  <c r="U28" i="12783"/>
  <c r="W28" i="12783"/>
  <c r="X28" i="12783"/>
  <c r="O29" i="12783"/>
  <c r="Q29" i="12783"/>
  <c r="R29" i="12783"/>
  <c r="T29" i="12783"/>
  <c r="U29" i="12783"/>
  <c r="W29" i="12783"/>
  <c r="X29" i="12783"/>
  <c r="O30" i="12783"/>
  <c r="Q30" i="12783"/>
  <c r="R30" i="12783"/>
  <c r="T30" i="12783"/>
  <c r="U30" i="12783"/>
  <c r="W30" i="12783"/>
  <c r="X30" i="12783"/>
  <c r="O31" i="12783"/>
  <c r="Q31" i="12783"/>
  <c r="R31" i="12783"/>
  <c r="T31" i="12783"/>
  <c r="U31" i="12783"/>
  <c r="W31" i="12783"/>
  <c r="X31" i="12783"/>
  <c r="O34" i="12783"/>
  <c r="Q34" i="12783"/>
  <c r="R34" i="12783"/>
  <c r="T34" i="12783"/>
  <c r="U34" i="12783"/>
  <c r="W34" i="12783"/>
  <c r="X34" i="12783"/>
  <c r="O37" i="12783"/>
  <c r="Q37" i="12783"/>
  <c r="R37" i="12783"/>
  <c r="T37" i="12783"/>
  <c r="U37" i="12783"/>
  <c r="W37" i="12783"/>
  <c r="X37" i="12783"/>
  <c r="O38" i="12783"/>
  <c r="Q38" i="12783"/>
  <c r="R38" i="12783"/>
  <c r="T38" i="12783"/>
  <c r="U38" i="12783"/>
  <c r="W38" i="12783"/>
  <c r="X38" i="12783"/>
  <c r="O39" i="12783"/>
  <c r="Q39" i="12783"/>
  <c r="R39" i="12783"/>
  <c r="T39" i="12783"/>
  <c r="U39" i="12783"/>
  <c r="W39" i="12783"/>
  <c r="X39" i="12783"/>
  <c r="O42" i="12783"/>
  <c r="Q42" i="12783"/>
  <c r="R42" i="12783"/>
  <c r="T42" i="12783"/>
  <c r="U42" i="12783"/>
  <c r="W42" i="12783"/>
  <c r="X42" i="12783"/>
  <c r="O44" i="12783"/>
  <c r="Q44" i="12783"/>
  <c r="R44" i="12783"/>
  <c r="T44" i="12783"/>
  <c r="U44" i="12783"/>
  <c r="W44" i="12783"/>
  <c r="X44" i="12783"/>
  <c r="O48" i="12783"/>
  <c r="Q48" i="12783"/>
  <c r="R48" i="12783"/>
  <c r="T48" i="12783"/>
  <c r="U48" i="12783"/>
  <c r="W48" i="12783"/>
  <c r="X48" i="12783"/>
  <c r="O12" i="12843"/>
  <c r="J15" i="12843"/>
  <c r="L15" i="12843"/>
  <c r="J16" i="12843"/>
  <c r="L16" i="12843"/>
  <c r="J17" i="12843"/>
  <c r="L17" i="12843"/>
  <c r="L19" i="12843"/>
  <c r="L21" i="12843"/>
  <c r="J30" i="12843"/>
  <c r="L30" i="12843"/>
  <c r="J31" i="12843"/>
  <c r="L31" i="12843"/>
  <c r="J32" i="12843"/>
  <c r="L32" i="12843"/>
  <c r="L34" i="12843"/>
  <c r="L36" i="12843"/>
  <c r="J42" i="12843"/>
  <c r="L42" i="12843"/>
  <c r="J43" i="12843"/>
  <c r="L43" i="12843"/>
  <c r="J44" i="12843"/>
  <c r="L44" i="12843"/>
  <c r="L46" i="12843"/>
  <c r="L48" i="12843"/>
  <c r="J54" i="12843"/>
  <c r="L54" i="12843"/>
  <c r="J55" i="12843"/>
  <c r="L55" i="12843"/>
  <c r="J56" i="12843"/>
  <c r="L56" i="12843"/>
  <c r="L58" i="12843"/>
  <c r="L60" i="12843"/>
  <c r="O63" i="12843"/>
  <c r="J66" i="12843"/>
  <c r="L66" i="12843"/>
  <c r="J67" i="12843"/>
  <c r="L67" i="12843"/>
  <c r="J73" i="12843"/>
  <c r="J74" i="12843"/>
  <c r="L75" i="12843"/>
  <c r="L77" i="12843"/>
  <c r="J85" i="12843"/>
  <c r="L85" i="12843"/>
  <c r="J86" i="12843"/>
  <c r="L86" i="12843"/>
  <c r="L90" i="12843"/>
  <c r="L92" i="12843"/>
  <c r="J99" i="12843"/>
  <c r="L99" i="12843"/>
  <c r="J100" i="12843"/>
  <c r="L100" i="12843"/>
  <c r="L104" i="12843"/>
  <c r="L106" i="12843"/>
  <c r="J112" i="12843"/>
  <c r="L112" i="12843"/>
  <c r="J113" i="12843"/>
  <c r="L113" i="12843"/>
  <c r="L117" i="12843"/>
  <c r="L119" i="12843"/>
  <c r="J127" i="12843"/>
  <c r="L127" i="12843"/>
  <c r="J128" i="12843"/>
  <c r="L128" i="12843"/>
  <c r="L129" i="12843"/>
  <c r="L131" i="12843"/>
  <c r="J144" i="12843"/>
  <c r="L144" i="12843"/>
  <c r="J145" i="12843"/>
  <c r="L145" i="12843"/>
  <c r="L149" i="12843"/>
  <c r="L151" i="12843"/>
  <c r="J157" i="12843"/>
  <c r="L157" i="12843"/>
  <c r="J158" i="12843"/>
  <c r="L158" i="12843"/>
  <c r="L162" i="12843"/>
  <c r="L164" i="12843"/>
  <c r="O168" i="12843"/>
  <c r="J181" i="12843"/>
  <c r="L181" i="12843"/>
  <c r="J182" i="12843"/>
  <c r="L182" i="12843"/>
  <c r="J183" i="12843"/>
  <c r="L183" i="12843"/>
  <c r="J190" i="12843"/>
  <c r="L190" i="12843"/>
  <c r="J191" i="12843"/>
  <c r="L191" i="12843"/>
  <c r="J192" i="12843"/>
  <c r="L192" i="12843"/>
  <c r="L199" i="12843"/>
  <c r="L201" i="12843"/>
  <c r="J215" i="12843"/>
  <c r="L215" i="12843"/>
  <c r="J216" i="12843"/>
  <c r="L216" i="12843"/>
  <c r="J217" i="12843"/>
  <c r="L217" i="12843"/>
  <c r="J224" i="12843"/>
  <c r="L224" i="12843"/>
  <c r="J225" i="12843"/>
  <c r="L225" i="12843"/>
  <c r="J226" i="12843"/>
  <c r="L226" i="12843"/>
  <c r="L230" i="12843"/>
  <c r="L232" i="12843"/>
  <c r="J243" i="12843"/>
  <c r="L243" i="12843"/>
  <c r="J244" i="12843"/>
  <c r="L244" i="12843"/>
  <c r="J245" i="12843"/>
  <c r="L245" i="12843"/>
  <c r="J252" i="12843"/>
  <c r="L252" i="12843"/>
  <c r="J253" i="12843"/>
  <c r="L253" i="12843"/>
  <c r="J254" i="12843"/>
  <c r="L254" i="12843"/>
  <c r="L258" i="12843"/>
  <c r="L260" i="12843"/>
  <c r="J272" i="12843"/>
  <c r="L272" i="12843"/>
  <c r="J273" i="12843"/>
  <c r="L273" i="12843"/>
  <c r="J274" i="12843"/>
  <c r="L274" i="12843"/>
  <c r="J281" i="12843"/>
  <c r="L281" i="12843"/>
  <c r="J282" i="12843"/>
  <c r="L282" i="12843"/>
  <c r="J283" i="12843"/>
  <c r="L283" i="12843"/>
  <c r="L287" i="12843"/>
  <c r="L289" i="12843"/>
  <c r="J300" i="12843"/>
  <c r="L300" i="12843"/>
  <c r="J301" i="12843"/>
  <c r="L301" i="12843"/>
  <c r="J302" i="12843"/>
  <c r="L302" i="12843"/>
  <c r="J309" i="12843"/>
  <c r="L309" i="12843"/>
  <c r="J310" i="12843"/>
  <c r="L310" i="12843"/>
  <c r="J311" i="12843"/>
  <c r="L311" i="12843"/>
  <c r="L315" i="12843"/>
  <c r="L317" i="12843"/>
  <c r="J329" i="12843"/>
  <c r="L329" i="12843"/>
  <c r="J330" i="12843"/>
  <c r="L330" i="12843"/>
  <c r="J331" i="12843"/>
  <c r="L331" i="12843"/>
  <c r="J338" i="12843"/>
  <c r="L338" i="12843"/>
  <c r="J339" i="12843"/>
  <c r="L339" i="12843"/>
  <c r="J340" i="12843"/>
  <c r="L340" i="12843"/>
  <c r="L344" i="12843"/>
  <c r="L346" i="12843"/>
  <c r="J358" i="12843"/>
  <c r="L358" i="12843"/>
  <c r="J359" i="12843"/>
  <c r="L359" i="12843"/>
  <c r="J360" i="12843"/>
  <c r="L360" i="12843"/>
  <c r="J367" i="12843"/>
  <c r="L367" i="12843"/>
  <c r="J368" i="12843"/>
  <c r="L368" i="12843"/>
  <c r="J369" i="12843"/>
  <c r="L369" i="12843"/>
  <c r="L373" i="12843"/>
  <c r="L375" i="12843"/>
  <c r="J387" i="12843"/>
  <c r="L387" i="12843"/>
  <c r="J388" i="12843"/>
  <c r="L388" i="12843"/>
  <c r="J389" i="12843"/>
  <c r="L389" i="12843"/>
  <c r="J396" i="12843"/>
  <c r="L396" i="12843"/>
  <c r="J397" i="12843"/>
  <c r="L397" i="12843"/>
  <c r="J398" i="12843"/>
  <c r="L398" i="12843"/>
  <c r="L402" i="12843"/>
  <c r="L404" i="12843"/>
  <c r="J417" i="12843"/>
  <c r="L417" i="12843"/>
  <c r="J418" i="12843"/>
  <c r="L418" i="12843"/>
  <c r="J419" i="12843"/>
  <c r="L419" i="12843"/>
  <c r="J426" i="12843"/>
  <c r="L426" i="12843"/>
  <c r="J427" i="12843"/>
  <c r="L427" i="12843"/>
  <c r="J428" i="12843"/>
  <c r="L428" i="12843"/>
  <c r="L432" i="12843"/>
  <c r="L434" i="12843"/>
  <c r="J446" i="12843"/>
  <c r="L446" i="12843"/>
  <c r="J447" i="12843"/>
  <c r="L447" i="12843"/>
  <c r="J448" i="12843"/>
  <c r="L448" i="12843"/>
  <c r="J455" i="12843"/>
  <c r="L455" i="12843"/>
  <c r="J456" i="12843"/>
  <c r="L456" i="12843"/>
  <c r="J457" i="12843"/>
  <c r="L457" i="12843"/>
  <c r="L461" i="12843"/>
  <c r="L463" i="12843"/>
  <c r="J475" i="12843"/>
  <c r="L475" i="12843"/>
  <c r="J476" i="12843"/>
  <c r="L476" i="12843"/>
  <c r="J477" i="12843"/>
  <c r="L477" i="12843"/>
  <c r="J484" i="12843"/>
  <c r="L484" i="12843"/>
  <c r="J485" i="12843"/>
  <c r="L485" i="12843"/>
  <c r="J486" i="12843"/>
  <c r="L486" i="12843"/>
  <c r="L490" i="12843"/>
  <c r="L492" i="12843"/>
  <c r="J499" i="12843"/>
  <c r="L499" i="12843"/>
  <c r="J500" i="12843"/>
  <c r="L500" i="12843"/>
  <c r="L502" i="12843"/>
  <c r="L504" i="12843"/>
  <c r="J519" i="12843"/>
  <c r="L519" i="12843"/>
  <c r="J520" i="12843"/>
  <c r="L520" i="12843"/>
  <c r="J530" i="12843"/>
  <c r="L530" i="12843"/>
  <c r="J531" i="12843"/>
  <c r="L531" i="12843"/>
  <c r="J538" i="12843"/>
  <c r="L538" i="12843"/>
  <c r="L539" i="12843"/>
  <c r="L541" i="12843"/>
  <c r="O544" i="12843"/>
  <c r="J557" i="12843"/>
  <c r="L557" i="12843"/>
  <c r="J558" i="12843"/>
  <c r="L558" i="12843"/>
  <c r="J568" i="12843"/>
  <c r="L568" i="12843"/>
  <c r="J569" i="12843"/>
  <c r="L569" i="12843"/>
  <c r="L575" i="12843"/>
  <c r="L577" i="12843"/>
  <c r="J595" i="12843"/>
  <c r="L595" i="12843"/>
  <c r="J596" i="12843"/>
  <c r="L596" i="12843"/>
  <c r="J606" i="12843"/>
  <c r="L606" i="12843"/>
  <c r="J607" i="12843"/>
  <c r="L607" i="12843"/>
  <c r="L611" i="12843"/>
  <c r="L613" i="12843"/>
  <c r="J629" i="12843"/>
  <c r="L629" i="12843"/>
  <c r="J630" i="12843"/>
  <c r="L630" i="12843"/>
  <c r="J640" i="12843"/>
  <c r="L640" i="12843"/>
  <c r="J641" i="12843"/>
  <c r="L641" i="12843"/>
  <c r="L645" i="12843"/>
  <c r="L647" i="12843"/>
  <c r="O650" i="12843"/>
  <c r="J674" i="12843"/>
  <c r="L674" i="12843"/>
  <c r="J675" i="12843"/>
  <c r="L675" i="12843"/>
  <c r="J676" i="12843"/>
  <c r="L676" i="12843"/>
  <c r="J695" i="12843"/>
  <c r="L695" i="12843"/>
  <c r="L701" i="12843"/>
  <c r="L703" i="12843"/>
  <c r="J729" i="12843"/>
  <c r="L729" i="12843"/>
  <c r="J748" i="12843"/>
  <c r="L748" i="12843"/>
  <c r="L752" i="12843"/>
  <c r="L754" i="12843"/>
  <c r="J780" i="12843"/>
  <c r="L780" i="12843"/>
  <c r="J799" i="12843"/>
  <c r="L799" i="12843"/>
  <c r="L803" i="12843"/>
  <c r="L805" i="12843"/>
  <c r="J821" i="12843"/>
  <c r="L821" i="12843"/>
  <c r="J822" i="12843"/>
  <c r="L822" i="12843"/>
  <c r="J826" i="12843"/>
  <c r="L826" i="12843"/>
  <c r="J827" i="12843"/>
  <c r="L828" i="12843"/>
  <c r="L830" i="12843"/>
  <c r="O833" i="12843"/>
  <c r="L844" i="12843"/>
  <c r="L845" i="12843"/>
  <c r="L847" i="12843"/>
  <c r="L849" i="12843"/>
  <c r="L864" i="12843"/>
  <c r="L865" i="12843"/>
  <c r="L867" i="12843"/>
  <c r="L869" i="12843"/>
  <c r="J883" i="12843"/>
  <c r="L883" i="12843"/>
  <c r="J884" i="12843"/>
  <c r="L884" i="12843"/>
  <c r="L886" i="12843"/>
  <c r="L888" i="12843"/>
  <c r="J903" i="12843"/>
  <c r="L903" i="12843"/>
  <c r="J904" i="12843"/>
  <c r="L904" i="12843"/>
  <c r="L906" i="12843"/>
  <c r="L908" i="12843"/>
  <c r="J922" i="12843"/>
  <c r="L922" i="12843"/>
  <c r="J923" i="12843"/>
  <c r="L923" i="12843"/>
  <c r="L925" i="12843"/>
  <c r="L927" i="12843"/>
  <c r="J942" i="12843"/>
  <c r="L942" i="12843"/>
  <c r="J943" i="12843"/>
  <c r="L943" i="12843"/>
  <c r="L945" i="12843"/>
  <c r="L947" i="12843"/>
  <c r="J963" i="12843"/>
  <c r="L963" i="12843"/>
  <c r="J964" i="12843"/>
  <c r="L964" i="12843"/>
  <c r="L966" i="12843"/>
  <c r="L968" i="12843"/>
  <c r="J982" i="12843"/>
  <c r="L982" i="12843"/>
  <c r="J983" i="12843"/>
  <c r="L983" i="12843"/>
  <c r="L985" i="12843"/>
  <c r="L987" i="12843"/>
  <c r="L1001" i="12843"/>
  <c r="L1002" i="12843"/>
  <c r="L1004" i="12843"/>
  <c r="L1006" i="12843"/>
  <c r="L1021" i="12843"/>
  <c r="L1022" i="12843"/>
  <c r="L1024" i="12843"/>
  <c r="L1026" i="12843"/>
  <c r="O1029" i="12843"/>
  <c r="J1040" i="12843"/>
  <c r="L1040" i="12843"/>
  <c r="J1041" i="12843"/>
  <c r="L1041" i="12843"/>
  <c r="L1043" i="12843"/>
  <c r="L1045" i="12843"/>
  <c r="O1050" i="12843"/>
  <c r="J1052" i="12843"/>
  <c r="L1052" i="12843"/>
  <c r="J1053" i="12843"/>
  <c r="L1053" i="12843"/>
  <c r="J1054" i="12843"/>
  <c r="L1054" i="12843"/>
  <c r="J1055" i="12843"/>
  <c r="L1055" i="12843"/>
  <c r="J1056" i="12843"/>
  <c r="L1056" i="12843"/>
  <c r="J1057" i="12843"/>
  <c r="L1057" i="12843"/>
  <c r="J1059" i="12843"/>
  <c r="L1059" i="12843"/>
  <c r="J1060" i="12843"/>
  <c r="L1060" i="12843"/>
  <c r="J1061" i="12843"/>
  <c r="L1061" i="12843"/>
  <c r="J1062" i="12843"/>
  <c r="L1062" i="12843"/>
  <c r="J1063" i="12843"/>
  <c r="L1063" i="12843"/>
  <c r="J1064" i="12843"/>
  <c r="L1064" i="12843"/>
  <c r="J1066" i="12843"/>
  <c r="L1066" i="12843"/>
  <c r="L1069" i="12843"/>
  <c r="L1071" i="12843"/>
  <c r="O1074" i="12843"/>
  <c r="L1077" i="12843"/>
  <c r="L1078" i="12843"/>
  <c r="L1080" i="12843"/>
  <c r="L1082" i="12843"/>
  <c r="J1092" i="12843"/>
  <c r="L1092" i="12843"/>
  <c r="J1093" i="12843"/>
  <c r="L1093" i="12843"/>
  <c r="L1095" i="12843"/>
  <c r="L1097" i="12843"/>
  <c r="J1104" i="12843"/>
  <c r="L1104" i="12843"/>
  <c r="J1105" i="12843"/>
  <c r="L1105" i="12843"/>
  <c r="L1107" i="12843"/>
  <c r="L1109" i="12843"/>
  <c r="O1115" i="12843"/>
  <c r="J1120" i="12843"/>
  <c r="L1120" i="12843"/>
  <c r="L1121" i="12843"/>
  <c r="L1123" i="12843"/>
  <c r="L1126" i="12843"/>
  <c r="L1129" i="12843"/>
  <c r="L1132" i="12843"/>
  <c r="O9" i="12833"/>
  <c r="Q9" i="12833"/>
  <c r="F10" i="12833"/>
  <c r="H10" i="12833"/>
  <c r="J10" i="12833"/>
  <c r="O10" i="12833"/>
  <c r="Q10" i="12833"/>
  <c r="S10" i="12833"/>
  <c r="F11" i="12833"/>
  <c r="H11" i="12833"/>
  <c r="J11" i="12833"/>
  <c r="S11" i="12833"/>
  <c r="F12" i="12833"/>
  <c r="H12" i="12833"/>
  <c r="J12" i="12833"/>
  <c r="S12" i="12833"/>
  <c r="F14" i="12833"/>
  <c r="H14" i="12833"/>
  <c r="J14" i="12833"/>
  <c r="S14" i="12833"/>
  <c r="F15" i="12833"/>
  <c r="H15" i="12833"/>
  <c r="J15" i="12833"/>
  <c r="S15" i="12833"/>
  <c r="F16" i="12833"/>
  <c r="H16" i="12833"/>
  <c r="J16" i="12833"/>
  <c r="S16" i="12833"/>
  <c r="F17" i="12833"/>
  <c r="H17" i="12833"/>
  <c r="J17" i="12833"/>
  <c r="S17" i="12833"/>
  <c r="F19" i="12833"/>
  <c r="H19" i="12833"/>
  <c r="J19" i="12833"/>
  <c r="S19" i="12833"/>
  <c r="F20" i="12833"/>
  <c r="H20" i="12833"/>
  <c r="J20" i="12833"/>
  <c r="S20" i="12833"/>
  <c r="F21" i="12833"/>
  <c r="H21" i="12833"/>
  <c r="J21" i="12833"/>
  <c r="S21" i="12833"/>
  <c r="F22" i="12833"/>
  <c r="H22" i="12833"/>
  <c r="J22" i="12833"/>
  <c r="O22" i="12833"/>
  <c r="S22" i="12833"/>
  <c r="F23" i="12833"/>
  <c r="H23" i="12833"/>
  <c r="J23" i="12833"/>
  <c r="S23" i="12833"/>
  <c r="F25" i="12833"/>
  <c r="H25" i="12833"/>
  <c r="J25" i="12833"/>
  <c r="M25" i="12833"/>
  <c r="S25" i="12833"/>
  <c r="F26" i="12833"/>
  <c r="H26" i="12833"/>
  <c r="J26" i="12833"/>
  <c r="S26" i="12833"/>
  <c r="F27" i="12833"/>
  <c r="H27" i="12833"/>
  <c r="J27" i="12833"/>
  <c r="S27" i="12833"/>
  <c r="F28" i="12833"/>
  <c r="H28" i="12833"/>
  <c r="J28" i="12833"/>
  <c r="S28" i="12833"/>
  <c r="F29" i="12833"/>
  <c r="H29" i="12833"/>
  <c r="J29" i="12833"/>
  <c r="S29" i="12833"/>
  <c r="F31" i="12833"/>
  <c r="H31" i="12833"/>
  <c r="J31" i="12833"/>
  <c r="S31" i="12833"/>
  <c r="F32" i="12833"/>
  <c r="H32" i="12833"/>
  <c r="J32" i="12833"/>
  <c r="S32" i="12833"/>
  <c r="F33" i="12833"/>
  <c r="H33" i="12833"/>
  <c r="J33" i="12833"/>
  <c r="S33" i="12833"/>
  <c r="K14" i="12769"/>
  <c r="M14" i="12769"/>
  <c r="O14" i="12769"/>
  <c r="Q14" i="12769"/>
  <c r="K15" i="12769"/>
  <c r="M15" i="12769"/>
  <c r="O15" i="12769"/>
  <c r="Q15" i="12769"/>
  <c r="K16" i="12769"/>
  <c r="M16" i="12769"/>
  <c r="O16" i="12769"/>
  <c r="Q16" i="12769"/>
  <c r="K18" i="12769"/>
  <c r="M18" i="12769"/>
  <c r="O18" i="12769"/>
  <c r="Q18" i="12769"/>
  <c r="K19" i="12769"/>
  <c r="M19" i="12769"/>
  <c r="O19" i="12769"/>
  <c r="Q19" i="12769"/>
  <c r="K20" i="12769"/>
  <c r="M20" i="12769"/>
  <c r="O20" i="12769"/>
  <c r="Q20" i="12769"/>
  <c r="X21" i="12769"/>
  <c r="Y21" i="12769"/>
  <c r="K22" i="12769"/>
  <c r="M22" i="12769"/>
  <c r="O22" i="12769"/>
  <c r="Q22" i="12769"/>
  <c r="X22" i="12769"/>
  <c r="Y22" i="12769"/>
  <c r="K23" i="12769"/>
  <c r="M23" i="12769"/>
  <c r="O23" i="12769"/>
  <c r="Q23" i="12769"/>
  <c r="X23" i="12769"/>
  <c r="Y23" i="12769"/>
  <c r="K24" i="12769"/>
  <c r="M24" i="12769"/>
  <c r="O24" i="12769"/>
  <c r="Q24" i="12769"/>
  <c r="K26" i="12769"/>
  <c r="M26" i="12769"/>
  <c r="O26" i="12769"/>
  <c r="Q26" i="12769"/>
  <c r="K27" i="12769"/>
  <c r="M27" i="12769"/>
  <c r="O27" i="12769"/>
  <c r="Q27" i="12769"/>
  <c r="K28" i="12769"/>
  <c r="M28" i="12769"/>
  <c r="O28" i="12769"/>
  <c r="Q28" i="12769"/>
  <c r="K30" i="12769"/>
  <c r="M30" i="12769"/>
  <c r="O30" i="12769"/>
  <c r="Q30" i="12769"/>
  <c r="K31" i="12769"/>
  <c r="M31" i="12769"/>
  <c r="O31" i="12769"/>
  <c r="Q31" i="12769"/>
  <c r="K32" i="12769"/>
  <c r="M32" i="12769"/>
  <c r="O32" i="12769"/>
  <c r="Q32" i="12769"/>
  <c r="X35" i="12769"/>
  <c r="U37" i="12769"/>
  <c r="I14" i="12770"/>
  <c r="K14" i="12770"/>
  <c r="I15" i="12770"/>
  <c r="K15" i="12770"/>
  <c r="I16" i="12770"/>
  <c r="K16" i="12770"/>
  <c r="I18" i="12770"/>
  <c r="K18" i="12770"/>
  <c r="I19" i="12770"/>
  <c r="K19" i="12770"/>
  <c r="R19" i="12770"/>
  <c r="U19" i="12770"/>
  <c r="I20" i="12770"/>
  <c r="K20" i="12770"/>
  <c r="R20" i="12770"/>
  <c r="U20" i="12770"/>
  <c r="I22" i="12770"/>
  <c r="K22" i="12770"/>
  <c r="I23" i="12770"/>
  <c r="K23" i="12770"/>
  <c r="I24" i="12770"/>
  <c r="K24" i="12770"/>
  <c r="I26" i="12770"/>
  <c r="K26" i="12770"/>
  <c r="I27" i="12770"/>
  <c r="K27" i="12770"/>
  <c r="I28" i="12770"/>
  <c r="K28" i="12770"/>
  <c r="I30" i="12770"/>
  <c r="K30" i="12770"/>
  <c r="I31" i="12770"/>
  <c r="K31" i="12770"/>
  <c r="I32" i="12770"/>
  <c r="K32" i="12770"/>
  <c r="R32" i="12770"/>
  <c r="I34" i="12770"/>
  <c r="K34" i="12770"/>
  <c r="O34" i="12770"/>
  <c r="I35" i="12770"/>
  <c r="K35" i="12770"/>
  <c r="I36" i="12770"/>
  <c r="K36" i="12770"/>
  <c r="I38" i="12770"/>
  <c r="K38" i="12770"/>
  <c r="I39" i="12770"/>
  <c r="K39" i="12770"/>
  <c r="I40" i="12770"/>
  <c r="K40" i="12770"/>
  <c r="W14" i="12771"/>
  <c r="K18" i="12771"/>
  <c r="O18" i="12771"/>
  <c r="K19" i="12771"/>
  <c r="O19" i="12771"/>
  <c r="K20" i="12771"/>
  <c r="O20" i="12771"/>
  <c r="K23" i="12771"/>
  <c r="O23" i="12771"/>
  <c r="K24" i="12771"/>
  <c r="O24" i="12771"/>
  <c r="K25" i="12771"/>
  <c r="O25" i="12771"/>
  <c r="K27" i="12771"/>
  <c r="O27" i="12771"/>
  <c r="K28" i="12771"/>
  <c r="O28" i="12771"/>
  <c r="K29" i="12771"/>
  <c r="O29" i="12771"/>
  <c r="K31" i="12771"/>
  <c r="O31" i="12771"/>
  <c r="K32" i="12771"/>
  <c r="O32" i="12771"/>
  <c r="K33" i="12771"/>
  <c r="O33" i="12771"/>
  <c r="W33" i="12771"/>
  <c r="U35" i="12771"/>
  <c r="I15" i="12772"/>
  <c r="K15" i="12772"/>
  <c r="I16" i="12772"/>
  <c r="K16" i="12772"/>
  <c r="I17" i="12772"/>
  <c r="K17" i="12772"/>
  <c r="R18" i="12772"/>
  <c r="I19" i="12772"/>
  <c r="K19" i="12772"/>
  <c r="R19" i="12772"/>
  <c r="I20" i="12772"/>
  <c r="K20" i="12772"/>
  <c r="I21" i="12772"/>
  <c r="K21" i="12772"/>
  <c r="I23" i="12772"/>
  <c r="K23" i="12772"/>
  <c r="I24" i="12772"/>
  <c r="K24" i="12772"/>
  <c r="I25" i="12772"/>
  <c r="K25" i="12772"/>
  <c r="I27" i="12772"/>
  <c r="K27" i="12772"/>
  <c r="I28" i="12772"/>
  <c r="K28" i="12772"/>
  <c r="I29" i="12772"/>
  <c r="K29" i="12772"/>
  <c r="R30" i="12772"/>
  <c r="O32" i="12772"/>
  <c r="I15" i="12881"/>
  <c r="K15" i="12881"/>
  <c r="I16" i="12881"/>
  <c r="K16" i="12881"/>
  <c r="I17" i="12881"/>
  <c r="K17" i="12881"/>
  <c r="R18" i="12881"/>
  <c r="I19" i="12881"/>
  <c r="K19" i="12881"/>
  <c r="R19" i="12881"/>
  <c r="I20" i="12881"/>
  <c r="K20" i="12881"/>
  <c r="I21" i="12881"/>
  <c r="K21" i="12881"/>
  <c r="I23" i="12881"/>
  <c r="K23" i="12881"/>
  <c r="I24" i="12881"/>
  <c r="K24" i="12881"/>
  <c r="I25" i="12881"/>
  <c r="K25" i="12881"/>
  <c r="I27" i="12881"/>
  <c r="K27" i="12881"/>
  <c r="I28" i="12881"/>
  <c r="K28" i="12881"/>
  <c r="I29" i="12881"/>
  <c r="K29" i="12881"/>
  <c r="R30" i="12881"/>
  <c r="O32" i="12881"/>
  <c r="I15" i="12791"/>
  <c r="K15" i="12791"/>
  <c r="I16" i="12791"/>
  <c r="K16" i="12791"/>
  <c r="I17" i="12791"/>
  <c r="K17" i="12791"/>
  <c r="S18" i="12791"/>
  <c r="I19" i="12791"/>
  <c r="K19" i="12791"/>
  <c r="S19" i="12791"/>
  <c r="I20" i="12791"/>
  <c r="K20" i="12791"/>
  <c r="I21" i="12791"/>
  <c r="K21" i="12791"/>
  <c r="I23" i="12791"/>
  <c r="K23" i="12791"/>
  <c r="I24" i="12791"/>
  <c r="K24" i="12791"/>
  <c r="I25" i="12791"/>
  <c r="K25" i="12791"/>
  <c r="I27" i="12791"/>
  <c r="K27" i="12791"/>
  <c r="I28" i="12791"/>
  <c r="K28" i="12791"/>
  <c r="I29" i="12791"/>
  <c r="K29" i="12791"/>
  <c r="S30" i="12791"/>
  <c r="O32" i="127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P15223</author>
  </authors>
  <commentList>
    <comment ref="A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<sst xmlns="http://schemas.openxmlformats.org/spreadsheetml/2006/main" count="8197" uniqueCount="1476">
  <si>
    <t>Revenue</t>
  </si>
  <si>
    <t>Total</t>
  </si>
  <si>
    <t xml:space="preserve">Total </t>
  </si>
  <si>
    <t>Temperature</t>
  </si>
  <si>
    <t>Price</t>
  </si>
  <si>
    <t>Residential</t>
  </si>
  <si>
    <t>Commercial</t>
  </si>
  <si>
    <t>Customer</t>
  </si>
  <si>
    <t>MWh</t>
  </si>
  <si>
    <t>kWh</t>
  </si>
  <si>
    <t>Total Residential</t>
  </si>
  <si>
    <t>Total Commercial</t>
  </si>
  <si>
    <t>Industrial</t>
  </si>
  <si>
    <t xml:space="preserve"> </t>
  </si>
  <si>
    <t>AGA</t>
  </si>
  <si>
    <t>Subtotal</t>
  </si>
  <si>
    <t>Revenues</t>
  </si>
  <si>
    <t>Average</t>
  </si>
  <si>
    <t>Customers</t>
  </si>
  <si>
    <t>Schedule 36</t>
  </si>
  <si>
    <t>$</t>
  </si>
  <si>
    <t>48T</t>
  </si>
  <si>
    <t>Sch. 191</t>
  </si>
  <si>
    <t xml:space="preserve">  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</si>
  <si>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</si>
  <si>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</si>
  <si>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</si>
  <si>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</si>
  <si>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</si>
  <si>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</si>
  <si>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</si>
  <si>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</si>
  <si>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</si>
  <si>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</si>
  <si>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</si>
  <si>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</si>
  <si>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</si>
  <si>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</si>
  <si>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</si>
  <si>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</si>
  <si>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</si>
  <si>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</si>
  <si>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</si>
  <si>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</si>
  <si>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</si>
  <si>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</si>
  <si>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</si>
  <si>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</si>
  <si>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</si>
  <si>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</si>
  <si>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</si>
  <si>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</si>
  <si>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</si>
  <si>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</si>
  <si>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</si>
  <si>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</si>
  <si>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</si>
  <si>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</si>
  <si>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</si>
  <si>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</si>
  <si>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</si>
  <si>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24f</t>
  </si>
  <si>
    <t>15n</t>
  </si>
  <si>
    <t>48m</t>
  </si>
  <si>
    <t>48t</t>
  </si>
  <si>
    <t>24fp</t>
  </si>
  <si>
    <t>40x</t>
  </si>
  <si>
    <t>53f</t>
  </si>
  <si>
    <t>53m</t>
  </si>
  <si>
    <t>15r</t>
  </si>
  <si>
    <t>18x</t>
  </si>
  <si>
    <t>Check</t>
  </si>
  <si>
    <t>MONTHLY KWH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</si>
  <si>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</si>
  <si>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</si>
  <si>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</si>
  <si>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</si>
  <si>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</si>
  <si>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</si>
  <si>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</si>
  <si>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</si>
  <si>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</si>
  <si>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</si>
  <si>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</si>
  <si>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</si>
  <si>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</si>
  <si>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</si>
  <si>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</si>
  <si>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</si>
  <si>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</si>
  <si>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</si>
  <si>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</si>
  <si>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</si>
  <si>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Total Irrigation</t>
  </si>
  <si>
    <t>02NMT24135, Net metering, WA</t>
  </si>
  <si>
    <t>02LGSB048T - WA GEN SRVC, NO BPA</t>
  </si>
  <si>
    <t>301119 - UNBILLED REV - UNCOLLECTIBLE</t>
  </si>
  <si>
    <t>02GNSB0024-WA GEN SRVC DO</t>
  </si>
  <si>
    <t>02GNSB24FP-WA GEN SVC SEASONAL</t>
  </si>
  <si>
    <t>ACQUISITION COMMITMENT-A and G CREDIT</t>
  </si>
  <si>
    <t>ACQUISITION COMMITMENT-WEST VALLEY LEASE</t>
  </si>
  <si>
    <t>02OALTB15N-WA OUTD AR LGT NR</t>
  </si>
  <si>
    <t>02GNSB024F-GEN SRVC DOM/F</t>
  </si>
  <si>
    <t>02LGSB0036-LRG GEN SVC IRG</t>
  </si>
  <si>
    <t>02OALTB15R-WA OUTD AR LGT RES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</si>
  <si>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</si>
  <si>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</si>
  <si>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</si>
  <si>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</si>
  <si>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</si>
  <si>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</si>
  <si>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Error Check</t>
  </si>
  <si>
    <t>Increase</t>
  </si>
  <si>
    <t>Pro Forma</t>
  </si>
  <si>
    <t>Difference</t>
  </si>
  <si>
    <t>TABLE A. PRESENT AND PROPOSED RATES</t>
  </si>
  <si>
    <t>ON REVENUES FROM ELECTRIC SALES TO ULTIMATE CONSUMERS</t>
  </si>
  <si>
    <t>IN WASHINGTON</t>
  </si>
  <si>
    <t>12 MONTHS ENDED JUNE 2008 PRO FORMA</t>
  </si>
  <si>
    <t>Actual</t>
  </si>
  <si>
    <t>Proposed</t>
  </si>
  <si>
    <t xml:space="preserve">Proposed </t>
  </si>
  <si>
    <t>Avg.</t>
  </si>
  <si>
    <t>Sch.</t>
  </si>
  <si>
    <t>Cust.</t>
  </si>
  <si>
    <t>MWH</t>
  </si>
  <si>
    <t>%</t>
  </si>
  <si>
    <t>(1)</t>
  </si>
  <si>
    <t>(2)</t>
  </si>
  <si>
    <t>(3)</t>
  </si>
  <si>
    <t>(4)</t>
  </si>
  <si>
    <t>(5)</t>
  </si>
  <si>
    <t>(6)</t>
  </si>
  <si>
    <t>(7)</t>
  </si>
  <si>
    <t>(8)</t>
  </si>
  <si>
    <t>Residential Service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</si>
  <si>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</si>
  <si>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</si>
  <si>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</si>
  <si>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</si>
  <si>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</si>
  <si>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</si>
  <si>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</si>
  <si>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</si>
  <si>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</si>
  <si>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</si>
  <si>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</si>
  <si>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</si>
  <si>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</si>
  <si>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</si>
  <si>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</si>
  <si>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</si>
  <si>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</si>
  <si>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</si>
  <si>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</si>
  <si>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</si>
  <si>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</si>
  <si>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</si>
  <si>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</si>
  <si>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</si>
  <si>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</si>
  <si>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</si>
  <si>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</si>
  <si>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</si>
  <si>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</si>
  <si>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</si>
  <si>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</si>
  <si>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</si>
  <si>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</si>
  <si>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</si>
  <si>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</si>
  <si>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</si>
  <si>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</si>
  <si>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</si>
  <si>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</si>
  <si>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</si>
  <si>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</si>
  <si>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</si>
  <si>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</si>
  <si>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</si>
  <si>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</si>
  <si>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</si>
  <si>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</si>
  <si>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</si>
  <si>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</si>
  <si>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</si>
  <si>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</si>
  <si>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</si>
  <si>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</si>
  <si>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</si>
  <si>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</si>
  <si>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</si>
  <si>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</si>
  <si>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</si>
  <si>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</si>
  <si>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</si>
  <si>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</si>
  <si>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</si>
  <si>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</si>
  <si>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</si>
  <si>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</si>
  <si>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</si>
  <si>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</si>
  <si>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</si>
  <si>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</si>
  <si>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</si>
  <si>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</si>
  <si>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</si>
  <si>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</si>
  <si>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</si>
  <si>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</si>
  <si>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</si>
  <si>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</si>
  <si>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</si>
  <si>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</si>
  <si>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</si>
  <si>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</si>
  <si>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</si>
  <si>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</si>
  <si>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</si>
  <si>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</si>
  <si>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</si>
  <si>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</si>
  <si>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</si>
  <si>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</si>
  <si>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</si>
  <si>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</si>
  <si>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</si>
  <si>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</si>
  <si>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</si>
  <si>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</si>
  <si>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</si>
  <si>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</si>
  <si>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</si>
  <si>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</si>
  <si>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</si>
  <si>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</si>
  <si>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</si>
  <si>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</si>
  <si>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</si>
  <si>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</si>
  <si>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</si>
  <si>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</si>
  <si>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</si>
  <si>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</si>
  <si>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</si>
  <si>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</si>
  <si>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</si>
  <si>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</si>
  <si>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</si>
  <si>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</si>
  <si>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</si>
  <si>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</si>
  <si>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</si>
  <si>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</si>
  <si>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</si>
  <si>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</si>
  <si>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</si>
  <si>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</si>
  <si>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</si>
  <si>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</si>
  <si>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</si>
  <si>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</si>
  <si>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</si>
  <si>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</si>
  <si>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</si>
  <si>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</si>
  <si>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</si>
  <si>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</si>
  <si>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</si>
  <si>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</si>
  <si>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</si>
  <si>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</si>
  <si>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</si>
  <si>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</si>
  <si>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</si>
  <si>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</si>
  <si>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</si>
  <si>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</si>
  <si>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</si>
  <si>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</si>
  <si>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</si>
  <si>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</si>
  <si>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</si>
  <si>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</si>
  <si>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</si>
  <si>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</si>
  <si>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</si>
  <si>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</si>
  <si>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</si>
  <si>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</si>
  <si>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</si>
  <si>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</si>
  <si>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</si>
  <si>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</si>
  <si>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</si>
  <si>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</si>
  <si>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</si>
  <si>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</si>
  <si>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</si>
  <si>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</si>
  <si>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</si>
  <si>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</si>
  <si>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</si>
  <si>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</si>
  <si>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</si>
  <si>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</si>
  <si>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</si>
  <si>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</si>
  <si>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</si>
  <si>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</si>
  <si>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</si>
  <si>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</si>
  <si>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</si>
  <si>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</si>
  <si>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</si>
  <si>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</si>
  <si>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</si>
  <si>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</si>
  <si>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</si>
  <si>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</si>
  <si>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</si>
  <si>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</si>
  <si>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</si>
  <si>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</si>
  <si>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</si>
  <si>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</si>
  <si>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</si>
  <si>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</si>
  <si>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</si>
  <si>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</si>
  <si>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</si>
  <si>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</si>
  <si>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</si>
  <si>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</si>
  <si>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</si>
  <si>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</si>
  <si>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</si>
  <si>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</si>
  <si>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</si>
  <si>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</si>
  <si>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</si>
  <si>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</si>
  <si>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</si>
  <si>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</si>
  <si>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</si>
  <si>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</si>
  <si>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</si>
  <si>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</si>
  <si>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</si>
  <si>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</si>
  <si>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</si>
  <si>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</si>
  <si>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</si>
  <si>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</si>
  <si>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</si>
  <si>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</si>
  <si>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</si>
  <si>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</si>
  <si>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</si>
  <si>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</si>
  <si>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</si>
  <si>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</si>
  <si>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</si>
  <si>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</si>
  <si>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</si>
  <si>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</si>
  <si>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</si>
  <si>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</si>
  <si>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</si>
  <si>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</si>
  <si>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</si>
  <si>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</si>
  <si>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</si>
  <si>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</si>
  <si>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</si>
  <si>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</si>
  <si>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PACIFIC POWER</t>
  </si>
  <si>
    <t>SCHEDULE 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</si>
  <si>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</si>
  <si>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</si>
  <si>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</si>
  <si>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</si>
  <si>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</si>
  <si>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</si>
  <si>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</si>
  <si>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</si>
  <si>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</si>
  <si>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</si>
  <si>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</si>
  <si>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</si>
  <si>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</si>
  <si>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</si>
  <si>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</si>
  <si>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</si>
  <si>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</si>
  <si>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</si>
  <si>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</si>
  <si>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</si>
  <si>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</si>
  <si>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</si>
  <si>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</si>
  <si>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</si>
  <si>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</si>
  <si>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</si>
  <si>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</si>
  <si>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</si>
  <si>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</si>
  <si>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</si>
  <si>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</si>
  <si>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</si>
  <si>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</si>
  <si>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</si>
  <si>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</si>
  <si>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</si>
  <si>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</si>
  <si>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 xml:space="preserve">Prior 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</si>
  <si>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</si>
  <si>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</si>
  <si>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</si>
  <si>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</si>
  <si>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</si>
  <si>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</si>
  <si>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</si>
  <si>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</si>
  <si>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</si>
  <si>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</si>
  <si>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</si>
  <si>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</si>
  <si>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</si>
  <si>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</si>
  <si>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</si>
  <si>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</si>
  <si>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</si>
  <si>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</si>
  <si>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</si>
  <si>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</si>
  <si>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</si>
  <si>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Sch 16</t>
  </si>
  <si>
    <t>Sch 18</t>
  </si>
  <si>
    <t>*</t>
  </si>
  <si>
    <t>* Average Washington Customer</t>
  </si>
  <si>
    <t>Lighting</t>
  </si>
  <si>
    <t>PacifiCorp</t>
  </si>
  <si>
    <t>Small General Service-Residential</t>
  </si>
  <si>
    <t>Sch 17</t>
  </si>
  <si>
    <t xml:space="preserve">      ** Does not include November Load Size Charge.</t>
  </si>
  <si>
    <t>Transmission</t>
  </si>
  <si>
    <t>16/17/18</t>
  </si>
  <si>
    <t>Large General Service 30,000 kW and over-Primary Dedicated Facilities</t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</si>
  <si>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</si>
  <si>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</si>
  <si>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</si>
  <si>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</si>
  <si>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</si>
  <si>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</si>
  <si>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</si>
  <si>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</si>
  <si>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</si>
  <si>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</si>
  <si>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</si>
  <si>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</si>
  <si>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</si>
  <si>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</si>
  <si>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</si>
  <si>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</si>
  <si>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</si>
  <si>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</si>
  <si>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</si>
  <si>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</si>
  <si>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</si>
  <si>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</si>
  <si>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</si>
  <si>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</si>
  <si>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</si>
  <si>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</si>
  <si>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</si>
  <si>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</si>
  <si>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</si>
  <si>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Total Rate - 1st 600 kWh</t>
  </si>
  <si>
    <t>Total Rate - All Addt'l kWh</t>
  </si>
  <si>
    <t>NPC-Base - 1st 40,000 kWh</t>
  </si>
  <si>
    <t>NPC-Base - All additional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</si>
  <si>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</si>
  <si>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</si>
  <si>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</si>
  <si>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</si>
  <si>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</si>
  <si>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</si>
  <si>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Large Partial Requirements Service - Secondary</t>
  </si>
  <si>
    <t>*Included in Generation Price</t>
  </si>
  <si>
    <t>Residential Overall:</t>
  </si>
  <si>
    <t>Schedule 48 Overall:</t>
  </si>
  <si>
    <t>Total Change</t>
  </si>
  <si>
    <t>12 MONTHS ENDED JUNE 2015</t>
  </si>
  <si>
    <t>12 Months Ended December 2013</t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</si>
  <si>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</si>
  <si>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</si>
  <si>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</si>
  <si>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</si>
  <si>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</si>
  <si>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</si>
  <si>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</si>
  <si>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</si>
  <si>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</si>
  <si>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</si>
  <si>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</si>
  <si>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</si>
  <si>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</si>
  <si>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</si>
  <si>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</si>
  <si>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</si>
  <si>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</si>
  <si>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</si>
  <si>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</si>
  <si>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</si>
  <si>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</si>
  <si>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</si>
  <si>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</si>
  <si>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</si>
  <si>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</si>
  <si>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t>SCHEDULE 135</t>
  </si>
  <si>
    <t>Includes Schedule 24 Residential Net Metering</t>
  </si>
  <si>
    <t>12 MONTHS ENDED JUNE 2019</t>
  </si>
  <si>
    <t xml:space="preserve"> On Peak kWh</t>
  </si>
  <si>
    <t xml:space="preserve">  Off Peak kWh</t>
  </si>
  <si>
    <t>Proposed Base</t>
  </si>
  <si>
    <r>
      <t xml:space="preserve">Monthly Billing </t>
    </r>
    <r>
      <rPr>
        <vertAlign val="superscript"/>
        <sz val="11"/>
        <rFont val="Times New Roman"/>
        <family val="1"/>
      </rPr>
      <t>1</t>
    </r>
  </si>
  <si>
    <t>Average Rate ¢/kWh</t>
  </si>
  <si>
    <t>Off-Peak</t>
  </si>
  <si>
    <t>(9)</t>
  </si>
  <si>
    <t>On-Peak</t>
  </si>
  <si>
    <t>w min included</t>
  </si>
  <si>
    <t>FTAA-Proposed</t>
  </si>
  <si>
    <t>FTAA-Current</t>
  </si>
  <si>
    <t>ESTIMATED EFFECT OF PROPOSED RATE CHANGE</t>
  </si>
  <si>
    <t>Lamp Charges</t>
  </si>
  <si>
    <t xml:space="preserve">     Level 1 - ≤ 5,500 Lumens</t>
  </si>
  <si>
    <t xml:space="preserve">     Level 2 - 5,501-12,000 Lumens</t>
  </si>
  <si>
    <t xml:space="preserve">  All kW-On-Peak</t>
  </si>
  <si>
    <t>Functional Lighting - Customer Funded Conversion</t>
  </si>
  <si>
    <t xml:space="preserve">     Level 3 - &gt; 12,000 Lumens</t>
  </si>
  <si>
    <t xml:space="preserve">     Level 1 - ≤ 3,500 Lumens</t>
  </si>
  <si>
    <t xml:space="preserve">     Level 2 - 3,501-5,500 Lumens</t>
  </si>
  <si>
    <t xml:space="preserve">     Level 3 - 5,501-8,000 Lumens</t>
  </si>
  <si>
    <t xml:space="preserve">     Level 4 - 8,001-12,000 Lumens</t>
  </si>
  <si>
    <t xml:space="preserve">     Level 5 - 12,001-15,500 Lumens</t>
  </si>
  <si>
    <t xml:space="preserve">     Level 6 - &gt; 15,501 Lumens</t>
  </si>
  <si>
    <t>Functional Lighting</t>
  </si>
  <si>
    <t>Decorative Series</t>
  </si>
  <si>
    <t>kWh per lamp</t>
  </si>
  <si>
    <t>Imputed KWh for Billing</t>
  </si>
  <si>
    <t>SCHEDULE 19</t>
  </si>
  <si>
    <t xml:space="preserve">  Time of Use Metering Fee</t>
  </si>
  <si>
    <t>Residential Service-Time of Use Pilot</t>
  </si>
  <si>
    <t>SCHEDULE 29</t>
  </si>
  <si>
    <t>General Service-Time of Use Pilot</t>
  </si>
  <si>
    <t xml:space="preserve">  On-Peak kWh</t>
  </si>
  <si>
    <t xml:space="preserve">  Off-Peak kWh</t>
  </si>
  <si>
    <t xml:space="preserve">  1st 50 kWh per kW</t>
  </si>
  <si>
    <t xml:space="preserve">  Time of Use Pilot Metering Fee</t>
  </si>
  <si>
    <t xml:space="preserve">  On-Peak kWh - Time of Use Pilot</t>
  </si>
  <si>
    <t xml:space="preserve">  Off-Peak kWh - Time of Use Pilot</t>
  </si>
  <si>
    <t>PACIFICORP</t>
  </si>
  <si>
    <t>(PCORC Filing)</t>
  </si>
  <si>
    <t>Proposed (PCORC Filing)</t>
  </si>
  <si>
    <t>Proposed (LIRF Filing)</t>
  </si>
  <si>
    <t>(LIRF Filing)</t>
  </si>
  <si>
    <t>Overall Proposed</t>
  </si>
  <si>
    <t>Both Filings</t>
  </si>
  <si>
    <t>PROPOSED RATE SPREAD</t>
  </si>
  <si>
    <t xml:space="preserve"> G+T+D+C+CO</t>
  </si>
  <si>
    <t xml:space="preserve"> - </t>
  </si>
  <si>
    <t>Results of Operations - Gn+Tr+Dist+Cust+Comm - TOTAL Unbundled</t>
  </si>
  <si>
    <t>Cost Of Service By Rate Schedule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</si>
  <si>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</si>
  <si>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</si>
  <si>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</si>
  <si>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</si>
  <si>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</si>
  <si>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</si>
  <si>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</si>
  <si>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</si>
  <si>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</si>
  <si>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</si>
  <si>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</si>
  <si>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Chk Total</t>
  </si>
  <si>
    <t xml:space="preserve">DESCRIPTION </t>
  </si>
  <si>
    <t>Washington
Jurisdiction
Normalized</t>
  </si>
  <si>
    <t>Residential
Schedule 16</t>
  </si>
  <si>
    <t>Small General
Service
Schedule 24</t>
  </si>
  <si>
    <t>Large General
Service &lt; 1,000 kW
Schedule 36</t>
  </si>
  <si>
    <t>Large General
Service &gt; 1,000 kW
Schedule 48</t>
  </si>
  <si>
    <t>Large General
Dedicated Facilities
Schedule 48</t>
  </si>
  <si>
    <t>Agricultural
Pumping
Schedule 40</t>
  </si>
  <si>
    <t>Street &amp; Area
Lighting
Sch. 15, 51-54, 57</t>
  </si>
  <si>
    <t>Operating Revenues</t>
  </si>
  <si>
    <t>Operating Expenses</t>
  </si>
  <si>
    <t>Operation &amp; Maintenance Expenses</t>
  </si>
  <si>
    <t>Depreciation Expense</t>
  </si>
  <si>
    <t>Amortization Expense</t>
  </si>
  <si>
    <t>Taxes Other Than Income</t>
  </si>
  <si>
    <t>Income Taxes - Federal</t>
  </si>
  <si>
    <t>Income Taxes - State</t>
  </si>
  <si>
    <t>Income Taxes Deferred</t>
  </si>
  <si>
    <t>Investment Tax Credit Adj</t>
  </si>
  <si>
    <t>Misc Revenues &amp; Expense</t>
  </si>
  <si>
    <t>Total Operating Expenses</t>
  </si>
  <si>
    <t>Operating Revenue For Return</t>
  </si>
  <si>
    <t>Rate Base :</t>
  </si>
  <si>
    <t>Electric Plant In Service</t>
  </si>
  <si>
    <t xml:space="preserve">Plant Held For Future Use </t>
  </si>
  <si>
    <t>Electric Plant Acquisition Adj</t>
  </si>
  <si>
    <t>Pensions</t>
  </si>
  <si>
    <t>Prepayments</t>
  </si>
  <si>
    <t>Fuel Stock</t>
  </si>
  <si>
    <t>Materials &amp; Supplies</t>
  </si>
  <si>
    <t>Misc Deferred Debits</t>
  </si>
  <si>
    <t>Cash Working Capital</t>
  </si>
  <si>
    <t>Weatherization Loans</t>
  </si>
  <si>
    <t>Miscellaneous Rate Base</t>
  </si>
  <si>
    <t>Total Rate Base Additions</t>
  </si>
  <si>
    <t>Rate Base Deductions :</t>
  </si>
  <si>
    <t>Accum Provision For Depreciation</t>
  </si>
  <si>
    <t>Accum Provision For Amortization</t>
  </si>
  <si>
    <t>Accum Deferred Income Taxes</t>
  </si>
  <si>
    <t>Unamortized ITC</t>
  </si>
  <si>
    <t>Customer Advance For Construction</t>
  </si>
  <si>
    <t>Customer Service Deposits</t>
  </si>
  <si>
    <t>Misc Rate Base Deductions</t>
  </si>
  <si>
    <t>Total Rate Base Deductions</t>
  </si>
  <si>
    <t>Total Rate Base</t>
  </si>
  <si>
    <t>Return On Rate Base</t>
  </si>
  <si>
    <t>Return On Equity</t>
  </si>
  <si>
    <r>
      <t>COS</t>
    </r>
    <r>
      <rPr>
        <b/>
        <u/>
        <sz val="10"/>
        <rFont val="Arial"/>
        <family val="2"/>
      </rPr>
      <t xml:space="preserve">
Factor</t>
    </r>
  </si>
  <si>
    <t>Return On Ratebase ($$)</t>
  </si>
  <si>
    <t>Operating &amp; Maintenance Expense</t>
  </si>
  <si>
    <t xml:space="preserve">        Bad Debt to Produce ROR</t>
  </si>
  <si>
    <t>F80</t>
  </si>
  <si>
    <t>Federal Income Taxes</t>
  </si>
  <si>
    <t xml:space="preserve">        FIT Adj to Produce Target ROR</t>
  </si>
  <si>
    <t>F101</t>
  </si>
  <si>
    <t>State Income Taxes</t>
  </si>
  <si>
    <t xml:space="preserve">        SIT Adj to Produce Target ROR</t>
  </si>
  <si>
    <t>Deferred Income Taxes</t>
  </si>
  <si>
    <t>Investment Tax Credit</t>
  </si>
  <si>
    <t>Misc Revenue &amp; Expenses</t>
  </si>
  <si>
    <t>Revenue Credits</t>
  </si>
  <si>
    <t>Total Revenue Requirements</t>
  </si>
  <si>
    <t xml:space="preserve">Increase / (Decrease) Required to </t>
  </si>
  <si>
    <t>Earn Equal Rates of Return</t>
  </si>
  <si>
    <t>Existing Revenues</t>
  </si>
  <si>
    <t xml:space="preserve">Percent Increase / (Decrease) </t>
  </si>
  <si>
    <t xml:space="preserve">Over Existing Rates To </t>
  </si>
  <si>
    <t>Equal Authorized RoE &amp; RoR</t>
  </si>
  <si>
    <t>ELECTRIC REVENUES</t>
  </si>
  <si>
    <r>
      <t>FERC</t>
    </r>
    <r>
      <rPr>
        <b/>
        <u/>
        <sz val="10"/>
        <rFont val="Arial"/>
        <family val="2"/>
      </rPr>
      <t xml:space="preserve">
ACCT</t>
    </r>
  </si>
  <si>
    <t>Func Study Row</t>
  </si>
  <si>
    <t>440</t>
  </si>
  <si>
    <t>Residential Sales</t>
  </si>
  <si>
    <t>442</t>
  </si>
  <si>
    <t>Commercial &amp; Industrial Sales</t>
  </si>
  <si>
    <t>Interruptible Demand</t>
  </si>
  <si>
    <t>Interruptible Energy</t>
  </si>
  <si>
    <t>444</t>
  </si>
  <si>
    <t>Public Street &amp; Highway Lighting</t>
  </si>
  <si>
    <t>445</t>
  </si>
  <si>
    <t>Other Sales to Public Authority</t>
  </si>
  <si>
    <t>448</t>
  </si>
  <si>
    <t>Interdepartmental</t>
  </si>
  <si>
    <t>Total Sales to Ultimate Customers</t>
  </si>
  <si>
    <t>447</t>
  </si>
  <si>
    <t>Sales for Resale</t>
  </si>
  <si>
    <t>447NPC</t>
  </si>
  <si>
    <t>Sales for Resale - NPC</t>
  </si>
  <si>
    <t>449</t>
  </si>
  <si>
    <t>Provision for Rate Refund</t>
  </si>
  <si>
    <t>State Specific Revenue Credit</t>
  </si>
  <si>
    <t>AGA Revenue</t>
  </si>
  <si>
    <t>Total Sales from Electricity</t>
  </si>
  <si>
    <t>Other Electric Operating Revenues</t>
  </si>
  <si>
    <t>450</t>
  </si>
  <si>
    <t>Forfeited Discounts &amp; Interest</t>
  </si>
  <si>
    <t>451</t>
  </si>
  <si>
    <t>Misc Electric Revenue</t>
  </si>
  <si>
    <t>453</t>
  </si>
  <si>
    <t>Water Sales</t>
  </si>
  <si>
    <t>454</t>
  </si>
  <si>
    <t>Rent of Electric Property</t>
  </si>
  <si>
    <t>Jim Bridger Generation</t>
  </si>
  <si>
    <t>456</t>
  </si>
  <si>
    <t>Other Electric Revenue</t>
  </si>
  <si>
    <t>Wheeling Revenue - Generation</t>
  </si>
  <si>
    <t>System Overhead</t>
  </si>
  <si>
    <t>Wheeling Revenue - Energy</t>
  </si>
  <si>
    <t>Total Other Electric Operating Revenues</t>
  </si>
  <si>
    <t>Total Electric Operating Revenues</t>
  </si>
  <si>
    <t>Miscellaneous Revenues</t>
  </si>
  <si>
    <t>41160</t>
  </si>
  <si>
    <t>Gain on Sale of Utility Plant - CR</t>
  </si>
  <si>
    <t>41170</t>
  </si>
  <si>
    <t xml:space="preserve">Loss on Sale of Utility Plant </t>
  </si>
  <si>
    <t>4118</t>
  </si>
  <si>
    <t>Gain from Emission Allowances</t>
  </si>
  <si>
    <t>Gain from Disposition of NOX Credits</t>
  </si>
  <si>
    <t>4194</t>
  </si>
  <si>
    <t>Impact Housing Interest Income</t>
  </si>
  <si>
    <t>421</t>
  </si>
  <si>
    <t>(Gain)/Loss on Sale of Utility Plant</t>
  </si>
  <si>
    <t>Total Miscellaneous Revenues</t>
  </si>
  <si>
    <t>Miscellaneous Expenses</t>
  </si>
  <si>
    <t>4311</t>
  </si>
  <si>
    <t>Interest on Customer Deposits</t>
  </si>
  <si>
    <t>Net Miscellaneous Revenues And Expense</t>
  </si>
  <si>
    <t>Distribution - METER -  Unbundled</t>
  </si>
  <si>
    <t>STEAM POWER GENERATION</t>
  </si>
  <si>
    <t>500</t>
  </si>
  <si>
    <t>Operation Suprvn &amp; Engineering</t>
  </si>
  <si>
    <t>JBG</t>
  </si>
  <si>
    <t>CAGW</t>
  </si>
  <si>
    <t>Total 500</t>
  </si>
  <si>
    <t>501</t>
  </si>
  <si>
    <t>Fuel Related</t>
  </si>
  <si>
    <t>JBE</t>
  </si>
  <si>
    <t>Total 501</t>
  </si>
  <si>
    <t>501NPC</t>
  </si>
  <si>
    <t>Fuel Related - NPC</t>
  </si>
  <si>
    <t>S</t>
  </si>
  <si>
    <t>CAEW</t>
  </si>
  <si>
    <t>Total Fuel Related</t>
  </si>
  <si>
    <t>502</t>
  </si>
  <si>
    <t>Steam Expenses</t>
  </si>
  <si>
    <t>SE/CAEW/CAEE</t>
  </si>
  <si>
    <t>Total 502</t>
  </si>
  <si>
    <t>503</t>
  </si>
  <si>
    <t>Steam From Other Sources</t>
  </si>
  <si>
    <t>503NPC</t>
  </si>
  <si>
    <t>Steam From Other Sources-NPC</t>
  </si>
  <si>
    <t>SE</t>
  </si>
  <si>
    <t>CAEE</t>
  </si>
  <si>
    <t>Total Steam From Other Sources</t>
  </si>
  <si>
    <t>505</t>
  </si>
  <si>
    <t>Electric Expenses</t>
  </si>
  <si>
    <t>Total 505</t>
  </si>
  <si>
    <t>506</t>
  </si>
  <si>
    <t>Misc. Steam Expense</t>
  </si>
  <si>
    <t>Total 506</t>
  </si>
  <si>
    <t>507</t>
  </si>
  <si>
    <t>Rents</t>
  </si>
  <si>
    <t>Total 507</t>
  </si>
  <si>
    <t>510</t>
  </si>
  <si>
    <t>Maint Supervision &amp; Engineering</t>
  </si>
  <si>
    <t>Total 510</t>
  </si>
  <si>
    <t>511</t>
  </si>
  <si>
    <t>Maintenance of Structures</t>
  </si>
  <si>
    <t>Total 511</t>
  </si>
  <si>
    <t>512</t>
  </si>
  <si>
    <t>Maintenance of Boiler Plant</t>
  </si>
  <si>
    <t>Total 512</t>
  </si>
  <si>
    <t>513</t>
  </si>
  <si>
    <t>Maintenance of Electric Plant</t>
  </si>
  <si>
    <t>Total 513</t>
  </si>
  <si>
    <t>514</t>
  </si>
  <si>
    <t>Maint of Misc. Steam Plant</t>
  </si>
  <si>
    <t>Total 514</t>
  </si>
  <si>
    <t>Total Steam Power Generation</t>
  </si>
  <si>
    <t>NUCLEAR POWER GENERATION</t>
  </si>
  <si>
    <t>517</t>
  </si>
  <si>
    <t>Operation Super &amp; Engineering</t>
  </si>
  <si>
    <t>518</t>
  </si>
  <si>
    <t>Nuclear Fuel Expense</t>
  </si>
  <si>
    <t>519</t>
  </si>
  <si>
    <t>Coolants and Water</t>
  </si>
  <si>
    <t>520</t>
  </si>
  <si>
    <t>523</t>
  </si>
  <si>
    <t>524</t>
  </si>
  <si>
    <t>Misc. Nuclear Expenses</t>
  </si>
  <si>
    <t>528</t>
  </si>
  <si>
    <t>Maint Supervision &amp; Eng</t>
  </si>
  <si>
    <t>529</t>
  </si>
  <si>
    <t>530</t>
  </si>
  <si>
    <t>Maintenance of Reactor Plant</t>
  </si>
  <si>
    <t>531</t>
  </si>
  <si>
    <t>532</t>
  </si>
  <si>
    <t>Maintenance of Misc Nuclear</t>
  </si>
  <si>
    <t>Total Nuclear Power Generation</t>
  </si>
  <si>
    <t>HYDRAULIC POWER GENERATION</t>
  </si>
  <si>
    <t>535</t>
  </si>
  <si>
    <t>SG</t>
  </si>
  <si>
    <t>536</t>
  </si>
  <si>
    <t>Water For Power</t>
  </si>
  <si>
    <t>537</t>
  </si>
  <si>
    <t>Hydraulic Expenses</t>
  </si>
  <si>
    <t>538</t>
  </si>
  <si>
    <t>539</t>
  </si>
  <si>
    <t>Misc. Hydro Expenses</t>
  </si>
  <si>
    <t>540</t>
  </si>
  <si>
    <t>Rents (Hydro Generation)</t>
  </si>
  <si>
    <t>541</t>
  </si>
  <si>
    <t>542</t>
  </si>
  <si>
    <t>543</t>
  </si>
  <si>
    <t>Maint of Dams &amp; Waterways</t>
  </si>
  <si>
    <t>544</t>
  </si>
  <si>
    <t>545</t>
  </si>
  <si>
    <t>Maint of Misc. Hydro Plant</t>
  </si>
  <si>
    <t xml:space="preserve">Total Hydraulic Power Generation </t>
  </si>
  <si>
    <t>OTHER POWER GENERATION</t>
  </si>
  <si>
    <t>546</t>
  </si>
  <si>
    <t>547</t>
  </si>
  <si>
    <t>Fuel</t>
  </si>
  <si>
    <t>CAEW/CAEE</t>
  </si>
  <si>
    <t>547NPC</t>
  </si>
  <si>
    <t>Fuel-NPC</t>
  </si>
  <si>
    <t>Total 547</t>
  </si>
  <si>
    <t>548</t>
  </si>
  <si>
    <t>Generation Expense</t>
  </si>
  <si>
    <t>Total 548</t>
  </si>
  <si>
    <t>549</t>
  </si>
  <si>
    <t>Miscellaneous Other</t>
  </si>
  <si>
    <t>CAGE/CAGW</t>
  </si>
  <si>
    <t>550/551</t>
  </si>
  <si>
    <t>Total 550</t>
  </si>
  <si>
    <t>552</t>
  </si>
  <si>
    <t>553</t>
  </si>
  <si>
    <t>Maint of Generation &amp; Elect Plant</t>
  </si>
  <si>
    <t>Total 553</t>
  </si>
  <si>
    <t>554</t>
  </si>
  <si>
    <t>Maintenance of Misc. Other</t>
  </si>
  <si>
    <t>Total 554</t>
  </si>
  <si>
    <t>Total Other Power Generation</t>
  </si>
  <si>
    <t>OTHER POWER SUPPLY</t>
  </si>
  <si>
    <t>555</t>
  </si>
  <si>
    <t>Purchased Power</t>
  </si>
  <si>
    <t>555NPC</t>
  </si>
  <si>
    <t>Purchased Power-NPC</t>
  </si>
  <si>
    <t>DGP</t>
  </si>
  <si>
    <t>Total 555</t>
  </si>
  <si>
    <t>556</t>
  </si>
  <si>
    <t>System Control &amp; Load Dispatch</t>
  </si>
  <si>
    <t>557</t>
  </si>
  <si>
    <t>Other Expenses</t>
  </si>
  <si>
    <t>Embedded Cost Differentials</t>
  </si>
  <si>
    <t>Company Owned Hydro</t>
  </si>
  <si>
    <t>Mid-C Contract</t>
  </si>
  <si>
    <t>Existing QF Contracts</t>
  </si>
  <si>
    <t>Total Other Power Supply</t>
  </si>
  <si>
    <t>TOTAL GENERATION EXPENSE</t>
  </si>
  <si>
    <t>TRANSMISSION EXPENSE</t>
  </si>
  <si>
    <t>560</t>
  </si>
  <si>
    <t>Operation Supervision &amp; Eng</t>
  </si>
  <si>
    <t>561</t>
  </si>
  <si>
    <t>Load Dispatching</t>
  </si>
  <si>
    <t>562</t>
  </si>
  <si>
    <t>Station Expense</t>
  </si>
  <si>
    <t>563</t>
  </si>
  <si>
    <t>Overhead Line Expense</t>
  </si>
  <si>
    <t>564</t>
  </si>
  <si>
    <t>Underground Line Expense</t>
  </si>
  <si>
    <t>565</t>
  </si>
  <si>
    <t>Transm of Electricity by Others</t>
  </si>
  <si>
    <t>565NPC</t>
  </si>
  <si>
    <t>Transmission of Electricity by Others-NPC</t>
  </si>
  <si>
    <t>566</t>
  </si>
  <si>
    <t>Misc. Transmission Expense</t>
  </si>
  <si>
    <t>567</t>
  </si>
  <si>
    <t>Rents - Transmission</t>
  </si>
  <si>
    <t>568</t>
  </si>
  <si>
    <t>569</t>
  </si>
  <si>
    <t>570</t>
  </si>
  <si>
    <t>Maint of Station Equipment</t>
  </si>
  <si>
    <t>571</t>
  </si>
  <si>
    <t>Maintenance of Overhead Lines</t>
  </si>
  <si>
    <t>572</t>
  </si>
  <si>
    <t>Maint of Underground Lines</t>
  </si>
  <si>
    <t>573</t>
  </si>
  <si>
    <t>Maint of Misc Transmission Plant</t>
  </si>
  <si>
    <t>TOTAL TRANSMISSION EXPENSE</t>
  </si>
  <si>
    <t>DISTRIBUTION EXPENSE</t>
  </si>
  <si>
    <t>580</t>
  </si>
  <si>
    <t>581</t>
  </si>
  <si>
    <t>582</t>
  </si>
  <si>
    <t>583</t>
  </si>
  <si>
    <t>Overhead Line Expenses</t>
  </si>
  <si>
    <t>584</t>
  </si>
  <si>
    <t>585</t>
  </si>
  <si>
    <t>Street Lighting &amp; Signal Systems</t>
  </si>
  <si>
    <t>586</t>
  </si>
  <si>
    <t>Meter Expenses</t>
  </si>
  <si>
    <t>587</t>
  </si>
  <si>
    <t>Customer Installation Expenses</t>
  </si>
  <si>
    <t>588</t>
  </si>
  <si>
    <t>Misc. Distribution Expenses</t>
  </si>
  <si>
    <t>589</t>
  </si>
  <si>
    <t>590</t>
  </si>
  <si>
    <t>591</t>
  </si>
  <si>
    <t>592</t>
  </si>
  <si>
    <t>593</t>
  </si>
  <si>
    <t>594</t>
  </si>
  <si>
    <t>595</t>
  </si>
  <si>
    <t>Maint of Line Transformers</t>
  </si>
  <si>
    <t>596</t>
  </si>
  <si>
    <t>Maint of Street Lighting &amp; Signals</t>
  </si>
  <si>
    <t>597</t>
  </si>
  <si>
    <t>Maintenance of Meters</t>
  </si>
  <si>
    <t>598</t>
  </si>
  <si>
    <t>Maint of Misc. Distribution Plant</t>
  </si>
  <si>
    <t>TOTAL DISTRIBUTION EXPENSE</t>
  </si>
  <si>
    <t>CUSTOMER ACCOUNTS EXPENSE</t>
  </si>
  <si>
    <t>901</t>
  </si>
  <si>
    <t>Supervision</t>
  </si>
  <si>
    <t>902</t>
  </si>
  <si>
    <t>Meter Reading Expense</t>
  </si>
  <si>
    <t>903</t>
  </si>
  <si>
    <t>Customer Receipts &amp; Collections</t>
  </si>
  <si>
    <t>904</t>
  </si>
  <si>
    <t>Uncollectible Accounts</t>
  </si>
  <si>
    <t>905</t>
  </si>
  <si>
    <t>Misc. Customer Accounts Exp</t>
  </si>
  <si>
    <t>TOTAL CUSTOMER ACCOUNTS EXPENSE</t>
  </si>
  <si>
    <t>CUSTOMER SERVICE EXPENSE</t>
  </si>
  <si>
    <t>907</t>
  </si>
  <si>
    <t>908</t>
  </si>
  <si>
    <t>Customer Assistance</t>
  </si>
  <si>
    <t>909</t>
  </si>
  <si>
    <t>Informational &amp; Instructional Adv</t>
  </si>
  <si>
    <t>910</t>
  </si>
  <si>
    <t>Misc. Customer Service</t>
  </si>
  <si>
    <t>TOTAL CUSTOMER SERVICE EXPENSE</t>
  </si>
  <si>
    <t>SALES EXPENSE</t>
  </si>
  <si>
    <t>911</t>
  </si>
  <si>
    <t>912</t>
  </si>
  <si>
    <t>Demonstration &amp; Selling Expense</t>
  </si>
  <si>
    <t>913</t>
  </si>
  <si>
    <t>Advertising Expense</t>
  </si>
  <si>
    <t>916</t>
  </si>
  <si>
    <t>Misc. Sales Expense</t>
  </si>
  <si>
    <t>TOTAL SALES EXPENSE</t>
  </si>
  <si>
    <t>ADMINISTRATION &amp; GENERAL EXPENSE</t>
  </si>
  <si>
    <t>920</t>
  </si>
  <si>
    <t>Administrative &amp; General Salaries</t>
  </si>
  <si>
    <t>Customer - System</t>
  </si>
  <si>
    <t>System Overheads</t>
  </si>
  <si>
    <t>921</t>
  </si>
  <si>
    <t>Office Supplies &amp; expenses</t>
  </si>
  <si>
    <t>A&amp;G Expenses Transferred</t>
  </si>
  <si>
    <t>923</t>
  </si>
  <si>
    <t>Outside Services</t>
  </si>
  <si>
    <t>924</t>
  </si>
  <si>
    <t>Property Insurance</t>
  </si>
  <si>
    <t>925</t>
  </si>
  <si>
    <t>Injuries &amp; Damages</t>
  </si>
  <si>
    <t>926</t>
  </si>
  <si>
    <t>Employee Pensions &amp; Benefits</t>
  </si>
  <si>
    <t>927</t>
  </si>
  <si>
    <t>Franchise Requirements</t>
  </si>
  <si>
    <t>928</t>
  </si>
  <si>
    <t>Regulatory Commission Expense</t>
  </si>
  <si>
    <t>Regulatory Expense</t>
  </si>
  <si>
    <t>929</t>
  </si>
  <si>
    <t>Duplicate Charges</t>
  </si>
  <si>
    <t>930</t>
  </si>
  <si>
    <t>Misc General Expenses</t>
  </si>
  <si>
    <t>Situs</t>
  </si>
  <si>
    <t>Labor</t>
  </si>
  <si>
    <t>931</t>
  </si>
  <si>
    <t>935</t>
  </si>
  <si>
    <t>Maintenance of General Plant</t>
  </si>
  <si>
    <t>TOTAL ADMINISTRATIVE &amp; GEN EXPENSE</t>
  </si>
  <si>
    <t>TOTAL O &amp; M EXPENSE</t>
  </si>
  <si>
    <t>DEPRECIATION EXPENSE</t>
  </si>
  <si>
    <t>403SP</t>
  </si>
  <si>
    <t>Steam Depreciation</t>
  </si>
  <si>
    <t>403NP</t>
  </si>
  <si>
    <t>Nuclear Depreciation</t>
  </si>
  <si>
    <t>403HP</t>
  </si>
  <si>
    <t>Hydro Depreciation</t>
  </si>
  <si>
    <t>403OP</t>
  </si>
  <si>
    <t>Other Generation Depreciation</t>
  </si>
  <si>
    <t>Simple Cycle Combustion Turbine</t>
  </si>
  <si>
    <t>System Generation</t>
  </si>
  <si>
    <t>Wind Generation</t>
  </si>
  <si>
    <t>Total 403OP</t>
  </si>
  <si>
    <t>403TP</t>
  </si>
  <si>
    <t>Transmission Depreciation</t>
  </si>
  <si>
    <t>403</t>
  </si>
  <si>
    <t>Distribution Depreciation</t>
  </si>
  <si>
    <t>Land Rights</t>
  </si>
  <si>
    <t>Structures</t>
  </si>
  <si>
    <t>Station Equip</t>
  </si>
  <si>
    <t>Poles &amp; Towers</t>
  </si>
  <si>
    <t>OH Conductors</t>
  </si>
  <si>
    <t>UG Conduit</t>
  </si>
  <si>
    <t>UG Conductor</t>
  </si>
  <si>
    <t>Line Transformer</t>
  </si>
  <si>
    <t>Services</t>
  </si>
  <si>
    <t>Meters</t>
  </si>
  <si>
    <t>Inst Cust Premises</t>
  </si>
  <si>
    <t>Leased Property</t>
  </si>
  <si>
    <t>Street Lighting</t>
  </si>
  <si>
    <t>Total Distribution Expense</t>
  </si>
  <si>
    <t>403GP</t>
  </si>
  <si>
    <t>General Depreciation</t>
  </si>
  <si>
    <t>DGU</t>
  </si>
  <si>
    <t>CN</t>
  </si>
  <si>
    <t>SG/CAGW/CAGE</t>
  </si>
  <si>
    <t>SO</t>
  </si>
  <si>
    <t>Total General Expense</t>
  </si>
  <si>
    <t>403GV0</t>
  </si>
  <si>
    <t>General Vehicles</t>
  </si>
  <si>
    <t>403MP</t>
  </si>
  <si>
    <t>Mining Depreciation</t>
  </si>
  <si>
    <t>403EP</t>
  </si>
  <si>
    <t>Experimental Plant Depreciation</t>
  </si>
  <si>
    <t>TOTAL DEPRECIATION EXPENSE</t>
  </si>
  <si>
    <t>AMORTIZATION EXPENSE</t>
  </si>
  <si>
    <t>404CLG</t>
  </si>
  <si>
    <t>Amort of LT Plant - Cap. Lease Gen</t>
  </si>
  <si>
    <t>SG/CAGW</t>
  </si>
  <si>
    <t>Total Amort. Cap. Lease General</t>
  </si>
  <si>
    <t>404CLS</t>
  </si>
  <si>
    <t>Amort of LT Plant - Cap Lease Steam</t>
  </si>
  <si>
    <t>404IP</t>
  </si>
  <si>
    <t>Amort of LT Plant - Intangible Plant</t>
  </si>
  <si>
    <t>Total Amort. Intangible Plant</t>
  </si>
  <si>
    <t>AMORTIZATION EXPENSE (continued)</t>
  </si>
  <si>
    <t>404O</t>
  </si>
  <si>
    <t>Amort of LT Plant - Other Plant</t>
  </si>
  <si>
    <t>404HP</t>
  </si>
  <si>
    <t>Amort of Other Electric Plant</t>
  </si>
  <si>
    <t>405</t>
  </si>
  <si>
    <t>406</t>
  </si>
  <si>
    <t>Amort of Plant Acquisition Adj</t>
  </si>
  <si>
    <t>407</t>
  </si>
  <si>
    <t>Amort of Prop Losses, Unrec Plant,</t>
  </si>
  <si>
    <t>TOTAL AMORTIZATION EXPENSE</t>
  </si>
  <si>
    <t>TAX OTHER THAN INCOME</t>
  </si>
  <si>
    <t>408</t>
  </si>
  <si>
    <t>Total Taxes Other Than Income</t>
  </si>
  <si>
    <t>DEFERRED  ITC</t>
  </si>
  <si>
    <t>41140</t>
  </si>
  <si>
    <t>Deferred I T C - Federal</t>
  </si>
  <si>
    <t>41141</t>
  </si>
  <si>
    <t>Deferred I T C - Idaho</t>
  </si>
  <si>
    <t>TOTAL DEFERRED ITC</t>
  </si>
  <si>
    <t>DEFERRED INCOME TAXES</t>
  </si>
  <si>
    <t>41010</t>
  </si>
  <si>
    <t>Deferred Income Tax - Federal-DR</t>
  </si>
  <si>
    <t>41011</t>
  </si>
  <si>
    <t>Deferred Income Tax - State-DR</t>
  </si>
  <si>
    <t>41110</t>
  </si>
  <si>
    <t>Deferred Income Tax - Federal-CR</t>
  </si>
  <si>
    <t>41111</t>
  </si>
  <si>
    <t>Deferred Income Tax - State-CR</t>
  </si>
  <si>
    <t>TOTAL DEFERRED INCOME TAXES</t>
  </si>
  <si>
    <t>40911</t>
  </si>
  <si>
    <t>40910</t>
  </si>
  <si>
    <t>Federal Income Tax</t>
  </si>
  <si>
    <t>TOTAL OPERATING EXPENSES</t>
  </si>
  <si>
    <t>STEAM GENERATION PLANT</t>
  </si>
  <si>
    <t>310</t>
  </si>
  <si>
    <t>Land and Land Rights</t>
  </si>
  <si>
    <t>Total 310</t>
  </si>
  <si>
    <t>311</t>
  </si>
  <si>
    <t>Structures and Improvements</t>
  </si>
  <si>
    <t>Total 311</t>
  </si>
  <si>
    <t>312</t>
  </si>
  <si>
    <t>Boiler Plant Equipment</t>
  </si>
  <si>
    <t>Total 312</t>
  </si>
  <si>
    <t>314</t>
  </si>
  <si>
    <t>Turbogenerator Units</t>
  </si>
  <si>
    <t>Total 314</t>
  </si>
  <si>
    <t>315</t>
  </si>
  <si>
    <t>Accessory Electric Equipment</t>
  </si>
  <si>
    <t>Total 315</t>
  </si>
  <si>
    <t>316</t>
  </si>
  <si>
    <t>Misc Power Plant Equipment</t>
  </si>
  <si>
    <t>Total 316</t>
  </si>
  <si>
    <t>S00</t>
  </si>
  <si>
    <t>Unclassified Steam Plant - Acct 300</t>
  </si>
  <si>
    <t>Total Steam Generation Plant</t>
  </si>
  <si>
    <t>NUCLEAR GENERATION</t>
  </si>
  <si>
    <t>320</t>
  </si>
  <si>
    <t>321</t>
  </si>
  <si>
    <t>322</t>
  </si>
  <si>
    <t>Reactor Plant Equipment</t>
  </si>
  <si>
    <t>323</t>
  </si>
  <si>
    <t>324</t>
  </si>
  <si>
    <t>325</t>
  </si>
  <si>
    <t>Misc. Power Plant Equipment</t>
  </si>
  <si>
    <t>N00</t>
  </si>
  <si>
    <t>Unclassified Nuclear Plt - Acct 300</t>
  </si>
  <si>
    <t>Total Nuclear Generation Plant</t>
  </si>
  <si>
    <t>HYDRAULIC GENERATION PLANT</t>
  </si>
  <si>
    <t>330</t>
  </si>
  <si>
    <t>331</t>
  </si>
  <si>
    <t>332</t>
  </si>
  <si>
    <t>Reservoirs, Dams &amp; Waterways</t>
  </si>
  <si>
    <t>333</t>
  </si>
  <si>
    <t>Water Wheel, Turbines, &amp; Generators</t>
  </si>
  <si>
    <t>334</t>
  </si>
  <si>
    <t>335</t>
  </si>
  <si>
    <t>336</t>
  </si>
  <si>
    <t>Roads, Railroads &amp; Bridges</t>
  </si>
  <si>
    <t>H00</t>
  </si>
  <si>
    <t>Unclassified Hydro Plant - Acct 300</t>
  </si>
  <si>
    <t>Total Hydraulic Plant</t>
  </si>
  <si>
    <t>340</t>
  </si>
  <si>
    <t>Total 340</t>
  </si>
  <si>
    <t>341</t>
  </si>
  <si>
    <t>Total 341</t>
  </si>
  <si>
    <t>342</t>
  </si>
  <si>
    <t>Fuel Holders, Producers &amp; Access</t>
  </si>
  <si>
    <t>Total 342</t>
  </si>
  <si>
    <t>343</t>
  </si>
  <si>
    <t>Prime Movers</t>
  </si>
  <si>
    <t>Total 343</t>
  </si>
  <si>
    <t>344</t>
  </si>
  <si>
    <t>Generators</t>
  </si>
  <si>
    <t>Total 344</t>
  </si>
  <si>
    <t>345</t>
  </si>
  <si>
    <t>Accessory Electric Plant</t>
  </si>
  <si>
    <t>Total 345</t>
  </si>
  <si>
    <t>346</t>
  </si>
  <si>
    <t>O00</t>
  </si>
  <si>
    <t>Unclassified Other Prod - Acct 300</t>
  </si>
  <si>
    <t>Total Other Generation Plant</t>
  </si>
  <si>
    <t>Experimental Plant</t>
  </si>
  <si>
    <t>103</t>
  </si>
  <si>
    <t>TOTAL GENERATION PLANT</t>
  </si>
  <si>
    <t>TRANSMISSION PLANT</t>
  </si>
  <si>
    <t>350</t>
  </si>
  <si>
    <t>Direct Assigned</t>
  </si>
  <si>
    <t>352</t>
  </si>
  <si>
    <t>353</t>
  </si>
  <si>
    <t>Station Equipment</t>
  </si>
  <si>
    <t>354</t>
  </si>
  <si>
    <t>Towers and Fixtures</t>
  </si>
  <si>
    <t>355</t>
  </si>
  <si>
    <t>Poles and Fixtures</t>
  </si>
  <si>
    <t>356</t>
  </si>
  <si>
    <t>Overhead Conductors</t>
  </si>
  <si>
    <t>357</t>
  </si>
  <si>
    <t>Underground Conduit</t>
  </si>
  <si>
    <t>358</t>
  </si>
  <si>
    <t xml:space="preserve">Underground Conductors </t>
  </si>
  <si>
    <t>359</t>
  </si>
  <si>
    <t>Roads and Trails</t>
  </si>
  <si>
    <t>T00</t>
  </si>
  <si>
    <t>Unclassified Trans Plant - Acct 300</t>
  </si>
  <si>
    <t>TS0</t>
  </si>
  <si>
    <t>Unclassified Trans Sub - Acct 300</t>
  </si>
  <si>
    <t>TOTAL TRANSMISSION PLANT</t>
  </si>
  <si>
    <t>DISTRIBUTION PLANT</t>
  </si>
  <si>
    <t>360</t>
  </si>
  <si>
    <t>Demand Primary</t>
  </si>
  <si>
    <t>Assigned</t>
  </si>
  <si>
    <t>361</t>
  </si>
  <si>
    <t>362</t>
  </si>
  <si>
    <t>364</t>
  </si>
  <si>
    <t>Poles, Towers &amp; Fixtures</t>
  </si>
  <si>
    <t>Demand Secondary</t>
  </si>
  <si>
    <t>365</t>
  </si>
  <si>
    <t>366</t>
  </si>
  <si>
    <t>367</t>
  </si>
  <si>
    <t>368</t>
  </si>
  <si>
    <t>Line Transformers</t>
  </si>
  <si>
    <t>369</t>
  </si>
  <si>
    <t>370</t>
  </si>
  <si>
    <t>371</t>
  </si>
  <si>
    <t>Install on Customers' Premises</t>
  </si>
  <si>
    <t>372</t>
  </si>
  <si>
    <t>373</t>
  </si>
  <si>
    <t>Street Lights</t>
  </si>
  <si>
    <t>D00</t>
  </si>
  <si>
    <t>Unclassified Dist Plant - Acct 300</t>
  </si>
  <si>
    <t>DS0</t>
  </si>
  <si>
    <t>Unclassified Dist Sub  - Acct 300</t>
  </si>
  <si>
    <t>TOTAL DISTRIBUTION PLANT</t>
  </si>
  <si>
    <t>GENERAL PLANT</t>
  </si>
  <si>
    <t>389</t>
  </si>
  <si>
    <t>SG/CAGE/CAGW</t>
  </si>
  <si>
    <t>Total Land &amp; Land Rights</t>
  </si>
  <si>
    <t>390</t>
  </si>
  <si>
    <t>Total Structures and Improvements</t>
  </si>
  <si>
    <t>391</t>
  </si>
  <si>
    <t>Office Furniture &amp; Equipment</t>
  </si>
  <si>
    <t>SGP</t>
  </si>
  <si>
    <t>SGU</t>
  </si>
  <si>
    <t>Total Office Furniture &amp; Equipment</t>
  </si>
  <si>
    <t>392</t>
  </si>
  <si>
    <t>Transportation Equipment</t>
  </si>
  <si>
    <t>SG-U</t>
  </si>
  <si>
    <t>CAGE</t>
  </si>
  <si>
    <t>Total Transportation Equipment</t>
  </si>
  <si>
    <t>393</t>
  </si>
  <si>
    <t>Stores Equipment</t>
  </si>
  <si>
    <t>SG-P</t>
  </si>
  <si>
    <t>Total Stores Equipment</t>
  </si>
  <si>
    <t>394</t>
  </si>
  <si>
    <t>Tools, Shop &amp; Garage Equipment</t>
  </si>
  <si>
    <t>Total Tools, Shop &amp; Garage Equipment</t>
  </si>
  <si>
    <t>395</t>
  </si>
  <si>
    <t>Laboratory Equipment</t>
  </si>
  <si>
    <t>Total Laboratory Equipment</t>
  </si>
  <si>
    <t>396</t>
  </si>
  <si>
    <t>Power Operated Equipment</t>
  </si>
  <si>
    <t>Total Power Operated Equipment</t>
  </si>
  <si>
    <t>397</t>
  </si>
  <si>
    <t>Communication Equipment</t>
  </si>
  <si>
    <t>Total Communication Equipment</t>
  </si>
  <si>
    <t>398</t>
  </si>
  <si>
    <t>Misc. Equipment</t>
  </si>
  <si>
    <t>Total Misc. Equipment</t>
  </si>
  <si>
    <t>399</t>
  </si>
  <si>
    <t>Coal Mine</t>
  </si>
  <si>
    <t>399L</t>
  </si>
  <si>
    <t>WIDCO Capital Lease</t>
  </si>
  <si>
    <t>Remove Capital Lease</t>
  </si>
  <si>
    <t>390L</t>
  </si>
  <si>
    <t>General Capital Lease</t>
  </si>
  <si>
    <t>SO-U</t>
  </si>
  <si>
    <t>392L</t>
  </si>
  <si>
    <t>General Vehicles Capital Lease</t>
  </si>
  <si>
    <t>G00</t>
  </si>
  <si>
    <t>Unclassified Gen Plant - Acct 300</t>
  </si>
  <si>
    <t>GV0</t>
  </si>
  <si>
    <t>Unclassified Gen Veh - Acct 300</t>
  </si>
  <si>
    <t>TOTAL GENERAL PLANT</t>
  </si>
  <si>
    <t>INTANGIBLE PLANT</t>
  </si>
  <si>
    <t>301</t>
  </si>
  <si>
    <t>Organization</t>
  </si>
  <si>
    <t>Total Organization</t>
  </si>
  <si>
    <t>302</t>
  </si>
  <si>
    <t>Franchise &amp; Consent</t>
  </si>
  <si>
    <t>Total Franchise &amp; Consent</t>
  </si>
  <si>
    <t>303</t>
  </si>
  <si>
    <t>Miscellaneous Intangible Plant</t>
  </si>
  <si>
    <t>Total Miscellaneous Intangible Plant</t>
  </si>
  <si>
    <t>I00</t>
  </si>
  <si>
    <t>Unclass Intangible Plant - Acct 300</t>
  </si>
  <si>
    <t>TOTAL INTANGIBLE PLANT</t>
  </si>
  <si>
    <t>TOTAL ELECTRIC PLANT IN SERVICE</t>
  </si>
  <si>
    <t>MISC RATE BASE</t>
  </si>
  <si>
    <t>105</t>
  </si>
  <si>
    <t>Plant Held For Future Use</t>
  </si>
  <si>
    <t>DNPT</t>
  </si>
  <si>
    <t>DNPPOP</t>
  </si>
  <si>
    <t>SE/CAEE/CAEW</t>
  </si>
  <si>
    <t>DNPG</t>
  </si>
  <si>
    <t>Total Plant Held For Future Use</t>
  </si>
  <si>
    <t>114</t>
  </si>
  <si>
    <t>Electric Plant Acquisition Adjust</t>
  </si>
  <si>
    <t>124</t>
  </si>
  <si>
    <t>Weatherization</t>
  </si>
  <si>
    <t>151</t>
  </si>
  <si>
    <t>Total Fuel Stock</t>
  </si>
  <si>
    <t>Fuel Stock - Undistributed</t>
  </si>
  <si>
    <t>25316</t>
  </si>
  <si>
    <t>DG&amp;T Working Capital Deposit</t>
  </si>
  <si>
    <t>25317</t>
  </si>
  <si>
    <t>25319</t>
  </si>
  <si>
    <t>Provo Working Capital Deposit</t>
  </si>
  <si>
    <t>154</t>
  </si>
  <si>
    <t>Materials and Supplies</t>
  </si>
  <si>
    <t>DNPPS</t>
  </si>
  <si>
    <t>DNPPH</t>
  </si>
  <si>
    <t>DNPD</t>
  </si>
  <si>
    <t>SNPP</t>
  </si>
  <si>
    <t>Total Materials and Supplies</t>
  </si>
  <si>
    <t>163</t>
  </si>
  <si>
    <t>Stores Expense Undistributed</t>
  </si>
  <si>
    <t>25318</t>
  </si>
  <si>
    <t>165</t>
  </si>
  <si>
    <t>GPS</t>
  </si>
  <si>
    <t>Total Prepayments</t>
  </si>
  <si>
    <t>182</t>
  </si>
  <si>
    <t>Misc Regulatory Assets</t>
  </si>
  <si>
    <t>Total Misc Regulatory Assets</t>
  </si>
  <si>
    <t>186</t>
  </si>
  <si>
    <t>EXCTAX</t>
  </si>
  <si>
    <t>Total Misc Deferred Debits</t>
  </si>
  <si>
    <t>CWC</t>
  </si>
  <si>
    <t>OWC</t>
  </si>
  <si>
    <t>Other Working Capital</t>
  </si>
  <si>
    <t>Total Other Working Capital</t>
  </si>
  <si>
    <t>18222</t>
  </si>
  <si>
    <t>Nuclear Plant</t>
  </si>
  <si>
    <t>1869</t>
  </si>
  <si>
    <t>Misc Deferred Debits-Trojan</t>
  </si>
  <si>
    <t>141</t>
  </si>
  <si>
    <t>Impact Housing - Notes Receivable</t>
  </si>
  <si>
    <t>TOTAL RATE BASE ADDITIONS</t>
  </si>
  <si>
    <t>235</t>
  </si>
  <si>
    <t>2281</t>
  </si>
  <si>
    <t>Accum Prov for Property Insurance</t>
  </si>
  <si>
    <t>2282</t>
  </si>
  <si>
    <t>Accum Prov for Injuries &amp; Damages</t>
  </si>
  <si>
    <t xml:space="preserve"> 2283</t>
  </si>
  <si>
    <t>Accum Prov for Pension &amp; Benefits</t>
  </si>
  <si>
    <t>Reg Liabilities - Insurance Provision</t>
  </si>
  <si>
    <t xml:space="preserve"> 22844</t>
  </si>
  <si>
    <t>Accum Hydro Relicensing Obligation</t>
  </si>
  <si>
    <t>22842</t>
  </si>
  <si>
    <t>Accum Misc Oper Prov - Trojan</t>
  </si>
  <si>
    <t>252</t>
  </si>
  <si>
    <t>Customer Advances for Const</t>
  </si>
  <si>
    <t>25398</t>
  </si>
  <si>
    <t>SO2 Emissions</t>
  </si>
  <si>
    <t>25399</t>
  </si>
  <si>
    <t>Other Deferred Credits</t>
  </si>
  <si>
    <t>190</t>
  </si>
  <si>
    <t>DOP</t>
  </si>
  <si>
    <t>BADDEBT</t>
  </si>
  <si>
    <t>SE/CAEW</t>
  </si>
  <si>
    <t>SNP</t>
  </si>
  <si>
    <t>SNPD</t>
  </si>
  <si>
    <t>Total Accum Deferred Income Taxes</t>
  </si>
  <si>
    <t>281</t>
  </si>
  <si>
    <t>282</t>
  </si>
  <si>
    <t xml:space="preserve">Accum Deferred Income Taxes </t>
  </si>
  <si>
    <t>CIAC</t>
  </si>
  <si>
    <t xml:space="preserve">Total Accum Deferred Income Taxes </t>
  </si>
  <si>
    <t>283</t>
  </si>
  <si>
    <t>TROJD</t>
  </si>
  <si>
    <t>255</t>
  </si>
  <si>
    <t>Accum Investment Tax Credit</t>
  </si>
  <si>
    <t>TOTAL RATE BASE DEDUCTIONS</t>
  </si>
  <si>
    <t>ACCUMULATED DEPRECIATION</t>
  </si>
  <si>
    <t>GENERATION PLANT</t>
  </si>
  <si>
    <t>108SP</t>
  </si>
  <si>
    <t>Steam Prod Accumulated Depr</t>
  </si>
  <si>
    <t>108NP</t>
  </si>
  <si>
    <t>Nuclear Prod Accumulated Depr</t>
  </si>
  <si>
    <t>108HP</t>
  </si>
  <si>
    <t>Hydraulic Prod Accum Depr</t>
  </si>
  <si>
    <t>108OP</t>
  </si>
  <si>
    <t>Other Generation  - Accum Depr</t>
  </si>
  <si>
    <t>Total Other Generation - Accum Depr</t>
  </si>
  <si>
    <t>108EP</t>
  </si>
  <si>
    <t>Experimental Plant - Accum Depr</t>
  </si>
  <si>
    <t>TOTAL GENERATION PLANT DEPRECIATION</t>
  </si>
  <si>
    <t>108TP</t>
  </si>
  <si>
    <t>Transmission Plant Accum Depr</t>
  </si>
  <si>
    <t>108360</t>
  </si>
  <si>
    <t>108361</t>
  </si>
  <si>
    <t>108362</t>
  </si>
  <si>
    <t>108364</t>
  </si>
  <si>
    <t>108365</t>
  </si>
  <si>
    <t>108366</t>
  </si>
  <si>
    <t>108367</t>
  </si>
  <si>
    <t>108368</t>
  </si>
  <si>
    <t>108369</t>
  </si>
  <si>
    <t>108370</t>
  </si>
  <si>
    <t>108371</t>
  </si>
  <si>
    <t>108372</t>
  </si>
  <si>
    <t>108373</t>
  </si>
  <si>
    <t>108D00</t>
  </si>
  <si>
    <t>108DS</t>
  </si>
  <si>
    <t>Unclassified Dist Sub - Acct 300</t>
  </si>
  <si>
    <t>108D</t>
  </si>
  <si>
    <t>TOTAL DISTRIBUTION PLANT DEPR</t>
  </si>
  <si>
    <t>108GP</t>
  </si>
  <si>
    <t>General Plant Accumulated Depr</t>
  </si>
  <si>
    <t>Total General Plant Accumulated Depr</t>
  </si>
  <si>
    <t>108MP</t>
  </si>
  <si>
    <t>Mining Plant Accumulated Depr.</t>
  </si>
  <si>
    <t>1081390</t>
  </si>
  <si>
    <t>Accum Depr - Capital Lease</t>
  </si>
  <si>
    <t xml:space="preserve">1081399L </t>
  </si>
  <si>
    <t xml:space="preserve"> Accum Depr - Capital Lease</t>
  </si>
  <si>
    <t xml:space="preserve"> Remove Capital Lease</t>
  </si>
  <si>
    <t>TOTAL GENERAL PLANT ACCUM DEPR</t>
  </si>
  <si>
    <t>TOTAL ACCUM DEPR - PLANT IN SERVICE</t>
  </si>
  <si>
    <t>ACCUMULATED AMORTIZATION</t>
  </si>
  <si>
    <t>111CLS</t>
  </si>
  <si>
    <t>Accum Prov for Amort-Steam</t>
  </si>
  <si>
    <t>111CLG</t>
  </si>
  <si>
    <t>Accum Prov for Amort-General</t>
  </si>
  <si>
    <t>Total Accum Prov for Amort-General</t>
  </si>
  <si>
    <t>111CLH</t>
  </si>
  <si>
    <t>Accum Prov for Amort-Hydro</t>
  </si>
  <si>
    <t>111IP</t>
  </si>
  <si>
    <t>Accum Prov for Amort-Intangible</t>
  </si>
  <si>
    <t>Total Accum Prov for Amort-Intangible</t>
  </si>
  <si>
    <t>111390</t>
  </si>
  <si>
    <t>Accum Prov for Amort-Capital Lease</t>
  </si>
  <si>
    <t>TOTAL ACCUM PROV FOR AMORTIZATION</t>
  </si>
  <si>
    <t>State of Washington</t>
  </si>
  <si>
    <t>WCA</t>
  </si>
  <si>
    <t>12 Months Ending June 2019</t>
  </si>
  <si>
    <t>Method</t>
  </si>
  <si>
    <t>COS
Factor</t>
  </si>
  <si>
    <t>F10</t>
  </si>
  <si>
    <t>F11</t>
  </si>
  <si>
    <t xml:space="preserve">F140 </t>
  </si>
  <si>
    <t>F40</t>
  </si>
  <si>
    <t>F12</t>
  </si>
  <si>
    <t>F131</t>
  </si>
  <si>
    <t>F20</t>
  </si>
  <si>
    <t>F120</t>
  </si>
  <si>
    <t>F132</t>
  </si>
  <si>
    <t>F133</t>
  </si>
  <si>
    <t>F130</t>
  </si>
  <si>
    <t>F127</t>
  </si>
  <si>
    <t>F119</t>
  </si>
  <si>
    <t>F134</t>
  </si>
  <si>
    <t>F135</t>
  </si>
  <si>
    <t>F125</t>
  </si>
  <si>
    <t>F136</t>
  </si>
  <si>
    <t>F41</t>
  </si>
  <si>
    <t>F42</t>
  </si>
  <si>
    <t xml:space="preserve">F102 </t>
  </si>
  <si>
    <t xml:space="preserve">F138 </t>
  </si>
  <si>
    <t>F102</t>
  </si>
  <si>
    <t>F141</t>
  </si>
  <si>
    <t>F108</t>
  </si>
  <si>
    <t>F106</t>
  </si>
  <si>
    <t>F118</t>
  </si>
  <si>
    <t>F121</t>
  </si>
  <si>
    <t>F122</t>
  </si>
  <si>
    <t>F123</t>
  </si>
  <si>
    <t>F124</t>
  </si>
  <si>
    <t>F126</t>
  </si>
  <si>
    <t>F128</t>
  </si>
  <si>
    <t>F129</t>
  </si>
  <si>
    <t xml:space="preserve">F107 </t>
  </si>
  <si>
    <t xml:space="preserve">F105 </t>
  </si>
  <si>
    <t>F110</t>
  </si>
  <si>
    <t xml:space="preserve">F101 </t>
  </si>
  <si>
    <t>F20A</t>
  </si>
  <si>
    <t>F22</t>
  </si>
  <si>
    <t>F21</t>
  </si>
  <si>
    <t>F70</t>
  </si>
  <si>
    <t>F60A</t>
  </si>
  <si>
    <t xml:space="preserve">F137 </t>
  </si>
  <si>
    <t>F51</t>
  </si>
  <si>
    <t>F50</t>
  </si>
  <si>
    <t xml:space="preserve">F104 </t>
  </si>
  <si>
    <t>Issue Rate Filing</t>
  </si>
  <si>
    <t>Proposed Limited</t>
  </si>
  <si>
    <t>Net Increase from</t>
  </si>
  <si>
    <t>Base Decrease</t>
  </si>
  <si>
    <t>Proposed One-Time</t>
  </si>
  <si>
    <t>Rate Case</t>
  </si>
  <si>
    <t>Reconciliation Refund</t>
  </si>
  <si>
    <t>Generation and</t>
  </si>
  <si>
    <t>Rate Base</t>
  </si>
  <si>
    <t>LIRF</t>
  </si>
  <si>
    <t>Allocation</t>
  </si>
  <si>
    <t>Factor</t>
  </si>
  <si>
    <t>Reconciliation Refund Price</t>
  </si>
  <si>
    <t>(¢/kWh)</t>
  </si>
  <si>
    <t>Revenue Δ</t>
  </si>
  <si>
    <t>Sch 15 Target Δ</t>
  </si>
  <si>
    <t>Sch 16/18 Target Δ</t>
  </si>
  <si>
    <t>Sch 24 Target Δ</t>
  </si>
  <si>
    <t>Sch 36 Target Δ</t>
  </si>
  <si>
    <t>Sch 40 Target Δ</t>
  </si>
  <si>
    <t>Sch 48 Target Δ</t>
  </si>
  <si>
    <t>Sch 48 Ded Fac Target Δ</t>
  </si>
  <si>
    <t>Sch 51 Target Δ</t>
  </si>
  <si>
    <t>Sch 53 Target Δ</t>
  </si>
  <si>
    <t>Sch 54 Target Δ</t>
  </si>
  <si>
    <t>(10)</t>
  </si>
  <si>
    <t>(11)</t>
  </si>
  <si>
    <t>(12)</t>
  </si>
  <si>
    <t>(13)</t>
  </si>
  <si>
    <t>(8)/(5)</t>
  </si>
  <si>
    <t>(10)/(5)</t>
  </si>
  <si>
    <t>(12)/(5)</t>
  </si>
  <si>
    <t>(7)+(10)-(5)</t>
  </si>
  <si>
    <t>Billing</t>
  </si>
  <si>
    <t>RCRR-Proposed</t>
  </si>
  <si>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BPA Credit, FTAA and Proposed RCRR.</t>
    </r>
  </si>
  <si>
    <t xml:space="preserve">       * Includes SBC Charge, Low Income Charge, FTAA and Proposed RCRR.</t>
  </si>
  <si>
    <t xml:space="preserve">       * Includes SBC Charge BPA Credit, Low Income charge, FTAA and Proposed RCRR.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</si>
</sst>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0%"/>
    <numFmt numFmtId="166" formatCode="_(&quot;$&quot;* #,##0_);_(&quot;$&quot;* \(#,##0\);_(&quot;$&quot;* &quot;-&quot;??_);_(@_)"/>
    <numFmt numFmtId="167" formatCode="_(* #,##0_);_(* \(#,##0\);_(* &quot;-&quot;??_);_(@_)"/>
    <numFmt numFmtId="168" formatCode="General_)"/>
    <numFmt numFmtId="169" formatCode="0.0%"/>
    <numFmt numFmtId="170" formatCode="&quot;$&quot;#,##0.00000_);\(&quot;$&quot;#,##0.00000\)"/>
    <numFmt numFmtId="171" formatCode="#,##0.00000"/>
    <numFmt numFmtId="172" formatCode="_(&quot;$&quot;* #,##0.00000_);_(&quot;$&quot;* \(#,##0.00000\);_(&quot;$&quot;* &quot;-&quot;?????_);_(@_)"/>
    <numFmt numFmtId="173" formatCode="0.0"/>
    <numFmt numFmtId="174" formatCode="_(* #,##0.00000_);_(* \(#,##0.00000\);_(* &quot;-&quot;??_);_(@_)"/>
    <numFmt numFmtId="175" formatCode="0.000"/>
    <numFmt numFmtId="176" formatCode="########\-###\-###"/>
    <numFmt numFmtId="177" formatCode="#,##0.000_);\(#,##0.000\)"/>
    <numFmt numFmtId="178" formatCode="_(* #,##0.000_);_(* \(#,##0.000\);_(* &quot;-&quot;??_);_(@_)"/>
    <numFmt numFmtId="179" formatCode="0.000_)"/>
    <numFmt numFmtId="180" formatCode="0.000000_)"/>
    <numFmt numFmtId="181" formatCode="0.00000000_)"/>
    <numFmt numFmtId="182" formatCode="&quot;$&quot;#,##0.000_);\(&quot;$&quot;#,##0.000\)"/>
    <numFmt numFmtId="183" formatCode="0.0000_)"/>
    <numFmt numFmtId="184" formatCode="0.00_)"/>
    <numFmt numFmtId="185" formatCode="0.000000000_)"/>
    <numFmt numFmtId="186" formatCode="#,##0.0_);\(#,##0.0\)"/>
    <numFmt numFmtId="187" formatCode="#,##0.000"/>
    <numFmt numFmtId="188" formatCode="&quot;$&quot;#,##0.000000_);\(&quot;$&quot;#,##0.000000\)"/>
    <numFmt numFmtId="189" formatCode="_(&quot;$&quot;* #,##0.00000_);_(&quot;$&quot;* \(#,##0.00000\);_(&quot;$&quot;* &quot;-&quot;??_);_(@_)"/>
    <numFmt numFmtId="190" formatCode="0.000%"/>
    <numFmt numFmtId="191" formatCode="0.00000%"/>
    <numFmt numFmtId="192" formatCode="0.000000%"/>
    <numFmt numFmtId="193" formatCode="#,##0.0000000"/>
    <numFmt numFmtId="194" formatCode="_(* #,##0.00000000_);_(* \(#,##0.00000000\);_(* &quot;-&quot;??_);_(@_)"/>
    <numFmt numFmtId="195" formatCode="0.0000000%"/>
    <numFmt numFmtId="196" formatCode="0.00000000000000%"/>
    <numFmt numFmtId="197" formatCode="_(&quot;$&quot;* #,##0.000000_);_(&quot;$&quot;* \(#,##0.000000\);_(&quot;$&quot;* &quot;-&quot;??_);_(@_)"/>
    <numFmt numFmtId="198" formatCode="0_);\(0\)"/>
    <numFmt numFmtId="199" formatCode="_(* #,##0.000000_);_(* \(#,##0.000000\);_(* &quot;-&quot;??_);_(@_)"/>
    <numFmt numFmtId="200" formatCode="0.00000"/>
    <numFmt numFmtId="201" formatCode="0.0000"/>
    <numFmt numFmtId="202" formatCode=";;;"/>
    <numFmt numFmtId="203" formatCode="0;[Red]0"/>
    <numFmt numFmtId="204" formatCode="dd\-mmm\-yy_)"/>
  </numFmts>
  <fonts count="76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2"/>
      <color theme="0"/>
      <name val="Times New Roman"/>
      <family val="1"/>
    </font>
    <font>
      <u/>
      <sz val="12"/>
      <color theme="0"/>
      <name val="Times New Roman"/>
      <family val="1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10"/>
      <name val="Swis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1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left"/>
    </xf>
    <xf numFmtId="176" fontId="9" fillId="0" borderId="0"/>
    <xf numFmtId="167" fontId="13" fillId="0" borderId="0" applyFont="0" applyAlignment="0" applyProtection="0"/>
    <xf numFmtId="0" fontId="9" fillId="0" borderId="0"/>
    <xf numFmtId="0" fontId="26" fillId="0" borderId="0"/>
    <xf numFmtId="0" fontId="26" fillId="0" borderId="0"/>
    <xf numFmtId="0" fontId="16" fillId="0" borderId="0"/>
    <xf numFmtId="9" fontId="9" fillId="0" borderId="0" applyFont="0" applyFill="0" applyBorder="0" applyAlignment="0" applyProtection="0"/>
    <xf numFmtId="168" fontId="21" fillId="0" borderId="0">
      <alignment horizontal="left"/>
    </xf>
    <xf numFmtId="0" fontId="9" fillId="0" borderId="0">
      <alignment wrapText="1"/>
    </xf>
    <xf numFmtId="0" fontId="53" fillId="0" borderId="0"/>
    <xf numFmtId="43" fontId="53" fillId="0" borderId="0" applyFont="0" applyFill="0" applyBorder="0" applyAlignment="0" applyProtection="0"/>
    <xf numFmtId="0" fontId="54" fillId="0" borderId="0"/>
    <xf numFmtId="0" fontId="55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5" fillId="0" borderId="0"/>
    <xf numFmtId="0" fontId="9" fillId="0" borderId="0"/>
    <xf numFmtId="43" fontId="9" fillId="0" borderId="0" applyFont="0" applyFill="0" applyBorder="0" applyAlignment="0" applyProtection="0"/>
    <xf numFmtId="0" fontId="15" fillId="0" borderId="0"/>
    <xf numFmtId="0" fontId="9" fillId="0" borderId="0">
      <alignment wrapText="1"/>
    </xf>
    <xf numFmtId="0" fontId="56" fillId="0" borderId="0">
      <alignment wrapText="1"/>
    </xf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1" fontId="57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9" fillId="0" borderId="0">
      <alignment wrapText="1"/>
    </xf>
    <xf numFmtId="44" fontId="41" fillId="0" borderId="0" applyFont="0" applyFill="0" applyBorder="0" applyAlignment="0" applyProtection="0"/>
    <xf numFmtId="0" fontId="41" fillId="0" borderId="0"/>
    <xf numFmtId="0" fontId="9" fillId="0" borderId="0"/>
    <xf numFmtId="0" fontId="60" fillId="0" borderId="0"/>
    <xf numFmtId="9" fontId="9" fillId="0" borderId="0" applyFont="0" applyFill="0" applyBorder="0" applyAlignment="0" applyProtection="0"/>
    <xf numFmtId="0" fontId="15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7" fillId="0" borderId="0"/>
    <xf numFmtId="0" fontId="68" fillId="0" borderId="0"/>
    <xf numFmtId="0" fontId="15" fillId="0" borderId="0"/>
    <xf numFmtId="44" fontId="9" fillId="0" borderId="0" applyFont="0" applyFill="0" applyBorder="0" applyAlignment="0" applyProtection="0"/>
    <xf numFmtId="0" fontId="1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1" fontId="5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0" fillId="0" borderId="0"/>
    <xf numFmtId="44" fontId="15" fillId="0" borderId="0" applyFont="0" applyFill="0" applyBorder="0" applyAlignment="0" applyProtection="0"/>
    <xf numFmtId="0" fontId="26" fillId="0" borderId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4" fontId="75" fillId="0" borderId="0" applyNumberFormat="0" applyFont="0" applyFill="0" applyBorder="0" applyAlignment="0" applyProtection="0"/>
  </cellStyleXfs>
  <cellXfs count="874">
    <xf numFmtId="0" fontId="0" fillId="0" borderId="0" xfId="0"/>
    <xf numFmtId="0" fontId="10" fillId="0" borderId="0" xfId="0" applyFont="1" applyFill="1" applyProtection="1"/>
    <xf numFmtId="5" fontId="10" fillId="0" borderId="0" xfId="0" applyNumberFormat="1" applyFont="1" applyFill="1" applyProtection="1"/>
    <xf numFmtId="0" fontId="0" fillId="0" borderId="0" xfId="0" applyFill="1"/>
    <xf numFmtId="0" fontId="15" fillId="0" borderId="0" xfId="0" applyFont="1" applyFill="1"/>
    <xf numFmtId="0" fontId="17" fillId="0" borderId="0" xfId="0" applyFont="1" applyFill="1"/>
    <xf numFmtId="0" fontId="15" fillId="0" borderId="0" xfId="0" applyFont="1" applyFill="1" applyBorder="1"/>
    <xf numFmtId="167" fontId="15" fillId="0" borderId="0" xfId="0" applyNumberFormat="1" applyFont="1" applyFill="1"/>
    <xf numFmtId="169" fontId="16" fillId="0" borderId="0" xfId="10" applyNumberFormat="1" applyFont="1" applyFill="1"/>
    <xf numFmtId="167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10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10" fillId="0" borderId="0" xfId="0" applyFont="1" applyFill="1" applyBorder="1" applyProtection="1"/>
    <xf numFmtId="166" fontId="10" fillId="0" borderId="0" xfId="2" applyNumberFormat="1" applyFont="1" applyFill="1" applyProtection="1"/>
    <xf numFmtId="37" fontId="10" fillId="0" borderId="0" xfId="0" applyNumberFormat="1" applyFont="1" applyFill="1" applyBorder="1" applyProtection="1"/>
    <xf numFmtId="3" fontId="15" fillId="0" borderId="0" xfId="0" applyNumberFormat="1" applyFont="1" applyFill="1" applyBorder="1"/>
    <xf numFmtId="0" fontId="15" fillId="0" borderId="0" xfId="0" applyFont="1" applyFill="1" applyBorder="1" applyAlignment="1">
      <alignment horizontal="center"/>
    </xf>
    <xf numFmtId="0" fontId="0" fillId="0" borderId="2" xfId="0" applyFill="1" applyBorder="1"/>
    <xf numFmtId="5" fontId="10" fillId="0" borderId="0" xfId="0" applyNumberFormat="1" applyFont="1" applyFill="1" applyBorder="1" applyProtection="1"/>
    <xf numFmtId="0" fontId="26" fillId="0" borderId="0" xfId="7" applyFont="1" applyFill="1"/>
    <xf numFmtId="0" fontId="0" fillId="0" borderId="0" xfId="0" applyFill="1" applyAlignment="1">
      <alignment horizontal="right"/>
    </xf>
    <xf numFmtId="0" fontId="0" fillId="0" borderId="3" xfId="0" applyFill="1" applyBorder="1"/>
    <xf numFmtId="0" fontId="22" fillId="0" borderId="13" xfId="0" applyFont="1" applyFill="1" applyBorder="1" applyAlignment="1">
      <alignment horizontal="left"/>
    </xf>
    <xf numFmtId="0" fontId="0" fillId="0" borderId="10" xfId="0" applyFill="1" applyBorder="1"/>
    <xf numFmtId="3" fontId="17" fillId="0" borderId="0" xfId="0" applyNumberFormat="1" applyFont="1" applyFill="1"/>
    <xf numFmtId="0" fontId="18" fillId="0" borderId="0" xfId="0" applyFont="1" applyFill="1" applyAlignment="1">
      <alignment horizontal="center"/>
    </xf>
    <xf numFmtId="37" fontId="15" fillId="0" borderId="0" xfId="0" applyNumberFormat="1" applyFont="1" applyFill="1" applyProtection="1"/>
    <xf numFmtId="166" fontId="10" fillId="0" borderId="0" xfId="0" applyNumberFormat="1" applyFont="1" applyFill="1" applyProtection="1"/>
    <xf numFmtId="0" fontId="0" fillId="0" borderId="15" xfId="0" applyFill="1" applyBorder="1"/>
    <xf numFmtId="167" fontId="0" fillId="0" borderId="16" xfId="0" applyNumberFormat="1" applyFill="1" applyBorder="1"/>
    <xf numFmtId="167" fontId="0" fillId="0" borderId="17" xfId="0" applyNumberFormat="1" applyFill="1" applyBorder="1"/>
    <xf numFmtId="3" fontId="0" fillId="0" borderId="0" xfId="0" applyNumberFormat="1" applyFill="1"/>
    <xf numFmtId="167" fontId="0" fillId="0" borderId="3" xfId="0" applyNumberFormat="1" applyFill="1" applyBorder="1"/>
    <xf numFmtId="167" fontId="0" fillId="0" borderId="18" xfId="0" applyNumberFormat="1" applyFill="1" applyBorder="1"/>
    <xf numFmtId="167" fontId="0" fillId="0" borderId="2" xfId="0" applyNumberFormat="1" applyFill="1" applyBorder="1"/>
    <xf numFmtId="172" fontId="23" fillId="0" borderId="0" xfId="0" applyNumberFormat="1" applyFont="1" applyFill="1"/>
    <xf numFmtId="3" fontId="0" fillId="0" borderId="0" xfId="0" applyNumberFormat="1" applyFill="1" applyBorder="1"/>
    <xf numFmtId="0" fontId="0" fillId="0" borderId="1" xfId="0" applyFill="1" applyBorder="1"/>
    <xf numFmtId="0" fontId="24" fillId="0" borderId="0" xfId="0" applyFont="1" applyFill="1"/>
    <xf numFmtId="0" fontId="18" fillId="0" borderId="10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16" xfId="0" applyFill="1" applyBorder="1"/>
    <xf numFmtId="0" fontId="26" fillId="0" borderId="0" xfId="7" applyFont="1" applyFill="1" applyAlignment="1">
      <alignment horizontal="center"/>
    </xf>
    <xf numFmtId="0" fontId="27" fillId="0" borderId="0" xfId="7" applyFont="1" applyFill="1"/>
    <xf numFmtId="3" fontId="15" fillId="0" borderId="0" xfId="0" applyNumberFormat="1" applyFont="1" applyFill="1"/>
    <xf numFmtId="14" fontId="18" fillId="0" borderId="4" xfId="0" applyNumberFormat="1" applyFont="1" applyFill="1" applyBorder="1" applyAlignment="1">
      <alignment horizontal="center"/>
    </xf>
    <xf numFmtId="167" fontId="16" fillId="0" borderId="0" xfId="1" applyNumberFormat="1" applyFont="1" applyFill="1"/>
    <xf numFmtId="166" fontId="16" fillId="0" borderId="0" xfId="2" applyNumberFormat="1" applyFont="1" applyFill="1"/>
    <xf numFmtId="0" fontId="0" fillId="0" borderId="4" xfId="0" applyFill="1" applyBorder="1"/>
    <xf numFmtId="0" fontId="16" fillId="0" borderId="4" xfId="9" applyFont="1" applyFill="1" applyBorder="1" applyAlignment="1">
      <alignment horizontal="center"/>
    </xf>
    <xf numFmtId="0" fontId="10" fillId="0" borderId="0" xfId="9" applyFont="1" applyFill="1" applyAlignment="1">
      <alignment horizontal="center"/>
    </xf>
    <xf numFmtId="0" fontId="16" fillId="0" borderId="0" xfId="9" applyFill="1"/>
    <xf numFmtId="0" fontId="10" fillId="0" borderId="0" xfId="9" applyFont="1" applyFill="1"/>
    <xf numFmtId="0" fontId="16" fillId="0" borderId="0" xfId="9" applyFont="1" applyFill="1"/>
    <xf numFmtId="0" fontId="34" fillId="0" borderId="0" xfId="9" quotePrefix="1" applyFont="1" applyFill="1" applyAlignment="1">
      <alignment horizontal="centerContinuous"/>
    </xf>
    <xf numFmtId="0" fontId="34" fillId="0" borderId="0" xfId="9" applyFont="1" applyFill="1" applyAlignment="1">
      <alignment horizontal="centerContinuous"/>
    </xf>
    <xf numFmtId="0" fontId="34" fillId="0" borderId="0" xfId="9" quotePrefix="1" applyFont="1" applyFill="1" applyAlignment="1"/>
    <xf numFmtId="0" fontId="16" fillId="0" borderId="0" xfId="9" applyFill="1" applyBorder="1"/>
    <xf numFmtId="0" fontId="34" fillId="0" borderId="0" xfId="9" applyFont="1" applyFill="1" applyBorder="1" applyAlignment="1">
      <alignment horizontal="center"/>
    </xf>
    <xf numFmtId="0" fontId="35" fillId="0" borderId="0" xfId="9" applyFont="1" applyFill="1" applyBorder="1" applyAlignment="1">
      <alignment horizontal="center"/>
    </xf>
    <xf numFmtId="0" fontId="16" fillId="0" borderId="0" xfId="9" applyFont="1" applyFill="1" applyBorder="1" applyAlignment="1">
      <alignment horizontal="center"/>
    </xf>
    <xf numFmtId="0" fontId="16" fillId="0" borderId="0" xfId="9" applyFont="1" applyFill="1" applyAlignment="1">
      <alignment horizontal="center"/>
    </xf>
    <xf numFmtId="0" fontId="16" fillId="0" borderId="0" xfId="9" applyFont="1" applyFill="1" applyBorder="1" applyAlignment="1">
      <alignment horizontal="left"/>
    </xf>
    <xf numFmtId="0" fontId="16" fillId="0" borderId="0" xfId="9" quotePrefix="1" applyFont="1" applyFill="1" applyBorder="1" applyAlignment="1">
      <alignment horizontal="center"/>
    </xf>
    <xf numFmtId="0" fontId="16" fillId="0" borderId="0" xfId="9" applyFill="1" applyAlignment="1">
      <alignment horizontal="center"/>
    </xf>
    <xf numFmtId="0" fontId="16" fillId="0" borderId="0" xfId="9" quotePrefix="1" applyFont="1" applyFill="1" applyAlignment="1">
      <alignment horizontal="center"/>
    </xf>
    <xf numFmtId="0" fontId="16" fillId="0" borderId="0" xfId="9" applyFill="1" applyBorder="1" applyAlignment="1">
      <alignment horizontal="center"/>
    </xf>
    <xf numFmtId="0" fontId="16" fillId="0" borderId="11" xfId="9" applyFill="1" applyBorder="1" applyAlignment="1">
      <alignment horizontal="center"/>
    </xf>
    <xf numFmtId="0" fontId="10" fillId="0" borderId="11" xfId="9" applyFont="1" applyFill="1" applyBorder="1" applyAlignment="1">
      <alignment horizontal="center"/>
    </xf>
    <xf numFmtId="6" fontId="16" fillId="0" borderId="11" xfId="9" quotePrefix="1" applyNumberFormat="1" applyFont="1" applyFill="1" applyBorder="1" applyAlignment="1">
      <alignment horizontal="center"/>
    </xf>
    <xf numFmtId="6" fontId="16" fillId="0" borderId="0" xfId="9" quotePrefix="1" applyNumberFormat="1" applyFont="1" applyFill="1" applyBorder="1" applyAlignment="1">
      <alignment horizontal="center"/>
    </xf>
    <xf numFmtId="0" fontId="16" fillId="0" borderId="4" xfId="9" quotePrefix="1" applyFont="1" applyFill="1" applyBorder="1" applyAlignment="1">
      <alignment horizontal="center"/>
    </xf>
    <xf numFmtId="0" fontId="16" fillId="0" borderId="0" xfId="9" quotePrefix="1" applyFont="1" applyFill="1"/>
    <xf numFmtId="0" fontId="36" fillId="0" borderId="0" xfId="9" applyFont="1" applyFill="1"/>
    <xf numFmtId="0" fontId="10" fillId="0" borderId="0" xfId="9" quotePrefix="1" applyFont="1" applyFill="1" applyAlignment="1">
      <alignment horizontal="center"/>
    </xf>
    <xf numFmtId="37" fontId="16" fillId="0" borderId="0" xfId="9" applyNumberFormat="1" applyFont="1" applyFill="1" applyProtection="1"/>
    <xf numFmtId="5" fontId="10" fillId="0" borderId="0" xfId="9" applyNumberFormat="1" applyFont="1" applyFill="1" applyProtection="1">
      <protection locked="0"/>
    </xf>
    <xf numFmtId="5" fontId="10" fillId="0" borderId="0" xfId="10" applyNumberFormat="1" applyFont="1" applyFill="1" applyProtection="1">
      <protection locked="0"/>
    </xf>
    <xf numFmtId="0" fontId="16" fillId="0" borderId="0" xfId="9" applyFont="1" applyFill="1" applyBorder="1"/>
    <xf numFmtId="10" fontId="10" fillId="0" borderId="0" xfId="10" applyNumberFormat="1" applyFont="1" applyFill="1" applyBorder="1" applyProtection="1">
      <protection locked="0"/>
    </xf>
    <xf numFmtId="0" fontId="16" fillId="0" borderId="11" xfId="9" applyFill="1" applyBorder="1"/>
    <xf numFmtId="169" fontId="16" fillId="0" borderId="0" xfId="9" applyNumberFormat="1" applyFill="1"/>
    <xf numFmtId="37" fontId="16" fillId="0" borderId="0" xfId="9" applyNumberFormat="1" applyFill="1" applyProtection="1"/>
    <xf numFmtId="5" fontId="16" fillId="0" borderId="0" xfId="9" applyNumberFormat="1" applyFill="1" applyProtection="1"/>
    <xf numFmtId="37" fontId="16" fillId="0" borderId="0" xfId="9" applyNumberFormat="1" applyFill="1"/>
    <xf numFmtId="5" fontId="16" fillId="0" borderId="0" xfId="9" applyNumberFormat="1" applyFill="1"/>
    <xf numFmtId="37" fontId="16" fillId="0" borderId="11" xfId="9" applyNumberFormat="1" applyFill="1" applyBorder="1" applyProtection="1"/>
    <xf numFmtId="5" fontId="16" fillId="0" borderId="11" xfId="9" applyNumberFormat="1" applyFill="1" applyBorder="1" applyProtection="1"/>
    <xf numFmtId="5" fontId="16" fillId="0" borderId="0" xfId="9" applyNumberFormat="1" applyFill="1" applyBorder="1" applyProtection="1"/>
    <xf numFmtId="37" fontId="16" fillId="0" borderId="0" xfId="9" applyNumberFormat="1" applyFill="1" applyBorder="1" applyProtection="1"/>
    <xf numFmtId="0" fontId="11" fillId="0" borderId="0" xfId="9" applyFont="1" applyFill="1"/>
    <xf numFmtId="37" fontId="16" fillId="0" borderId="14" xfId="9" applyNumberFormat="1" applyFill="1" applyBorder="1"/>
    <xf numFmtId="5" fontId="16" fillId="0" borderId="14" xfId="9" applyNumberFormat="1" applyFill="1" applyBorder="1"/>
    <xf numFmtId="5" fontId="16" fillId="0" borderId="0" xfId="9" applyNumberFormat="1" applyFill="1" applyBorder="1"/>
    <xf numFmtId="37" fontId="16" fillId="0" borderId="0" xfId="9" applyNumberFormat="1" applyFill="1" applyBorder="1"/>
    <xf numFmtId="0" fontId="12" fillId="0" borderId="0" xfId="9" applyFont="1" applyFill="1"/>
    <xf numFmtId="37" fontId="16" fillId="0" borderId="14" xfId="9" applyNumberFormat="1" applyFont="1" applyFill="1" applyBorder="1" applyProtection="1"/>
    <xf numFmtId="0" fontId="16" fillId="0" borderId="0" xfId="9" applyFont="1" applyFill="1" applyAlignment="1">
      <alignment horizontal="right"/>
    </xf>
    <xf numFmtId="43" fontId="16" fillId="0" borderId="0" xfId="1" applyFont="1" applyFill="1"/>
    <xf numFmtId="10" fontId="16" fillId="0" borderId="0" xfId="10" applyNumberFormat="1" applyFont="1" applyFill="1"/>
    <xf numFmtId="169" fontId="31" fillId="0" borderId="0" xfId="10" applyNumberFormat="1" applyFont="1" applyFill="1" applyBorder="1" applyProtection="1">
      <protection locked="0"/>
    </xf>
    <xf numFmtId="1" fontId="16" fillId="0" borderId="0" xfId="9" applyNumberFormat="1" applyFill="1"/>
    <xf numFmtId="169" fontId="16" fillId="0" borderId="0" xfId="10" applyNumberFormat="1" applyFont="1" applyFill="1" applyBorder="1"/>
    <xf numFmtId="1" fontId="31" fillId="0" borderId="0" xfId="9" applyNumberFormat="1" applyFont="1" applyFill="1"/>
    <xf numFmtId="169" fontId="31" fillId="0" borderId="0" xfId="10" applyNumberFormat="1" applyFont="1" applyFill="1"/>
    <xf numFmtId="196" fontId="16" fillId="0" borderId="0" xfId="9" applyNumberFormat="1" applyFill="1"/>
    <xf numFmtId="169" fontId="30" fillId="0" borderId="0" xfId="10" applyNumberFormat="1" applyFont="1" applyFill="1"/>
    <xf numFmtId="0" fontId="37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38" fillId="0" borderId="0" xfId="0" quotePrefix="1" applyNumberFormat="1" applyFont="1" applyFill="1" applyAlignment="1">
      <alignment horizontal="centerContinuous"/>
    </xf>
    <xf numFmtId="0" fontId="38" fillId="0" borderId="0" xfId="0" applyFont="1" applyFill="1" applyAlignment="1" applyProtection="1">
      <alignment horizontal="centerContinuous"/>
    </xf>
    <xf numFmtId="37" fontId="38" fillId="0" borderId="0" xfId="0" applyNumberFormat="1" applyFont="1" applyFill="1" applyAlignment="1" applyProtection="1">
      <alignment horizontal="centerContinuous"/>
    </xf>
    <xf numFmtId="0" fontId="27" fillId="0" borderId="0" xfId="0" quotePrefix="1" applyFont="1" applyFill="1" applyAlignment="1" applyProtection="1">
      <alignment horizontal="centerContinuous"/>
    </xf>
    <xf numFmtId="0" fontId="38" fillId="0" borderId="0" xfId="0" applyFont="1" applyFill="1" applyProtection="1"/>
    <xf numFmtId="37" fontId="27" fillId="0" borderId="0" xfId="0" applyNumberFormat="1" applyFont="1" applyFill="1" applyAlignment="1" applyProtection="1">
      <alignment horizont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/>
    </xf>
    <xf numFmtId="0" fontId="39" fillId="0" borderId="0" xfId="0" applyFont="1" applyFill="1" applyAlignment="1" applyProtection="1">
      <alignment horizontal="center"/>
    </xf>
    <xf numFmtId="0" fontId="27" fillId="0" borderId="0" xfId="0" applyFont="1" applyFill="1" applyBorder="1" applyAlignment="1" applyProtection="1">
      <alignment horizontal="center"/>
    </xf>
    <xf numFmtId="37" fontId="27" fillId="0" borderId="11" xfId="0" applyNumberFormat="1" applyFont="1" applyFill="1" applyBorder="1" applyAlignment="1" applyProtection="1">
      <alignment horizontal="center"/>
    </xf>
    <xf numFmtId="0" fontId="27" fillId="0" borderId="11" xfId="0" applyFont="1" applyFill="1" applyBorder="1" applyAlignment="1" applyProtection="1">
      <alignment horizontal="center"/>
    </xf>
    <xf numFmtId="0" fontId="27" fillId="0" borderId="11" xfId="0" applyFont="1" applyFill="1" applyBorder="1" applyProtection="1"/>
    <xf numFmtId="0" fontId="40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13" fillId="0" borderId="0" xfId="2" applyNumberFormat="1" applyFont="1" applyFill="1"/>
    <xf numFmtId="43" fontId="0" fillId="0" borderId="0" xfId="0" applyNumberFormat="1" applyFill="1"/>
    <xf numFmtId="7" fontId="30" fillId="0" borderId="0" xfId="0" applyNumberFormat="1" applyFont="1" applyFill="1"/>
    <xf numFmtId="0" fontId="30" fillId="0" borderId="0" xfId="0" applyFont="1" applyFill="1"/>
    <xf numFmtId="7" fontId="13" fillId="0" borderId="0" xfId="2" applyNumberFormat="1" applyFont="1" applyFill="1" applyBorder="1"/>
    <xf numFmtId="37" fontId="0" fillId="0" borderId="0" xfId="0" applyNumberFormat="1" applyFill="1" applyBorder="1"/>
    <xf numFmtId="174" fontId="16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21" xfId="0" applyNumberFormat="1" applyFont="1" applyFill="1" applyBorder="1" applyProtection="1"/>
    <xf numFmtId="5" fontId="10" fillId="0" borderId="21" xfId="0" applyNumberFormat="1" applyFont="1" applyFill="1" applyBorder="1" applyProtection="1"/>
    <xf numFmtId="37" fontId="0" fillId="0" borderId="0" xfId="0" applyNumberFormat="1" applyFill="1" applyProtection="1"/>
    <xf numFmtId="192" fontId="16" fillId="0" borderId="0" xfId="10" applyNumberFormat="1" applyFont="1" applyFill="1"/>
    <xf numFmtId="0" fontId="41" fillId="0" borderId="0" xfId="6" applyFont="1" applyFill="1"/>
    <xf numFmtId="0" fontId="41" fillId="0" borderId="0" xfId="6" applyFont="1" applyFill="1" applyBorder="1"/>
    <xf numFmtId="188" fontId="41" fillId="0" borderId="0" xfId="6" applyNumberFormat="1" applyFont="1" applyFill="1" applyBorder="1"/>
    <xf numFmtId="0" fontId="41" fillId="0" borderId="0" xfId="6" applyFont="1" applyFill="1" applyBorder="1" applyAlignment="1">
      <alignment horizontal="right"/>
    </xf>
    <xf numFmtId="167" fontId="41" fillId="0" borderId="0" xfId="1" applyNumberFormat="1" applyFont="1" applyFill="1" applyBorder="1"/>
    <xf numFmtId="0" fontId="41" fillId="0" borderId="0" xfId="6" applyFont="1" applyFill="1" applyBorder="1" applyAlignment="1">
      <alignment horizontal="left"/>
    </xf>
    <xf numFmtId="7" fontId="41" fillId="0" borderId="0" xfId="6" applyNumberFormat="1" applyFont="1" applyFill="1" applyBorder="1" applyAlignment="1">
      <alignment horizontal="right"/>
    </xf>
    <xf numFmtId="174" fontId="41" fillId="0" borderId="0" xfId="1" applyNumberFormat="1" applyFont="1" applyFill="1" applyBorder="1"/>
    <xf numFmtId="167" fontId="42" fillId="0" borderId="0" xfId="1" applyNumberFormat="1" applyFont="1" applyFill="1" applyBorder="1"/>
    <xf numFmtId="167" fontId="41" fillId="0" borderId="0" xfId="1" applyNumberFormat="1" applyFont="1" applyFill="1"/>
    <xf numFmtId="7" fontId="41" fillId="0" borderId="0" xfId="6" applyNumberFormat="1" applyFont="1" applyFill="1" applyBorder="1"/>
    <xf numFmtId="0" fontId="41" fillId="0" borderId="0" xfId="6" applyFont="1" applyFill="1" applyBorder="1" applyAlignment="1">
      <alignment horizontal="center"/>
    </xf>
    <xf numFmtId="10" fontId="43" fillId="0" borderId="0" xfId="6" applyNumberFormat="1" applyFont="1" applyFill="1"/>
    <xf numFmtId="7" fontId="41" fillId="0" borderId="0" xfId="6" applyNumberFormat="1" applyFont="1" applyFill="1"/>
    <xf numFmtId="5" fontId="41" fillId="0" borderId="0" xfId="6" applyNumberFormat="1" applyFont="1" applyFill="1"/>
    <xf numFmtId="10" fontId="41" fillId="0" borderId="0" xfId="10" applyNumberFormat="1" applyFont="1" applyFill="1"/>
    <xf numFmtId="0" fontId="40" fillId="0" borderId="0" xfId="0" applyFont="1" applyFill="1" applyProtection="1"/>
    <xf numFmtId="190" fontId="16" fillId="0" borderId="0" xfId="10" applyNumberFormat="1" applyFont="1" applyFill="1"/>
    <xf numFmtId="170" fontId="0" fillId="0" borderId="0" xfId="0" applyNumberFormat="1" applyFill="1" applyAlignment="1">
      <alignment horizontal="right"/>
    </xf>
    <xf numFmtId="167" fontId="16" fillId="0" borderId="0" xfId="1" applyNumberFormat="1" applyFont="1" applyFill="1" applyAlignment="1">
      <alignment horizontal="right"/>
    </xf>
    <xf numFmtId="0" fontId="10" fillId="0" borderId="0" xfId="0" applyFont="1" applyFill="1" applyProtection="1">
      <protection locked="0"/>
    </xf>
    <xf numFmtId="7" fontId="30" fillId="0" borderId="0" xfId="0" applyNumberFormat="1" applyFont="1" applyFill="1" applyProtection="1">
      <protection locked="0"/>
    </xf>
    <xf numFmtId="179" fontId="30" fillId="0" borderId="0" xfId="0" applyNumberFormat="1" applyFont="1" applyFill="1" applyProtection="1">
      <protection locked="0"/>
    </xf>
    <xf numFmtId="175" fontId="0" fillId="0" borderId="0" xfId="0" applyNumberFormat="1" applyFill="1"/>
    <xf numFmtId="7" fontId="13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10" fillId="0" borderId="0" xfId="0" applyFont="1" applyFill="1"/>
    <xf numFmtId="7" fontId="10" fillId="0" borderId="0" xfId="0" applyNumberFormat="1" applyFont="1" applyFill="1" applyProtection="1">
      <protection locked="0"/>
    </xf>
    <xf numFmtId="167" fontId="10" fillId="0" borderId="0" xfId="0" applyNumberFormat="1" applyFont="1" applyFill="1" applyProtection="1"/>
    <xf numFmtId="179" fontId="12" fillId="0" borderId="0" xfId="0" applyNumberFormat="1" applyFont="1" applyFill="1" applyProtection="1">
      <protection locked="0"/>
    </xf>
    <xf numFmtId="167" fontId="10" fillId="0" borderId="0" xfId="1" applyNumberFormat="1" applyFont="1" applyFill="1" applyProtection="1"/>
    <xf numFmtId="37" fontId="10" fillId="0" borderId="4" xfId="0" applyNumberFormat="1" applyFont="1" applyFill="1" applyBorder="1" applyProtection="1"/>
    <xf numFmtId="0" fontId="0" fillId="0" borderId="0" xfId="0" applyFill="1" applyProtection="1"/>
    <xf numFmtId="5" fontId="10" fillId="0" borderId="11" xfId="0" applyNumberFormat="1" applyFont="1" applyFill="1" applyBorder="1" applyProtection="1"/>
    <xf numFmtId="37" fontId="0" fillId="0" borderId="22" xfId="0" applyNumberFormat="1" applyFont="1" applyFill="1" applyBorder="1" applyProtection="1"/>
    <xf numFmtId="5" fontId="10" fillId="0" borderId="22" xfId="0" applyNumberFormat="1" applyFont="1" applyFill="1" applyBorder="1" applyProtection="1"/>
    <xf numFmtId="180" fontId="10" fillId="0" borderId="0" xfId="0" applyNumberFormat="1" applyFont="1" applyFill="1" applyProtection="1"/>
    <xf numFmtId="165" fontId="16" fillId="0" borderId="0" xfId="10" applyNumberFormat="1" applyFont="1" applyFill="1"/>
    <xf numFmtId="193" fontId="0" fillId="0" borderId="0" xfId="0" applyNumberFormat="1" applyFill="1"/>
    <xf numFmtId="182" fontId="0" fillId="0" borderId="0" xfId="0" applyNumberFormat="1" applyFill="1"/>
    <xf numFmtId="37" fontId="10" fillId="0" borderId="11" xfId="0" applyNumberFormat="1" applyFont="1" applyFill="1" applyBorder="1" applyProtection="1"/>
    <xf numFmtId="166" fontId="16" fillId="0" borderId="22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0" fillId="0" borderId="0" xfId="0" applyNumberFormat="1" applyFont="1" applyFill="1" applyProtection="1">
      <protection locked="0"/>
    </xf>
    <xf numFmtId="0" fontId="30" fillId="0" borderId="0" xfId="0" applyFont="1" applyFill="1" applyProtection="1">
      <protection locked="0"/>
    </xf>
    <xf numFmtId="7" fontId="13" fillId="0" borderId="0" xfId="0" applyNumberFormat="1" applyFont="1" applyFill="1" applyProtection="1"/>
    <xf numFmtId="178" fontId="30" fillId="0" borderId="0" xfId="1" applyNumberFormat="1" applyFont="1" applyFill="1" applyProtection="1">
      <protection locked="0"/>
    </xf>
    <xf numFmtId="178" fontId="30" fillId="0" borderId="0" xfId="0" applyNumberFormat="1" applyFont="1" applyFill="1" applyProtection="1">
      <protection locked="0"/>
    </xf>
    <xf numFmtId="7" fontId="0" fillId="0" borderId="0" xfId="0" applyNumberFormat="1" applyFill="1"/>
    <xf numFmtId="184" fontId="30" fillId="0" borderId="0" xfId="0" applyNumberFormat="1" applyFont="1" applyFill="1" applyProtection="1">
      <protection locked="0"/>
    </xf>
    <xf numFmtId="0" fontId="11" fillId="0" borderId="0" xfId="0" applyFont="1" applyFill="1" applyProtection="1"/>
    <xf numFmtId="169" fontId="30" fillId="0" borderId="0" xfId="0" applyNumberFormat="1" applyFont="1" applyFill="1" applyProtection="1"/>
    <xf numFmtId="178" fontId="16" fillId="0" borderId="0" xfId="1" applyNumberFormat="1" applyFont="1" applyFill="1"/>
    <xf numFmtId="7" fontId="0" fillId="0" borderId="0" xfId="0" applyNumberFormat="1" applyFont="1" applyFill="1" applyProtection="1"/>
    <xf numFmtId="177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0" fillId="0" borderId="0" xfId="0" applyNumberFormat="1" applyFont="1" applyFill="1" applyProtection="1"/>
    <xf numFmtId="187" fontId="0" fillId="0" borderId="0" xfId="0" applyNumberFormat="1" applyFill="1"/>
    <xf numFmtId="39" fontId="30" fillId="0" borderId="0" xfId="0" applyNumberFormat="1" applyFont="1" applyFill="1" applyProtection="1">
      <protection locked="0"/>
    </xf>
    <xf numFmtId="37" fontId="0" fillId="0" borderId="4" xfId="0" applyNumberFormat="1" applyFont="1" applyFill="1" applyBorder="1" applyProtection="1"/>
    <xf numFmtId="5" fontId="0" fillId="0" borderId="11" xfId="0" applyNumberFormat="1" applyFont="1" applyFill="1" applyBorder="1" applyProtection="1"/>
    <xf numFmtId="169" fontId="0" fillId="0" borderId="22" xfId="0" applyNumberFormat="1" applyFont="1" applyFill="1" applyBorder="1" applyProtection="1"/>
    <xf numFmtId="10" fontId="40" fillId="0" borderId="22" xfId="0" applyNumberFormat="1" applyFont="1" applyFill="1" applyBorder="1" applyProtection="1"/>
    <xf numFmtId="5" fontId="0" fillId="0" borderId="22" xfId="0" applyNumberFormat="1" applyFont="1" applyFill="1" applyBorder="1" applyProtection="1"/>
    <xf numFmtId="0" fontId="10" fillId="0" borderId="22" xfId="0" applyFont="1" applyFill="1" applyBorder="1" applyProtection="1"/>
    <xf numFmtId="195" fontId="16" fillId="0" borderId="0" xfId="10" applyNumberFormat="1" applyFont="1" applyFill="1"/>
    <xf numFmtId="10" fontId="10" fillId="0" borderId="0" xfId="10" applyNumberFormat="1" applyFont="1" applyFill="1" applyProtection="1"/>
    <xf numFmtId="0" fontId="44" fillId="0" borderId="0" xfId="0" applyFont="1" applyFill="1" applyProtection="1"/>
    <xf numFmtId="37" fontId="0" fillId="0" borderId="11" xfId="0" applyNumberFormat="1" applyFont="1" applyFill="1" applyBorder="1" applyProtection="1"/>
    <xf numFmtId="37" fontId="0" fillId="0" borderId="0" xfId="0" applyNumberFormat="1" applyFont="1" applyFill="1" applyBorder="1" applyProtection="1"/>
    <xf numFmtId="169" fontId="0" fillId="0" borderId="0" xfId="0" applyNumberFormat="1" applyFont="1" applyFill="1" applyBorder="1" applyProtection="1"/>
    <xf numFmtId="10" fontId="40" fillId="0" borderId="0" xfId="0" applyNumberFormat="1" applyFont="1" applyFill="1" applyBorder="1" applyProtection="1"/>
    <xf numFmtId="7" fontId="15" fillId="0" borderId="0" xfId="0" applyNumberFormat="1" applyFont="1" applyFill="1" applyProtection="1"/>
    <xf numFmtId="37" fontId="30" fillId="0" borderId="0" xfId="0" applyNumberFormat="1" applyFont="1" applyFill="1" applyProtection="1"/>
    <xf numFmtId="7" fontId="12" fillId="0" borderId="0" xfId="0" applyNumberFormat="1" applyFont="1" applyFill="1" applyProtection="1">
      <protection locked="0"/>
    </xf>
    <xf numFmtId="7" fontId="40" fillId="0" borderId="0" xfId="0" applyNumberFormat="1" applyFont="1" applyFill="1" applyProtection="1"/>
    <xf numFmtId="178" fontId="12" fillId="0" borderId="0" xfId="1" applyNumberFormat="1" applyFont="1" applyFill="1" applyProtection="1">
      <protection locked="0"/>
    </xf>
    <xf numFmtId="173" fontId="0" fillId="0" borderId="0" xfId="0" applyNumberFormat="1" applyFont="1" applyFill="1" applyProtection="1"/>
    <xf numFmtId="170" fontId="13" fillId="0" borderId="0" xfId="0" applyNumberFormat="1" applyFont="1" applyFill="1" applyProtection="1"/>
    <xf numFmtId="0" fontId="17" fillId="0" borderId="0" xfId="0" applyFont="1" applyFill="1" applyProtection="1"/>
    <xf numFmtId="5" fontId="30" fillId="0" borderId="0" xfId="0" applyNumberFormat="1" applyFont="1" applyFill="1" applyProtection="1"/>
    <xf numFmtId="186" fontId="0" fillId="0" borderId="0" xfId="0" applyNumberFormat="1" applyFont="1" applyFill="1" applyProtection="1"/>
    <xf numFmtId="7" fontId="16" fillId="0" borderId="0" xfId="0" applyNumberFormat="1" applyFont="1" applyFill="1" applyProtection="1"/>
    <xf numFmtId="5" fontId="40" fillId="0" borderId="0" xfId="0" applyNumberFormat="1" applyFont="1" applyFill="1" applyProtection="1"/>
    <xf numFmtId="173" fontId="0" fillId="0" borderId="0" xfId="0" applyNumberFormat="1" applyFont="1" applyFill="1"/>
    <xf numFmtId="37" fontId="10" fillId="0" borderId="22" xfId="0" applyNumberFormat="1" applyFont="1" applyFill="1" applyBorder="1" applyProtection="1"/>
    <xf numFmtId="185" fontId="0" fillId="0" borderId="0" xfId="0" applyNumberFormat="1" applyFont="1" applyFill="1" applyProtection="1"/>
    <xf numFmtId="44" fontId="16" fillId="0" borderId="0" xfId="2" applyFont="1" applyFill="1"/>
    <xf numFmtId="7" fontId="16" fillId="0" borderId="0" xfId="0" applyNumberFormat="1" applyFont="1" applyFill="1" applyProtection="1">
      <protection locked="0"/>
    </xf>
    <xf numFmtId="177" fontId="30" fillId="0" borderId="0" xfId="0" applyNumberFormat="1" applyFont="1" applyFill="1" applyProtection="1">
      <protection locked="0"/>
    </xf>
    <xf numFmtId="171" fontId="0" fillId="0" borderId="0" xfId="0" applyNumberFormat="1" applyFill="1"/>
    <xf numFmtId="5" fontId="40" fillId="0" borderId="0" xfId="0" applyNumberFormat="1" applyFont="1" applyFill="1" applyProtection="1">
      <protection locked="0"/>
    </xf>
    <xf numFmtId="0" fontId="40" fillId="0" borderId="0" xfId="0" applyFont="1" applyFill="1" applyProtection="1">
      <protection locked="0"/>
    </xf>
    <xf numFmtId="179" fontId="10" fillId="0" borderId="0" xfId="0" applyNumberFormat="1" applyFont="1" applyFill="1" applyProtection="1">
      <protection locked="0"/>
    </xf>
    <xf numFmtId="184" fontId="10" fillId="0" borderId="0" xfId="0" applyNumberFormat="1" applyFont="1" applyFill="1" applyProtection="1">
      <protection locked="0"/>
    </xf>
    <xf numFmtId="4" fontId="0" fillId="0" borderId="0" xfId="0" applyNumberFormat="1" applyFill="1"/>
    <xf numFmtId="194" fontId="16" fillId="0" borderId="0" xfId="1" applyNumberFormat="1" applyFont="1" applyFill="1"/>
    <xf numFmtId="181" fontId="10" fillId="0" borderId="0" xfId="0" applyNumberFormat="1" applyFont="1" applyFill="1" applyProtection="1"/>
    <xf numFmtId="5" fontId="10" fillId="0" borderId="0" xfId="0" applyNumberFormat="1" applyFont="1" applyFill="1"/>
    <xf numFmtId="7" fontId="10" fillId="0" borderId="0" xfId="0" applyNumberFormat="1" applyFont="1" applyFill="1" applyProtection="1"/>
    <xf numFmtId="182" fontId="10" fillId="0" borderId="0" xfId="0" applyNumberFormat="1" applyFont="1" applyFill="1" applyProtection="1"/>
    <xf numFmtId="175" fontId="30" fillId="0" borderId="0" xfId="0" applyNumberFormat="1" applyFont="1" applyFill="1" applyProtection="1"/>
    <xf numFmtId="178" fontId="30" fillId="0" borderId="0" xfId="1" applyNumberFormat="1" applyFont="1" applyFill="1" applyProtection="1"/>
    <xf numFmtId="7" fontId="12" fillId="0" borderId="0" xfId="0" applyNumberFormat="1" applyFont="1" applyFill="1" applyProtection="1"/>
    <xf numFmtId="175" fontId="12" fillId="0" borderId="0" xfId="0" applyNumberFormat="1" applyFont="1" applyFill="1" applyProtection="1"/>
    <xf numFmtId="169" fontId="0" fillId="0" borderId="0" xfId="0" applyNumberFormat="1" applyFill="1" applyBorder="1" applyProtection="1"/>
    <xf numFmtId="179" fontId="12" fillId="0" borderId="0" xfId="0" applyNumberFormat="1" applyFont="1" applyFill="1" applyProtection="1"/>
    <xf numFmtId="170" fontId="12" fillId="0" borderId="0" xfId="0" applyNumberFormat="1" applyFont="1" applyFill="1" applyProtection="1"/>
    <xf numFmtId="169" fontId="12" fillId="0" borderId="0" xfId="0" applyNumberFormat="1" applyFont="1" applyFill="1" applyProtection="1"/>
    <xf numFmtId="177" fontId="12" fillId="0" borderId="0" xfId="0" applyNumberFormat="1" applyFont="1" applyFill="1" applyProtection="1"/>
    <xf numFmtId="182" fontId="0" fillId="0" borderId="0" xfId="0" applyNumberFormat="1" applyFont="1" applyFill="1" applyProtection="1"/>
    <xf numFmtId="175" fontId="0" fillId="0" borderId="0" xfId="0" applyNumberFormat="1" applyFont="1" applyFill="1"/>
    <xf numFmtId="37" fontId="10" fillId="0" borderId="21" xfId="0" applyNumberFormat="1" applyFont="1" applyFill="1" applyBorder="1" applyProtection="1"/>
    <xf numFmtId="169" fontId="0" fillId="0" borderId="0" xfId="0" applyNumberFormat="1" applyFill="1"/>
    <xf numFmtId="179" fontId="30" fillId="0" borderId="0" xfId="0" applyNumberFormat="1" applyFont="1" applyFill="1" applyProtection="1"/>
    <xf numFmtId="3" fontId="40" fillId="0" borderId="0" xfId="0" applyNumberFormat="1" applyFont="1" applyFill="1"/>
    <xf numFmtId="188" fontId="41" fillId="0" borderId="0" xfId="6" applyNumberFormat="1" applyFont="1" applyFill="1"/>
    <xf numFmtId="167" fontId="41" fillId="0" borderId="13" xfId="1" applyNumberFormat="1" applyFont="1" applyFill="1" applyBorder="1"/>
    <xf numFmtId="3" fontId="0" fillId="0" borderId="10" xfId="0" applyNumberFormat="1" applyFill="1" applyBorder="1"/>
    <xf numFmtId="44" fontId="41" fillId="0" borderId="10" xfId="6" applyNumberFormat="1" applyFont="1" applyFill="1" applyBorder="1"/>
    <xf numFmtId="7" fontId="41" fillId="0" borderId="15" xfId="6" applyNumberFormat="1" applyFont="1" applyFill="1" applyBorder="1" applyAlignment="1">
      <alignment horizontal="right"/>
    </xf>
    <xf numFmtId="167" fontId="41" fillId="0" borderId="2" xfId="1" applyNumberFormat="1" applyFont="1" applyFill="1" applyBorder="1"/>
    <xf numFmtId="44" fontId="41" fillId="0" borderId="0" xfId="6" applyNumberFormat="1" applyFont="1" applyFill="1" applyBorder="1"/>
    <xf numFmtId="7" fontId="41" fillId="0" borderId="1" xfId="6" applyNumberFormat="1" applyFont="1" applyFill="1" applyBorder="1" applyAlignment="1">
      <alignment horizontal="right"/>
    </xf>
    <xf numFmtId="5" fontId="16" fillId="0" borderId="0" xfId="2" applyNumberFormat="1" applyFont="1" applyFill="1" applyBorder="1"/>
    <xf numFmtId="7" fontId="41" fillId="0" borderId="1" xfId="6" applyNumberFormat="1" applyFont="1" applyFill="1" applyBorder="1"/>
    <xf numFmtId="7" fontId="41" fillId="0" borderId="9" xfId="6" applyNumberFormat="1" applyFont="1" applyFill="1" applyBorder="1"/>
    <xf numFmtId="44" fontId="41" fillId="0" borderId="4" xfId="6" applyNumberFormat="1" applyFont="1" applyFill="1" applyBorder="1"/>
    <xf numFmtId="0" fontId="0" fillId="0" borderId="5" xfId="0" applyFill="1" applyBorder="1"/>
    <xf numFmtId="5" fontId="41" fillId="0" borderId="0" xfId="6" applyNumberFormat="1" applyFont="1" applyFill="1" applyBorder="1" applyAlignment="1">
      <alignment horizontal="right"/>
    </xf>
    <xf numFmtId="5" fontId="41" fillId="0" borderId="0" xfId="6" applyNumberFormat="1" applyFont="1" applyFill="1" applyBorder="1"/>
    <xf numFmtId="5" fontId="12" fillId="0" borderId="0" xfId="0" applyNumberFormat="1" applyFont="1" applyFill="1" applyProtection="1"/>
    <xf numFmtId="0" fontId="30" fillId="0" borderId="0" xfId="0" applyFont="1" applyFill="1" applyProtection="1"/>
    <xf numFmtId="5" fontId="10" fillId="0" borderId="0" xfId="0" applyNumberFormat="1" applyFont="1" applyFill="1" applyAlignment="1" applyProtection="1">
      <alignment horizontal="right"/>
    </xf>
    <xf numFmtId="183" fontId="10" fillId="0" borderId="0" xfId="0" applyNumberFormat="1" applyFont="1" applyFill="1" applyProtection="1"/>
    <xf numFmtId="5" fontId="0" fillId="0" borderId="0" xfId="0" applyNumberFormat="1" applyFill="1" applyBorder="1"/>
    <xf numFmtId="179" fontId="10" fillId="0" borderId="21" xfId="0" applyNumberFormat="1" applyFont="1" applyFill="1" applyBorder="1" applyProtection="1"/>
    <xf numFmtId="0" fontId="10" fillId="0" borderId="21" xfId="0" applyFont="1" applyFill="1" applyBorder="1" applyProtection="1"/>
    <xf numFmtId="179" fontId="10" fillId="0" borderId="0" xfId="0" applyNumberFormat="1" applyFont="1" applyFill="1" applyProtection="1"/>
    <xf numFmtId="191" fontId="16" fillId="0" borderId="0" xfId="10" applyNumberFormat="1" applyFont="1" applyFill="1" applyBorder="1"/>
    <xf numFmtId="0" fontId="15" fillId="0" borderId="0" xfId="0" applyFont="1" applyFill="1" applyProtection="1"/>
    <xf numFmtId="179" fontId="10" fillId="0" borderId="0" xfId="0" applyNumberFormat="1" applyFont="1" applyFill="1" applyBorder="1" applyProtection="1"/>
    <xf numFmtId="195" fontId="16" fillId="0" borderId="0" xfId="10" applyNumberFormat="1" applyFont="1" applyFill="1" applyBorder="1"/>
    <xf numFmtId="175" fontId="15" fillId="0" borderId="0" xfId="0" applyNumberFormat="1" applyFont="1" applyFill="1" applyProtection="1"/>
    <xf numFmtId="9" fontId="16" fillId="0" borderId="0" xfId="10" applyFont="1" applyFill="1" applyBorder="1"/>
    <xf numFmtId="0" fontId="13" fillId="0" borderId="0" xfId="0" applyFont="1" applyFill="1" applyProtection="1"/>
    <xf numFmtId="0" fontId="0" fillId="0" borderId="11" xfId="0" applyFill="1" applyBorder="1" applyProtection="1"/>
    <xf numFmtId="5" fontId="10" fillId="0" borderId="11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11" fillId="0" borderId="0" xfId="0" applyFont="1" applyFill="1"/>
    <xf numFmtId="43" fontId="41" fillId="0" borderId="0" xfId="1" applyNumberFormat="1" applyFont="1" applyFill="1" applyBorder="1"/>
    <xf numFmtId="0" fontId="31" fillId="0" borderId="0" xfId="0" applyFont="1" applyFill="1" applyBorder="1"/>
    <xf numFmtId="0" fontId="13" fillId="0" borderId="0" xfId="0" applyFont="1" applyFill="1"/>
    <xf numFmtId="3" fontId="0" fillId="0" borderId="2" xfId="0" applyNumberFormat="1" applyFill="1" applyBorder="1"/>
    <xf numFmtId="43" fontId="0" fillId="0" borderId="0" xfId="0" applyNumberFormat="1" applyFill="1" applyBorder="1"/>
    <xf numFmtId="7" fontId="30" fillId="0" borderId="1" xfId="0" applyNumberFormat="1" applyFont="1" applyFill="1" applyBorder="1"/>
    <xf numFmtId="10" fontId="16" fillId="0" borderId="0" xfId="10" applyNumberFormat="1" applyFont="1" applyFill="1" applyBorder="1"/>
    <xf numFmtId="5" fontId="30" fillId="0" borderId="1" xfId="0" applyNumberFormat="1" applyFont="1" applyFill="1" applyBorder="1"/>
    <xf numFmtId="7" fontId="16" fillId="0" borderId="0" xfId="2" applyNumberFormat="1" applyFont="1" applyFill="1"/>
    <xf numFmtId="44" fontId="16" fillId="0" borderId="0" xfId="2" applyFont="1" applyFill="1" applyBorder="1"/>
    <xf numFmtId="167" fontId="41" fillId="0" borderId="9" xfId="1" applyNumberFormat="1" applyFont="1" applyFill="1" applyBorder="1"/>
    <xf numFmtId="197" fontId="16" fillId="0" borderId="4" xfId="2" applyNumberFormat="1" applyFont="1" applyFill="1" applyBorder="1"/>
    <xf numFmtId="7" fontId="41" fillId="0" borderId="5" xfId="6" applyNumberFormat="1" applyFont="1" applyFill="1" applyBorder="1"/>
    <xf numFmtId="10" fontId="43" fillId="0" borderId="0" xfId="6" applyNumberFormat="1" applyFont="1" applyFill="1" applyBorder="1"/>
    <xf numFmtId="37" fontId="16" fillId="0" borderId="0" xfId="0" applyNumberFormat="1" applyFont="1" applyFill="1" applyProtection="1"/>
    <xf numFmtId="7" fontId="44" fillId="0" borderId="0" xfId="0" applyNumberFormat="1" applyFont="1" applyFill="1" applyProtection="1"/>
    <xf numFmtId="0" fontId="12" fillId="0" borderId="0" xfId="0" applyFont="1" applyFill="1" applyBorder="1" applyProtection="1"/>
    <xf numFmtId="180" fontId="12" fillId="0" borderId="0" xfId="0" applyNumberFormat="1" applyFont="1" applyFill="1" applyProtection="1"/>
    <xf numFmtId="37" fontId="12" fillId="0" borderId="23" xfId="0" applyNumberFormat="1" applyFont="1" applyFill="1" applyBorder="1" applyProtection="1"/>
    <xf numFmtId="5" fontId="13" fillId="0" borderId="23" xfId="0" applyNumberFormat="1" applyFont="1" applyFill="1" applyBorder="1" applyProtection="1"/>
    <xf numFmtId="5" fontId="12" fillId="0" borderId="23" xfId="0" applyNumberFormat="1" applyFont="1" applyFill="1" applyBorder="1" applyProtection="1"/>
    <xf numFmtId="167" fontId="15" fillId="0" borderId="0" xfId="1" applyNumberFormat="1" applyFont="1" applyFill="1" applyBorder="1"/>
    <xf numFmtId="37" fontId="10" fillId="0" borderId="10" xfId="0" applyNumberFormat="1" applyFont="1" applyFill="1" applyBorder="1" applyProtection="1"/>
    <xf numFmtId="7" fontId="30" fillId="0" borderId="10" xfId="0" applyNumberFormat="1" applyFont="1" applyFill="1" applyBorder="1" applyProtection="1"/>
    <xf numFmtId="5" fontId="10" fillId="0" borderId="10" xfId="0" applyNumberFormat="1" applyFont="1" applyFill="1" applyBorder="1" applyProtection="1"/>
    <xf numFmtId="7" fontId="15" fillId="0" borderId="10" xfId="0" applyNumberFormat="1" applyFont="1" applyFill="1" applyBorder="1" applyProtection="1"/>
    <xf numFmtId="0" fontId="10" fillId="0" borderId="10" xfId="0" applyFont="1" applyFill="1" applyBorder="1" applyProtection="1"/>
    <xf numFmtId="5" fontId="15" fillId="0" borderId="0" xfId="0" applyNumberFormat="1" applyFont="1" applyFill="1" applyBorder="1"/>
    <xf numFmtId="0" fontId="11" fillId="0" borderId="0" xfId="0" applyFont="1" applyFill="1" applyBorder="1" applyProtection="1"/>
    <xf numFmtId="180" fontId="11" fillId="0" borderId="0" xfId="0" applyNumberFormat="1" applyFont="1" applyFill="1" applyProtection="1"/>
    <xf numFmtId="37" fontId="11" fillId="0" borderId="23" xfId="0" applyNumberFormat="1" applyFont="1" applyFill="1" applyBorder="1" applyProtection="1"/>
    <xf numFmtId="167" fontId="45" fillId="0" borderId="23" xfId="1" applyNumberFormat="1" applyFont="1" applyFill="1" applyBorder="1" applyProtection="1"/>
    <xf numFmtId="5" fontId="11" fillId="0" borderId="23" xfId="0" applyNumberFormat="1" applyFont="1" applyFill="1" applyBorder="1" applyProtection="1"/>
    <xf numFmtId="166" fontId="11" fillId="0" borderId="23" xfId="2" applyNumberFormat="1" applyFont="1" applyFill="1" applyBorder="1" applyProtection="1"/>
    <xf numFmtId="7" fontId="45" fillId="0" borderId="23" xfId="0" applyNumberFormat="1" applyFont="1" applyFill="1" applyBorder="1" applyProtection="1"/>
    <xf numFmtId="166" fontId="30" fillId="0" borderId="0" xfId="0" applyNumberFormat="1" applyFont="1" applyFill="1" applyProtection="1"/>
    <xf numFmtId="37" fontId="12" fillId="0" borderId="0" xfId="0" applyNumberFormat="1" applyFont="1" applyFill="1" applyBorder="1" applyProtection="1"/>
    <xf numFmtId="189" fontId="16" fillId="0" borderId="0" xfId="2" applyNumberFormat="1" applyFont="1" applyFill="1"/>
    <xf numFmtId="0" fontId="46" fillId="0" borderId="0" xfId="0" applyFont="1" applyFill="1" applyProtection="1"/>
    <xf numFmtId="10" fontId="41" fillId="0" borderId="0" xfId="10" applyNumberFormat="1" applyFont="1" applyFill="1" applyBorder="1"/>
    <xf numFmtId="0" fontId="0" fillId="0" borderId="0" xfId="0" applyFill="1" applyBorder="1" applyAlignment="1">
      <alignment horizontal="right"/>
    </xf>
    <xf numFmtId="167" fontId="16" fillId="0" borderId="22" xfId="1" applyNumberFormat="1" applyFont="1" applyFill="1" applyBorder="1" applyProtection="1"/>
    <xf numFmtId="167" fontId="16" fillId="0" borderId="0" xfId="1" applyNumberFormat="1" applyFont="1" applyFill="1" applyBorder="1"/>
    <xf numFmtId="170" fontId="15" fillId="0" borderId="0" xfId="0" applyNumberFormat="1" applyFont="1" applyFill="1" applyProtection="1"/>
    <xf numFmtId="43" fontId="30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7" fontId="10" fillId="0" borderId="0" xfId="1" applyNumberFormat="1" applyFont="1" applyFill="1" applyBorder="1" applyProtection="1"/>
    <xf numFmtId="43" fontId="30" fillId="0" borderId="0" xfId="1" applyNumberFormat="1" applyFont="1" applyFill="1" applyProtection="1"/>
    <xf numFmtId="5" fontId="11" fillId="0" borderId="10" xfId="0" applyNumberFormat="1" applyFont="1" applyFill="1" applyBorder="1" applyProtection="1"/>
    <xf numFmtId="0" fontId="47" fillId="0" borderId="0" xfId="8" applyFont="1" applyFill="1"/>
    <xf numFmtId="0" fontId="27" fillId="0" borderId="0" xfId="8" applyFont="1" applyFill="1"/>
    <xf numFmtId="0" fontId="27" fillId="0" borderId="0" xfId="8" applyFont="1" applyFill="1" applyAlignment="1">
      <alignment horizontal="centerContinuous"/>
    </xf>
    <xf numFmtId="0" fontId="48" fillId="0" borderId="0" xfId="8" applyFont="1" applyFill="1" applyBorder="1" applyAlignment="1">
      <alignment horizontal="centerContinuous"/>
    </xf>
    <xf numFmtId="0" fontId="48" fillId="0" borderId="0" xfId="8" applyFont="1" applyFill="1" applyAlignment="1">
      <alignment horizontal="centerContinuous"/>
    </xf>
    <xf numFmtId="0" fontId="47" fillId="0" borderId="0" xfId="8" applyFont="1" applyFill="1" applyAlignment="1">
      <alignment horizontal="centerContinuous"/>
    </xf>
    <xf numFmtId="0" fontId="47" fillId="0" borderId="4" xfId="8" applyFont="1" applyFill="1" applyBorder="1" applyAlignment="1">
      <alignment horizontal="centerContinuous"/>
    </xf>
    <xf numFmtId="0" fontId="26" fillId="0" borderId="0" xfId="8" applyFill="1"/>
    <xf numFmtId="0" fontId="47" fillId="0" borderId="0" xfId="8" applyFont="1" applyFill="1" applyBorder="1" applyAlignment="1">
      <alignment horizontal="center"/>
    </xf>
    <xf numFmtId="0" fontId="47" fillId="0" borderId="0" xfId="8" applyFont="1" applyFill="1" applyBorder="1" applyAlignment="1">
      <alignment horizontal="centerContinuous"/>
    </xf>
    <xf numFmtId="0" fontId="49" fillId="0" borderId="24" xfId="8" applyFont="1" applyFill="1" applyBorder="1"/>
    <xf numFmtId="0" fontId="49" fillId="0" borderId="25" xfId="8" applyFont="1" applyFill="1" applyBorder="1"/>
    <xf numFmtId="0" fontId="47" fillId="0" borderId="4" xfId="8" applyFont="1" applyFill="1" applyBorder="1" applyAlignment="1">
      <alignment horizontal="center"/>
    </xf>
    <xf numFmtId="0" fontId="47" fillId="0" borderId="11" xfId="8" applyFont="1" applyFill="1" applyBorder="1" applyAlignment="1">
      <alignment horizontal="centerContinuous"/>
    </xf>
    <xf numFmtId="0" fontId="28" fillId="0" borderId="0" xfId="8" applyFont="1" applyFill="1"/>
    <xf numFmtId="0" fontId="47" fillId="0" borderId="4" xfId="8" applyFont="1" applyFill="1" applyBorder="1"/>
    <xf numFmtId="0" fontId="49" fillId="0" borderId="26" xfId="8" applyFont="1" applyFill="1" applyBorder="1"/>
    <xf numFmtId="7" fontId="50" fillId="0" borderId="27" xfId="8" applyNumberFormat="1" applyFont="1" applyFill="1" applyBorder="1"/>
    <xf numFmtId="0" fontId="51" fillId="0" borderId="0" xfId="8" applyFont="1" applyFill="1"/>
    <xf numFmtId="175" fontId="50" fillId="0" borderId="27" xfId="8" applyNumberFormat="1" applyFont="1" applyFill="1" applyBorder="1"/>
    <xf numFmtId="43" fontId="47" fillId="0" borderId="0" xfId="8" applyNumberFormat="1" applyFont="1" applyFill="1"/>
    <xf numFmtId="37" fontId="47" fillId="0" borderId="0" xfId="8" applyNumberFormat="1" applyFont="1" applyFill="1" applyProtection="1"/>
    <xf numFmtId="7" fontId="26" fillId="0" borderId="0" xfId="8" applyNumberFormat="1" applyFill="1"/>
    <xf numFmtId="7" fontId="47" fillId="0" borderId="0" xfId="8" applyNumberFormat="1" applyFont="1" applyFill="1"/>
    <xf numFmtId="10" fontId="47" fillId="0" borderId="0" xfId="8" applyNumberFormat="1" applyFont="1" applyFill="1" applyProtection="1"/>
    <xf numFmtId="0" fontId="49" fillId="0" borderId="28" xfId="8" applyFont="1" applyFill="1" applyBorder="1"/>
    <xf numFmtId="175" fontId="50" fillId="0" borderId="29" xfId="8" applyNumberFormat="1" applyFont="1" applyFill="1" applyBorder="1"/>
    <xf numFmtId="0" fontId="49" fillId="0" borderId="0" xfId="8" applyFont="1" applyFill="1"/>
    <xf numFmtId="175" fontId="49" fillId="0" borderId="0" xfId="8" applyNumberFormat="1" applyFont="1" applyFill="1"/>
    <xf numFmtId="0" fontId="47" fillId="0" borderId="0" xfId="8" applyFont="1" applyFill="1" applyBorder="1"/>
    <xf numFmtId="7" fontId="47" fillId="0" borderId="0" xfId="8" applyNumberFormat="1" applyFont="1" applyFill="1" applyProtection="1"/>
    <xf numFmtId="169" fontId="49" fillId="0" borderId="0" xfId="8" applyNumberFormat="1" applyFont="1" applyFill="1"/>
    <xf numFmtId="184" fontId="47" fillId="0" borderId="0" xfId="8" applyNumberFormat="1" applyFont="1" applyFill="1" applyProtection="1"/>
    <xf numFmtId="37" fontId="47" fillId="0" borderId="4" xfId="8" applyNumberFormat="1" applyFont="1" applyFill="1" applyBorder="1" applyProtection="1"/>
    <xf numFmtId="7" fontId="47" fillId="0" borderId="4" xfId="8" applyNumberFormat="1" applyFont="1" applyFill="1" applyBorder="1" applyProtection="1"/>
    <xf numFmtId="184" fontId="47" fillId="0" borderId="4" xfId="8" applyNumberFormat="1" applyFont="1" applyFill="1" applyBorder="1" applyProtection="1"/>
    <xf numFmtId="0" fontId="18" fillId="0" borderId="0" xfId="8" applyFont="1" applyFill="1"/>
    <xf numFmtId="0" fontId="18" fillId="0" borderId="0" xfId="8" quotePrefix="1" applyFont="1" applyFill="1" applyBorder="1" applyAlignment="1">
      <alignment horizontal="left"/>
    </xf>
    <xf numFmtId="5" fontId="47" fillId="0" borderId="0" xfId="8" applyNumberFormat="1" applyFont="1" applyFill="1"/>
    <xf numFmtId="0" fontId="47" fillId="0" borderId="0" xfId="8" applyFont="1" applyFill="1" applyAlignment="1" applyProtection="1">
      <alignment horizontal="left"/>
    </xf>
    <xf numFmtId="44" fontId="47" fillId="0" borderId="0" xfId="2" applyFont="1" applyFill="1"/>
    <xf numFmtId="0" fontId="47" fillId="0" borderId="0" xfId="8" applyFont="1" applyFill="1" applyProtection="1"/>
    <xf numFmtId="0" fontId="27" fillId="0" borderId="0" xfId="8" applyFont="1" applyFill="1" applyAlignment="1" applyProtection="1">
      <alignment horizontal="centerContinuous"/>
    </xf>
    <xf numFmtId="0" fontId="48" fillId="0" borderId="0" xfId="8" applyFont="1" applyFill="1" applyBorder="1" applyAlignment="1" applyProtection="1">
      <alignment horizontal="center"/>
    </xf>
    <xf numFmtId="0" fontId="19" fillId="0" borderId="0" xfId="8" applyFont="1" applyFill="1" applyAlignment="1" applyProtection="1">
      <alignment horizontal="centerContinuous"/>
    </xf>
    <xf numFmtId="0" fontId="19" fillId="0" borderId="0" xfId="8" applyFont="1" applyFill="1" applyAlignment="1">
      <alignment horizontal="centerContinuous"/>
    </xf>
    <xf numFmtId="0" fontId="52" fillId="0" borderId="0" xfId="8" applyFont="1" applyFill="1" applyAlignment="1" applyProtection="1">
      <alignment horizontal="centerContinuous"/>
    </xf>
    <xf numFmtId="0" fontId="47" fillId="0" borderId="0" xfId="8" applyFont="1" applyFill="1" applyAlignment="1" applyProtection="1">
      <alignment horizontal="centerContinuous"/>
    </xf>
    <xf numFmtId="0" fontId="47" fillId="0" borderId="0" xfId="8" applyFont="1" applyFill="1" applyAlignment="1" applyProtection="1"/>
    <xf numFmtId="0" fontId="15" fillId="0" borderId="0" xfId="8" applyFont="1" applyFill="1" applyAlignment="1" applyProtection="1">
      <alignment horizontal="center"/>
    </xf>
    <xf numFmtId="0" fontId="15" fillId="0" borderId="0" xfId="8" applyFont="1" applyFill="1" applyProtection="1"/>
    <xf numFmtId="0" fontId="15" fillId="0" borderId="11" xfId="8" applyFont="1" applyFill="1" applyBorder="1" applyAlignment="1" applyProtection="1">
      <alignment horizontal="centerContinuous"/>
    </xf>
    <xf numFmtId="0" fontId="15" fillId="0" borderId="0" xfId="8" applyFont="1" applyFill="1" applyAlignment="1" applyProtection="1">
      <alignment horizontal="centerContinuous"/>
    </xf>
    <xf numFmtId="0" fontId="15" fillId="0" borderId="0" xfId="8" applyFont="1" applyFill="1"/>
    <xf numFmtId="0" fontId="15" fillId="0" borderId="0" xfId="8" applyFont="1" applyFill="1" applyBorder="1" applyAlignment="1" applyProtection="1">
      <alignment horizontal="center"/>
    </xf>
    <xf numFmtId="0" fontId="15" fillId="0" borderId="4" xfId="8" applyFont="1" applyFill="1" applyBorder="1" applyAlignment="1" applyProtection="1">
      <alignment horizontal="centerContinuous"/>
    </xf>
    <xf numFmtId="0" fontId="15" fillId="0" borderId="0" xfId="8" applyFont="1" applyFill="1" applyAlignment="1" applyProtection="1"/>
    <xf numFmtId="0" fontId="15" fillId="0" borderId="4" xfId="8" applyFont="1" applyFill="1" applyBorder="1" applyAlignment="1" applyProtection="1">
      <alignment horizontal="center"/>
    </xf>
    <xf numFmtId="0" fontId="14" fillId="0" borderId="0" xfId="8" applyFont="1" applyFill="1" applyProtection="1"/>
    <xf numFmtId="0" fontId="14" fillId="0" borderId="0" xfId="8" applyFont="1" applyFill="1" applyAlignment="1" applyProtection="1">
      <alignment horizontal="center"/>
    </xf>
    <xf numFmtId="0" fontId="15" fillId="0" borderId="11" xfId="8" applyFont="1" applyFill="1" applyBorder="1" applyAlignment="1" applyProtection="1">
      <alignment horizontal="center"/>
    </xf>
    <xf numFmtId="0" fontId="15" fillId="0" borderId="0" xfId="8" applyFont="1" applyFill="1" applyBorder="1" applyProtection="1"/>
    <xf numFmtId="0" fontId="47" fillId="0" borderId="24" xfId="8" applyFont="1" applyFill="1" applyBorder="1"/>
    <xf numFmtId="0" fontId="47" fillId="0" borderId="30" xfId="8" applyFont="1" applyFill="1" applyBorder="1"/>
    <xf numFmtId="0" fontId="47" fillId="0" borderId="25" xfId="8" applyFont="1" applyFill="1" applyBorder="1"/>
    <xf numFmtId="0" fontId="47" fillId="0" borderId="26" xfId="8" applyFont="1" applyFill="1" applyBorder="1"/>
    <xf numFmtId="0" fontId="47" fillId="0" borderId="27" xfId="8" applyFont="1" applyFill="1" applyBorder="1"/>
    <xf numFmtId="37" fontId="15" fillId="0" borderId="0" xfId="8" applyNumberFormat="1" applyFont="1" applyFill="1" applyProtection="1"/>
    <xf numFmtId="169" fontId="15" fillId="0" borderId="0" xfId="10" applyNumberFormat="1" applyFont="1" applyFill="1" applyProtection="1"/>
    <xf numFmtId="5" fontId="15" fillId="0" borderId="0" xfId="8" applyNumberFormat="1" applyFont="1" applyFill="1" applyProtection="1"/>
    <xf numFmtId="10" fontId="15" fillId="0" borderId="0" xfId="8" applyNumberFormat="1" applyFont="1" applyFill="1" applyProtection="1"/>
    <xf numFmtId="7" fontId="50" fillId="0" borderId="0" xfId="8" applyNumberFormat="1" applyFont="1" applyFill="1" applyBorder="1"/>
    <xf numFmtId="0" fontId="50" fillId="0" borderId="0" xfId="8" applyFont="1" applyFill="1" applyBorder="1"/>
    <xf numFmtId="7" fontId="47" fillId="0" borderId="0" xfId="2" applyNumberFormat="1" applyFont="1" applyFill="1"/>
    <xf numFmtId="7" fontId="49" fillId="0" borderId="0" xfId="8" applyNumberFormat="1" applyFont="1" applyFill="1" applyBorder="1"/>
    <xf numFmtId="0" fontId="47" fillId="0" borderId="26" xfId="8" applyFont="1" applyFill="1" applyBorder="1" applyAlignment="1">
      <alignment horizontal="right"/>
    </xf>
    <xf numFmtId="167" fontId="49" fillId="0" borderId="0" xfId="1" applyNumberFormat="1" applyFont="1" applyFill="1" applyBorder="1" applyAlignment="1">
      <alignment horizontal="right"/>
    </xf>
    <xf numFmtId="0" fontId="50" fillId="0" borderId="27" xfId="8" applyFont="1" applyFill="1" applyBorder="1"/>
    <xf numFmtId="0" fontId="47" fillId="0" borderId="0" xfId="8" applyFont="1" applyFill="1" applyBorder="1" applyAlignment="1">
      <alignment horizontal="right"/>
    </xf>
    <xf numFmtId="5" fontId="15" fillId="0" borderId="0" xfId="8" applyNumberFormat="1" applyFont="1" applyFill="1"/>
    <xf numFmtId="178" fontId="50" fillId="0" borderId="0" xfId="1" applyNumberFormat="1" applyFont="1" applyFill="1" applyBorder="1"/>
    <xf numFmtId="178" fontId="50" fillId="0" borderId="27" xfId="1" applyNumberFormat="1" applyFont="1" applyFill="1" applyBorder="1"/>
    <xf numFmtId="0" fontId="49" fillId="0" borderId="31" xfId="8" applyFont="1" applyFill="1" applyBorder="1"/>
    <xf numFmtId="0" fontId="49" fillId="0" borderId="29" xfId="8" applyFont="1" applyFill="1" applyBorder="1"/>
    <xf numFmtId="175" fontId="47" fillId="0" borderId="0" xfId="8" applyNumberFormat="1" applyFont="1" applyFill="1"/>
    <xf numFmtId="178" fontId="15" fillId="0" borderId="0" xfId="1" applyNumberFormat="1" applyFont="1" applyFill="1" applyProtection="1"/>
    <xf numFmtId="0" fontId="15" fillId="0" borderId="0" xfId="8" applyFont="1" applyFill="1" applyBorder="1"/>
    <xf numFmtId="169" fontId="15" fillId="0" borderId="0" xfId="10" applyNumberFormat="1" applyFont="1" applyFill="1" applyBorder="1" applyProtection="1"/>
    <xf numFmtId="0" fontId="18" fillId="0" borderId="0" xfId="8" quotePrefix="1" applyFont="1" applyFill="1"/>
    <xf numFmtId="0" fontId="48" fillId="0" borderId="0" xfId="8" applyFont="1" applyFill="1" applyBorder="1" applyAlignment="1" applyProtection="1">
      <alignment horizontal="centerContinuous"/>
    </xf>
    <xf numFmtId="0" fontId="15" fillId="0" borderId="0" xfId="8" applyFont="1" applyFill="1" applyAlignment="1">
      <alignment horizontal="center"/>
    </xf>
    <xf numFmtId="0" fontId="47" fillId="0" borderId="31" xfId="8" applyFont="1" applyFill="1" applyBorder="1"/>
    <xf numFmtId="0" fontId="15" fillId="0" borderId="0" xfId="8" applyFont="1" applyFill="1" applyAlignment="1" applyProtection="1">
      <alignment horizontal="left"/>
    </xf>
    <xf numFmtId="0" fontId="47" fillId="0" borderId="32" xfId="8" applyFont="1" applyFill="1" applyBorder="1" applyAlignment="1">
      <alignment horizontal="left"/>
    </xf>
    <xf numFmtId="0" fontId="47" fillId="0" borderId="30" xfId="8" applyFont="1" applyFill="1" applyBorder="1" applyAlignment="1">
      <alignment horizontal="centerContinuous"/>
    </xf>
    <xf numFmtId="0" fontId="47" fillId="0" borderId="25" xfId="8" applyFont="1" applyFill="1" applyBorder="1" applyAlignment="1">
      <alignment horizontal="centerContinuous"/>
    </xf>
    <xf numFmtId="0" fontId="47" fillId="0" borderId="27" xfId="8" applyFont="1" applyFill="1" applyBorder="1" applyAlignment="1">
      <alignment horizontal="center"/>
    </xf>
    <xf numFmtId="5" fontId="50" fillId="0" borderId="0" xfId="8" applyNumberFormat="1" applyFont="1" applyFill="1" applyBorder="1"/>
    <xf numFmtId="175" fontId="50" fillId="0" borderId="0" xfId="8" applyNumberFormat="1" applyFont="1" applyFill="1" applyBorder="1"/>
    <xf numFmtId="175" fontId="47" fillId="0" borderId="27" xfId="8" applyNumberFormat="1" applyFont="1" applyFill="1" applyBorder="1"/>
    <xf numFmtId="0" fontId="47" fillId="0" borderId="28" xfId="8" applyFont="1" applyFill="1" applyBorder="1"/>
    <xf numFmtId="178" fontId="49" fillId="0" borderId="31" xfId="1" applyNumberFormat="1" applyFont="1" applyFill="1" applyBorder="1"/>
    <xf numFmtId="0" fontId="47" fillId="0" borderId="29" xfId="8" applyFont="1" applyFill="1" applyBorder="1"/>
    <xf numFmtId="0" fontId="15" fillId="0" borderId="4" xfId="8" applyFont="1" applyFill="1" applyBorder="1" applyProtection="1"/>
    <xf numFmtId="0" fontId="15" fillId="0" borderId="4" xfId="8" applyFont="1" applyFill="1" applyBorder="1"/>
    <xf numFmtId="0" fontId="52" fillId="0" borderId="0" xfId="8" applyFont="1" applyFill="1" applyBorder="1" applyAlignment="1">
      <alignment horizontal="centerContinuous"/>
    </xf>
    <xf numFmtId="0" fontId="47" fillId="0" borderId="0" xfId="8" applyFont="1" applyFill="1" applyAlignment="1" applyProtection="1">
      <alignment horizontal="center"/>
    </xf>
    <xf numFmtId="0" fontId="47" fillId="0" borderId="0" xfId="8" applyFont="1" applyFill="1" applyAlignment="1">
      <alignment horizontal="center"/>
    </xf>
    <xf numFmtId="0" fontId="47" fillId="0" borderId="24" xfId="8" applyFont="1" applyFill="1" applyBorder="1" applyAlignment="1">
      <alignment horizontal="center"/>
    </xf>
    <xf numFmtId="0" fontId="47" fillId="0" borderId="0" xfId="8" applyFont="1" applyFill="1" applyBorder="1" applyAlignment="1" applyProtection="1">
      <alignment horizontal="center"/>
    </xf>
    <xf numFmtId="0" fontId="47" fillId="0" borderId="4" xfId="8" applyFont="1" applyFill="1" applyBorder="1" applyAlignment="1" applyProtection="1">
      <alignment horizontal="center"/>
    </xf>
    <xf numFmtId="0" fontId="51" fillId="0" borderId="0" xfId="8" applyFont="1" applyFill="1" applyAlignment="1">
      <alignment horizontal="center"/>
    </xf>
    <xf numFmtId="0" fontId="49" fillId="0" borderId="27" xfId="8" applyFont="1" applyFill="1" applyBorder="1"/>
    <xf numFmtId="0" fontId="49" fillId="0" borderId="0" xfId="8" applyFont="1" applyFill="1" applyBorder="1"/>
    <xf numFmtId="0" fontId="47" fillId="0" borderId="13" xfId="8" applyFont="1" applyFill="1" applyBorder="1"/>
    <xf numFmtId="0" fontId="47" fillId="0" borderId="10" xfId="8" applyFont="1" applyFill="1" applyBorder="1"/>
    <xf numFmtId="0" fontId="47" fillId="0" borderId="15" xfId="8" applyFont="1" applyFill="1" applyBorder="1"/>
    <xf numFmtId="0" fontId="51" fillId="0" borderId="0" xfId="8" applyFont="1" applyFill="1" applyBorder="1"/>
    <xf numFmtId="0" fontId="47" fillId="0" borderId="2" xfId="8" applyFont="1" applyFill="1" applyBorder="1"/>
    <xf numFmtId="7" fontId="50" fillId="0" borderId="1" xfId="8" applyNumberFormat="1" applyFont="1" applyFill="1" applyBorder="1"/>
    <xf numFmtId="5" fontId="47" fillId="0" borderId="0" xfId="8" applyNumberFormat="1" applyFont="1" applyFill="1" applyProtection="1"/>
    <xf numFmtId="5" fontId="50" fillId="0" borderId="1" xfId="8" applyNumberFormat="1" applyFont="1" applyFill="1" applyBorder="1"/>
    <xf numFmtId="0" fontId="47" fillId="0" borderId="9" xfId="8" applyFont="1" applyFill="1" applyBorder="1"/>
    <xf numFmtId="0" fontId="50" fillId="0" borderId="4" xfId="8" applyFont="1" applyFill="1" applyBorder="1"/>
    <xf numFmtId="5" fontId="50" fillId="0" borderId="5" xfId="8" applyNumberFormat="1" applyFont="1" applyFill="1" applyBorder="1"/>
    <xf numFmtId="0" fontId="18" fillId="0" borderId="0" xfId="8" quotePrefix="1" applyFont="1" applyFill="1" applyBorder="1"/>
    <xf numFmtId="10" fontId="47" fillId="0" borderId="0" xfId="10" applyNumberFormat="1" applyFont="1" applyFill="1"/>
    <xf numFmtId="0" fontId="52" fillId="0" borderId="0" xfId="8" applyFont="1" applyFill="1" applyAlignment="1">
      <alignment horizontal="centerContinuous"/>
    </xf>
    <xf numFmtId="0" fontId="47" fillId="0" borderId="24" xfId="8" applyFont="1" applyFill="1" applyBorder="1" applyAlignment="1">
      <alignment horizontal="centerContinuous"/>
    </xf>
    <xf numFmtId="43" fontId="30" fillId="0" borderId="0" xfId="1" applyFont="1" applyFill="1" applyProtection="1">
      <protection locked="0"/>
    </xf>
    <xf numFmtId="178" fontId="0" fillId="0" borderId="0" xfId="1" applyNumberFormat="1" applyFont="1" applyFill="1"/>
    <xf numFmtId="43" fontId="30" fillId="0" borderId="0" xfId="1" applyFont="1" applyFill="1" applyProtection="1"/>
    <xf numFmtId="0" fontId="0" fillId="0" borderId="0" xfId="0" applyFill="1" applyBorder="1" applyAlignment="1">
      <alignment horizontal="center"/>
    </xf>
    <xf numFmtId="167" fontId="17" fillId="0" borderId="0" xfId="1" applyNumberFormat="1" applyFont="1" applyFill="1"/>
    <xf numFmtId="167" fontId="0" fillId="0" borderId="0" xfId="0" applyNumberFormat="1" applyFill="1" applyBorder="1"/>
    <xf numFmtId="171" fontId="0" fillId="0" borderId="0" xfId="0" applyNumberFormat="1" applyFill="1" applyBorder="1"/>
    <xf numFmtId="0" fontId="13" fillId="0" borderId="0" xfId="2" applyNumberFormat="1" applyFont="1" applyFill="1"/>
    <xf numFmtId="7" fontId="30" fillId="0" borderId="0" xfId="0" applyNumberFormat="1" applyFont="1" applyFill="1" applyBorder="1"/>
    <xf numFmtId="5" fontId="30" fillId="0" borderId="0" xfId="0" applyNumberFormat="1" applyFont="1" applyFill="1" applyBorder="1"/>
    <xf numFmtId="197" fontId="16" fillId="0" borderId="0" xfId="2" applyNumberFormat="1" applyFont="1" applyFill="1" applyBorder="1"/>
    <xf numFmtId="9" fontId="16" fillId="0" borderId="0" xfId="10" applyFont="1" applyFill="1"/>
    <xf numFmtId="9" fontId="0" fillId="0" borderId="0" xfId="10" applyFont="1" applyFill="1"/>
    <xf numFmtId="9" fontId="0" fillId="0" borderId="0" xfId="0" applyNumberFormat="1" applyFill="1"/>
    <xf numFmtId="9" fontId="16" fillId="0" borderId="0" xfId="10" applyNumberFormat="1" applyFont="1" applyFill="1"/>
    <xf numFmtId="166" fontId="0" fillId="0" borderId="0" xfId="0" applyNumberFormat="1" applyFill="1" applyBorder="1"/>
    <xf numFmtId="7" fontId="0" fillId="0" borderId="0" xfId="0" applyNumberFormat="1" applyFill="1" applyProtection="1"/>
    <xf numFmtId="0" fontId="47" fillId="0" borderId="0" xfId="8" applyFont="1" applyFill="1" applyAlignment="1">
      <alignment horizontal="right"/>
    </xf>
    <xf numFmtId="10" fontId="0" fillId="0" borderId="0" xfId="0" applyNumberFormat="1" applyFill="1" applyBorder="1"/>
    <xf numFmtId="0" fontId="15" fillId="0" borderId="0" xfId="0" applyFont="1" applyFill="1" applyAlignment="1">
      <alignment horizontal="right"/>
    </xf>
    <xf numFmtId="0" fontId="11" fillId="0" borderId="0" xfId="0" applyFont="1" applyFill="1" applyAlignment="1" applyProtection="1">
      <alignment horizontal="center"/>
    </xf>
    <xf numFmtId="37" fontId="0" fillId="0" borderId="14" xfId="0" applyNumberFormat="1" applyFont="1" applyFill="1" applyBorder="1" applyProtection="1"/>
    <xf numFmtId="5" fontId="10" fillId="0" borderId="4" xfId="0" applyNumberFormat="1" applyFont="1" applyFill="1" applyBorder="1" applyProtection="1"/>
    <xf numFmtId="5" fontId="10" fillId="0" borderId="33" xfId="0" applyNumberFormat="1" applyFont="1" applyFill="1" applyBorder="1" applyProtection="1"/>
    <xf numFmtId="5" fontId="10" fillId="0" borderId="14" xfId="0" applyNumberFormat="1" applyFont="1" applyFill="1" applyBorder="1" applyProtection="1"/>
    <xf numFmtId="37" fontId="0" fillId="0" borderId="33" xfId="0" applyNumberFormat="1" applyFont="1" applyFill="1" applyBorder="1" applyProtection="1"/>
    <xf numFmtId="0" fontId="0" fillId="0" borderId="0" xfId="0" applyFont="1" applyFill="1"/>
    <xf numFmtId="5" fontId="10" fillId="0" borderId="7" xfId="0" applyNumberFormat="1" applyFont="1" applyFill="1" applyBorder="1" applyProtection="1"/>
    <xf numFmtId="10" fontId="0" fillId="0" borderId="0" xfId="10" applyNumberFormat="1" applyFont="1" applyFill="1" applyBorder="1"/>
    <xf numFmtId="0" fontId="26" fillId="0" borderId="0" xfId="8" applyFont="1" applyFill="1"/>
    <xf numFmtId="5" fontId="26" fillId="0" borderId="0" xfId="8" applyNumberFormat="1" applyFont="1" applyFill="1" applyProtection="1"/>
    <xf numFmtId="3" fontId="15" fillId="0" borderId="0" xfId="0" applyNumberFormat="1" applyFont="1" applyFill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179" fontId="13" fillId="0" borderId="0" xfId="0" applyNumberFormat="1" applyFont="1" applyFill="1" applyProtection="1">
      <protection locked="0"/>
    </xf>
    <xf numFmtId="7" fontId="15" fillId="0" borderId="0" xfId="0" applyNumberFormat="1" applyFont="1" applyFill="1" applyProtection="1">
      <protection locked="0"/>
    </xf>
    <xf numFmtId="169" fontId="13" fillId="0" borderId="0" xfId="0" applyNumberFormat="1" applyFont="1" applyFill="1" applyProtection="1"/>
    <xf numFmtId="167" fontId="15" fillId="0" borderId="0" xfId="1" applyNumberFormat="1" applyFont="1" applyFill="1"/>
    <xf numFmtId="165" fontId="16" fillId="0" borderId="0" xfId="10" applyNumberFormat="1" applyFont="1" applyFill="1" applyBorder="1"/>
    <xf numFmtId="10" fontId="15" fillId="0" borderId="0" xfId="10" applyNumberFormat="1" applyFont="1" applyFill="1" applyBorder="1"/>
    <xf numFmtId="192" fontId="16" fillId="0" borderId="0" xfId="10" applyNumberFormat="1" applyFont="1" applyFill="1" applyBorder="1"/>
    <xf numFmtId="169" fontId="15" fillId="0" borderId="0" xfId="10" applyNumberFormat="1" applyFont="1" applyFill="1" applyBorder="1"/>
    <xf numFmtId="169" fontId="0" fillId="0" borderId="0" xfId="10" applyNumberFormat="1" applyFont="1" applyFill="1" applyBorder="1"/>
    <xf numFmtId="0" fontId="26" fillId="0" borderId="11" xfId="8" applyFont="1" applyFill="1" applyBorder="1" applyAlignment="1">
      <alignment horizontal="centerContinuous"/>
    </xf>
    <xf numFmtId="175" fontId="13" fillId="0" borderId="0" xfId="0" applyNumberFormat="1" applyFont="1" applyFill="1" applyProtection="1"/>
    <xf numFmtId="5" fontId="15" fillId="0" borderId="0" xfId="0" applyNumberFormat="1" applyFont="1" applyFill="1" applyProtection="1"/>
    <xf numFmtId="10" fontId="15" fillId="0" borderId="0" xfId="0" applyNumberFormat="1" applyFont="1" applyFill="1" applyBorder="1"/>
    <xf numFmtId="5" fontId="12" fillId="0" borderId="0" xfId="0" applyNumberFormat="1" applyFont="1" applyFill="1" applyProtection="1">
      <protection locked="0"/>
    </xf>
    <xf numFmtId="167" fontId="0" fillId="0" borderId="22" xfId="0" applyNumberFormat="1" applyFont="1" applyFill="1" applyBorder="1" applyProtection="1"/>
    <xf numFmtId="43" fontId="30" fillId="0" borderId="0" xfId="0" applyNumberFormat="1" applyFont="1" applyFill="1" applyProtection="1">
      <protection locked="0"/>
    </xf>
    <xf numFmtId="179" fontId="30" fillId="0" borderId="0" xfId="1" applyNumberFormat="1" applyFont="1" applyFill="1" applyProtection="1"/>
    <xf numFmtId="179" fontId="10" fillId="0" borderId="22" xfId="0" applyNumberFormat="1" applyFont="1" applyFill="1" applyBorder="1" applyProtection="1"/>
    <xf numFmtId="0" fontId="0" fillId="0" borderId="0" xfId="0" applyFill="1" applyBorder="1" applyProtection="1"/>
    <xf numFmtId="0" fontId="15" fillId="0" borderId="0" xfId="23" applyFont="1" applyFill="1"/>
    <xf numFmtId="0" fontId="15" fillId="0" borderId="0" xfId="23" applyFont="1" applyFill="1" applyProtection="1"/>
    <xf numFmtId="37" fontId="15" fillId="0" borderId="0" xfId="23" applyNumberFormat="1" applyFont="1" applyFill="1" applyBorder="1" applyProtection="1"/>
    <xf numFmtId="37" fontId="15" fillId="0" borderId="0" xfId="23" applyNumberFormat="1" applyFont="1" applyFill="1" applyProtection="1"/>
    <xf numFmtId="5" fontId="15" fillId="0" borderId="0" xfId="23" applyNumberFormat="1" applyFont="1" applyFill="1" applyBorder="1" applyProtection="1"/>
    <xf numFmtId="5" fontId="15" fillId="0" borderId="0" xfId="23" applyNumberFormat="1" applyFont="1" applyFill="1" applyProtection="1"/>
    <xf numFmtId="0" fontId="26" fillId="0" borderId="0" xfId="8" applyFont="1" applyFill="1" applyAlignment="1">
      <alignment horizontal="centerContinuous"/>
    </xf>
    <xf numFmtId="0" fontId="15" fillId="0" borderId="0" xfId="9" applyFont="1" applyFill="1"/>
    <xf numFmtId="5" fontId="15" fillId="0" borderId="0" xfId="20" applyNumberFormat="1" applyBorder="1" applyAlignment="1">
      <alignment horizontal="center"/>
    </xf>
    <xf numFmtId="5" fontId="15" fillId="0" borderId="4" xfId="20" quotePrefix="1" applyNumberFormat="1" applyBorder="1" applyAlignment="1">
      <alignment horizontal="center"/>
    </xf>
    <xf numFmtId="0" fontId="15" fillId="0" borderId="0" xfId="9" quotePrefix="1" applyFont="1" applyFill="1" applyAlignment="1">
      <alignment horizontal="center"/>
    </xf>
    <xf numFmtId="169" fontId="47" fillId="0" borderId="0" xfId="10" applyNumberFormat="1" applyFont="1" applyFill="1"/>
    <xf numFmtId="0" fontId="26" fillId="0" borderId="4" xfId="8" applyFont="1" applyFill="1" applyBorder="1" applyAlignment="1">
      <alignment horizontal="center"/>
    </xf>
    <xf numFmtId="0" fontId="47" fillId="0" borderId="4" xfId="8" applyFont="1" applyFill="1" applyBorder="1" applyAlignment="1">
      <alignment horizontal="center"/>
    </xf>
    <xf numFmtId="0" fontId="26" fillId="0" borderId="0" xfId="8" applyFont="1" applyFill="1" applyBorder="1" applyAlignment="1">
      <alignment horizontal="center"/>
    </xf>
    <xf numFmtId="0" fontId="26" fillId="0" borderId="0" xfId="8" applyFont="1" applyFill="1" applyBorder="1" applyAlignment="1">
      <alignment horizontal="centerContinuous"/>
    </xf>
    <xf numFmtId="0" fontId="48" fillId="0" borderId="0" xfId="9" applyFont="1" applyFill="1"/>
    <xf numFmtId="0" fontId="58" fillId="0" borderId="0" xfId="9" applyFont="1" applyFill="1"/>
    <xf numFmtId="184" fontId="0" fillId="0" borderId="0" xfId="0" applyNumberFormat="1" applyFont="1" applyFill="1" applyProtection="1"/>
    <xf numFmtId="43" fontId="15" fillId="0" borderId="0" xfId="0" applyNumberFormat="1" applyFont="1" applyFill="1" applyProtection="1"/>
    <xf numFmtId="7" fontId="45" fillId="0" borderId="23" xfId="1" applyNumberFormat="1" applyFont="1" applyFill="1" applyBorder="1" applyProtection="1"/>
    <xf numFmtId="0" fontId="15" fillId="0" borderId="0" xfId="23" applyFill="1"/>
    <xf numFmtId="0" fontId="15" fillId="0" borderId="0" xfId="23" applyFill="1" applyBorder="1"/>
    <xf numFmtId="37" fontId="15" fillId="0" borderId="0" xfId="23" applyNumberFormat="1" applyFill="1"/>
    <xf numFmtId="5" fontId="10" fillId="0" borderId="0" xfId="23" applyNumberFormat="1" applyFont="1" applyFill="1" applyProtection="1"/>
    <xf numFmtId="5" fontId="15" fillId="0" borderId="0" xfId="23" applyNumberFormat="1" applyFill="1"/>
    <xf numFmtId="43" fontId="15" fillId="0" borderId="0" xfId="23" applyNumberFormat="1" applyFill="1"/>
    <xf numFmtId="0" fontId="10" fillId="0" borderId="0" xfId="23" applyFont="1" applyFill="1" applyProtection="1"/>
    <xf numFmtId="37" fontId="10" fillId="0" borderId="0" xfId="23" applyNumberFormat="1" applyFont="1" applyFill="1" applyProtection="1"/>
    <xf numFmtId="179" fontId="13" fillId="0" borderId="0" xfId="23" applyNumberFormat="1" applyFont="1" applyFill="1" applyProtection="1">
      <protection locked="0"/>
    </xf>
    <xf numFmtId="192" fontId="15" fillId="0" borderId="0" xfId="10" applyNumberFormat="1" applyFont="1" applyFill="1" applyBorder="1"/>
    <xf numFmtId="5" fontId="15" fillId="0" borderId="0" xfId="23" applyNumberFormat="1" applyFill="1" applyBorder="1"/>
    <xf numFmtId="179" fontId="10" fillId="0" borderId="0" xfId="23" applyNumberFormat="1" applyFont="1" applyFill="1" applyProtection="1"/>
    <xf numFmtId="0" fontId="17" fillId="0" borderId="0" xfId="7" applyFont="1" applyFill="1" applyAlignment="1"/>
    <xf numFmtId="0" fontId="17" fillId="0" borderId="0" xfId="7" applyFont="1" applyFill="1" applyAlignment="1">
      <alignment horizontal="centerContinuous"/>
    </xf>
    <xf numFmtId="0" fontId="17" fillId="0" borderId="0" xfId="7" quotePrefix="1" applyFont="1" applyFill="1" applyAlignment="1">
      <alignment horizontal="centerContinuous"/>
    </xf>
    <xf numFmtId="0" fontId="26" fillId="0" borderId="0" xfId="7" applyFont="1" applyFill="1" applyAlignment="1">
      <alignment horizontal="centerContinuous"/>
    </xf>
    <xf numFmtId="0" fontId="26" fillId="0" borderId="12" xfId="7" applyFont="1" applyFill="1" applyBorder="1" applyAlignment="1">
      <alignment horizontal="centerContinuous"/>
    </xf>
    <xf numFmtId="0" fontId="27" fillId="0" borderId="0" xfId="7" applyFont="1" applyFill="1" applyBorder="1" applyAlignment="1">
      <alignment horizontal="center"/>
    </xf>
    <xf numFmtId="0" fontId="26" fillId="0" borderId="12" xfId="7" applyFont="1" applyFill="1" applyBorder="1"/>
    <xf numFmtId="0" fontId="27" fillId="0" borderId="0" xfId="7" applyFont="1" applyFill="1" applyBorder="1" applyAlignment="1">
      <alignment horizontal="centerContinuous"/>
    </xf>
    <xf numFmtId="0" fontId="26" fillId="0" borderId="0" xfId="7" applyFont="1" applyFill="1" applyBorder="1" applyAlignment="1">
      <alignment horizontal="center"/>
    </xf>
    <xf numFmtId="0" fontId="27" fillId="0" borderId="0" xfId="7" applyFont="1" applyFill="1" applyAlignment="1">
      <alignment horizontal="centerContinuous"/>
    </xf>
    <xf numFmtId="0" fontId="27" fillId="0" borderId="0" xfId="7" applyFont="1" applyFill="1" applyAlignment="1">
      <alignment horizontal="center"/>
    </xf>
    <xf numFmtId="0" fontId="26" fillId="0" borderId="0" xfId="7" applyFont="1" applyFill="1" applyBorder="1" applyAlignment="1">
      <alignment horizontal="centerContinuous"/>
    </xf>
    <xf numFmtId="0" fontId="27" fillId="0" borderId="12" xfId="7" applyFont="1" applyFill="1" applyBorder="1" applyAlignment="1">
      <alignment horizontal="center"/>
    </xf>
    <xf numFmtId="0" fontId="26" fillId="0" borderId="0" xfId="7" applyFont="1" applyFill="1" applyBorder="1"/>
    <xf numFmtId="0" fontId="27" fillId="0" borderId="11" xfId="7" applyFont="1" applyFill="1" applyBorder="1" applyAlignment="1">
      <alignment horizontal="center"/>
    </xf>
    <xf numFmtId="0" fontId="27" fillId="0" borderId="11" xfId="7" quotePrefix="1" applyFont="1" applyFill="1" applyBorder="1" applyAlignment="1">
      <alignment horizontal="center"/>
    </xf>
    <xf numFmtId="0" fontId="27" fillId="0" borderId="11" xfId="7" quotePrefix="1" applyFont="1" applyFill="1" applyBorder="1" applyAlignment="1">
      <alignment horizontal="centerContinuous"/>
    </xf>
    <xf numFmtId="0" fontId="27" fillId="0" borderId="4" xfId="7" applyFont="1" applyFill="1" applyBorder="1" applyAlignment="1">
      <alignment horizontal="center"/>
    </xf>
    <xf numFmtId="198" fontId="26" fillId="0" borderId="0" xfId="7" applyNumberFormat="1" applyFont="1" applyFill="1" applyAlignment="1">
      <alignment horizontal="center"/>
    </xf>
    <xf numFmtId="198" fontId="26" fillId="0" borderId="0" xfId="7" applyNumberFormat="1" applyFont="1" applyFill="1" applyAlignment="1">
      <alignment horizontal="centerContinuous"/>
    </xf>
    <xf numFmtId="0" fontId="26" fillId="0" borderId="0" xfId="7" quotePrefix="1" applyFont="1" applyFill="1" applyAlignment="1">
      <alignment horizontal="centerContinuous"/>
    </xf>
    <xf numFmtId="0" fontId="62" fillId="0" borderId="0" xfId="7" applyFont="1" applyFill="1"/>
    <xf numFmtId="0" fontId="26" fillId="0" borderId="0" xfId="7" applyFont="1" applyFill="1" applyAlignment="1">
      <alignment horizontal="left"/>
    </xf>
    <xf numFmtId="0" fontId="26" fillId="0" borderId="0" xfId="7" quotePrefix="1" applyFont="1" applyFill="1" applyAlignment="1">
      <alignment horizontal="center"/>
    </xf>
    <xf numFmtId="37" fontId="26" fillId="0" borderId="0" xfId="7" applyNumberFormat="1" applyFont="1" applyFill="1" applyAlignment="1" applyProtection="1">
      <alignment horizontal="right"/>
    </xf>
    <xf numFmtId="37" fontId="26" fillId="0" borderId="0" xfId="7" applyNumberFormat="1" applyFont="1" applyFill="1" applyProtection="1"/>
    <xf numFmtId="5" fontId="26" fillId="0" borderId="0" xfId="7" applyNumberFormat="1" applyFont="1" applyFill="1" applyProtection="1"/>
    <xf numFmtId="5" fontId="26" fillId="0" borderId="12" xfId="7" applyNumberFormat="1" applyFont="1" applyFill="1" applyBorder="1" applyProtection="1"/>
    <xf numFmtId="199" fontId="26" fillId="0" borderId="0" xfId="1" applyNumberFormat="1" applyFont="1" applyFill="1"/>
    <xf numFmtId="5" fontId="26" fillId="0" borderId="0" xfId="7" applyNumberFormat="1" applyFont="1" applyFill="1" applyBorder="1" applyProtection="1"/>
    <xf numFmtId="199" fontId="26" fillId="0" borderId="0" xfId="7" applyNumberFormat="1" applyFont="1" applyFill="1"/>
    <xf numFmtId="37" fontId="26" fillId="0" borderId="10" xfId="7" applyNumberFormat="1" applyFont="1" applyFill="1" applyBorder="1" applyProtection="1"/>
    <xf numFmtId="5" fontId="26" fillId="0" borderId="10" xfId="7" applyNumberFormat="1" applyFont="1" applyFill="1" applyBorder="1" applyProtection="1"/>
    <xf numFmtId="199" fontId="26" fillId="0" borderId="10" xfId="1" applyNumberFormat="1" applyFont="1" applyFill="1" applyBorder="1"/>
    <xf numFmtId="37" fontId="26" fillId="0" borderId="4" xfId="7" applyNumberFormat="1" applyFont="1" applyFill="1" applyBorder="1" applyAlignment="1" applyProtection="1">
      <alignment horizontal="right"/>
    </xf>
    <xf numFmtId="37" fontId="26" fillId="0" borderId="4" xfId="7" applyNumberFormat="1" applyFont="1" applyFill="1" applyBorder="1" applyProtection="1"/>
    <xf numFmtId="5" fontId="26" fillId="0" borderId="4" xfId="7" applyNumberFormat="1" applyFont="1" applyFill="1" applyBorder="1" applyProtection="1"/>
    <xf numFmtId="5" fontId="26" fillId="0" borderId="5" xfId="7" applyNumberFormat="1" applyFont="1" applyFill="1" applyBorder="1" applyProtection="1"/>
    <xf numFmtId="199" fontId="26" fillId="0" borderId="4" xfId="1" applyNumberFormat="1" applyFont="1" applyFill="1" applyBorder="1"/>
    <xf numFmtId="199" fontId="26" fillId="0" borderId="4" xfId="7" applyNumberFormat="1" applyFont="1" applyFill="1" applyBorder="1"/>
    <xf numFmtId="5" fontId="26" fillId="0" borderId="0" xfId="7" applyNumberFormat="1" applyFont="1" applyFill="1" applyAlignment="1" applyProtection="1">
      <alignment horizontal="right"/>
    </xf>
    <xf numFmtId="5" fontId="26" fillId="0" borderId="12" xfId="7" applyNumberFormat="1" applyFont="1" applyFill="1" applyBorder="1" applyAlignment="1" applyProtection="1">
      <alignment horizontal="right"/>
    </xf>
    <xf numFmtId="199" fontId="26" fillId="0" borderId="0" xfId="7" applyNumberFormat="1" applyFont="1" applyFill="1" applyBorder="1"/>
    <xf numFmtId="37" fontId="26" fillId="0" borderId="20" xfId="7" applyNumberFormat="1" applyFont="1" applyFill="1" applyBorder="1" applyProtection="1"/>
    <xf numFmtId="5" fontId="26" fillId="0" borderId="20" xfId="7" applyNumberFormat="1" applyFont="1" applyFill="1" applyBorder="1" applyProtection="1"/>
    <xf numFmtId="199" fontId="26" fillId="0" borderId="8" xfId="1" applyNumberFormat="1" applyFont="1" applyFill="1" applyBorder="1"/>
    <xf numFmtId="5" fontId="26" fillId="0" borderId="8" xfId="7" applyNumberFormat="1" applyFont="1" applyFill="1" applyBorder="1" applyProtection="1"/>
    <xf numFmtId="0" fontId="29" fillId="0" borderId="0" xfId="7" quotePrefix="1" applyFont="1" applyFill="1"/>
    <xf numFmtId="0" fontId="28" fillId="0" borderId="0" xfId="7" quotePrefix="1" applyFont="1" applyFill="1"/>
    <xf numFmtId="37" fontId="26" fillId="0" borderId="0" xfId="7" applyNumberFormat="1" applyFont="1" applyFill="1"/>
    <xf numFmtId="0" fontId="15" fillId="2" borderId="0" xfId="23" applyFont="1" applyFill="1"/>
    <xf numFmtId="0" fontId="15" fillId="2" borderId="0" xfId="23" applyFill="1"/>
    <xf numFmtId="37" fontId="10" fillId="2" borderId="0" xfId="23" applyNumberFormat="1" applyFont="1" applyFill="1" applyProtection="1"/>
    <xf numFmtId="5" fontId="10" fillId="2" borderId="0" xfId="23" applyNumberFormat="1" applyFont="1" applyFill="1" applyProtection="1"/>
    <xf numFmtId="179" fontId="13" fillId="2" borderId="0" xfId="23" applyNumberFormat="1" applyFont="1" applyFill="1" applyProtection="1">
      <protection locked="0"/>
    </xf>
    <xf numFmtId="0" fontId="10" fillId="2" borderId="0" xfId="23" applyFont="1" applyFill="1" applyProtection="1"/>
    <xf numFmtId="5" fontId="15" fillId="0" borderId="4" xfId="23" applyNumberFormat="1" applyFont="1" applyFill="1" applyBorder="1" applyProtection="1"/>
    <xf numFmtId="167" fontId="0" fillId="0" borderId="0" xfId="0" applyNumberFormat="1" applyFont="1" applyFill="1" applyBorder="1" applyProtection="1"/>
    <xf numFmtId="167" fontId="16" fillId="0" borderId="0" xfId="1" applyNumberFormat="1" applyFont="1" applyFill="1" applyBorder="1" applyProtection="1"/>
    <xf numFmtId="10" fontId="41" fillId="0" borderId="0" xfId="6" applyNumberFormat="1" applyFont="1" applyFill="1" applyBorder="1"/>
    <xf numFmtId="169" fontId="0" fillId="0" borderId="0" xfId="0" applyNumberFormat="1" applyFill="1" applyBorder="1"/>
    <xf numFmtId="37" fontId="10" fillId="0" borderId="14" xfId="0" applyNumberFormat="1" applyFont="1" applyFill="1" applyBorder="1" applyProtection="1"/>
    <xf numFmtId="0" fontId="26" fillId="0" borderId="0" xfId="8" applyFont="1" applyFill="1" applyAlignment="1">
      <alignment horizontal="right"/>
    </xf>
    <xf numFmtId="5" fontId="26" fillId="0" borderId="0" xfId="8" applyNumberFormat="1" applyFont="1" applyFill="1"/>
    <xf numFmtId="0" fontId="15" fillId="0" borderId="0" xfId="9" applyFont="1" applyFill="1" applyBorder="1" applyAlignment="1"/>
    <xf numFmtId="5" fontId="15" fillId="0" borderId="0" xfId="0" applyNumberFormat="1" applyFont="1" applyFill="1" applyBorder="1" applyProtection="1"/>
    <xf numFmtId="0" fontId="10" fillId="0" borderId="0" xfId="0" quotePrefix="1" applyFont="1" applyFill="1" applyProtection="1"/>
    <xf numFmtId="0" fontId="26" fillId="0" borderId="4" xfId="8" applyFont="1" applyFill="1" applyBorder="1" applyAlignment="1" applyProtection="1">
      <alignment horizontal="center"/>
    </xf>
    <xf numFmtId="0" fontId="26" fillId="0" borderId="26" xfId="8" applyFont="1" applyFill="1" applyBorder="1"/>
    <xf numFmtId="5" fontId="15" fillId="0" borderId="0" xfId="9" applyNumberFormat="1" applyFont="1" applyFill="1" applyBorder="1"/>
    <xf numFmtId="169" fontId="10" fillId="0" borderId="0" xfId="10" applyNumberFormat="1" applyFont="1" applyFill="1" applyBorder="1" applyProtection="1">
      <protection locked="0"/>
    </xf>
    <xf numFmtId="169" fontId="10" fillId="0" borderId="0" xfId="10" applyNumberFormat="1" applyFont="1" applyFill="1" applyProtection="1"/>
    <xf numFmtId="0" fontId="15" fillId="0" borderId="0" xfId="0" quotePrefix="1" applyFont="1" applyFill="1"/>
    <xf numFmtId="10" fontId="47" fillId="0" borderId="0" xfId="10" applyNumberFormat="1" applyFont="1" applyFill="1" applyAlignment="1">
      <alignment horizontal="right"/>
    </xf>
    <xf numFmtId="0" fontId="26" fillId="0" borderId="11" xfId="8" applyFont="1" applyFill="1" applyBorder="1" applyAlignment="1">
      <alignment horizontal="center"/>
    </xf>
    <xf numFmtId="5" fontId="26" fillId="0" borderId="0" xfId="7" applyNumberFormat="1" applyFont="1" applyFill="1"/>
    <xf numFmtId="182" fontId="26" fillId="0" borderId="10" xfId="7" applyNumberFormat="1" applyFont="1" applyFill="1" applyBorder="1" applyProtection="1"/>
    <xf numFmtId="0" fontId="63" fillId="0" borderId="0" xfId="0" applyFont="1" applyFill="1" applyProtection="1"/>
    <xf numFmtId="0" fontId="0" fillId="0" borderId="4" xfId="0" applyFill="1" applyBorder="1" applyProtection="1"/>
    <xf numFmtId="164" fontId="10" fillId="0" borderId="4" xfId="2" applyNumberFormat="1" applyFont="1" applyFill="1" applyBorder="1" applyProtection="1"/>
    <xf numFmtId="164" fontId="10" fillId="0" borderId="0" xfId="2" applyNumberFormat="1" applyFont="1" applyFill="1" applyBorder="1" applyProtection="1"/>
    <xf numFmtId="0" fontId="63" fillId="0" borderId="0" xfId="0" applyFont="1" applyFill="1" applyAlignment="1" applyProtection="1">
      <alignment horizontal="right"/>
    </xf>
    <xf numFmtId="0" fontId="10" fillId="0" borderId="0" xfId="0" applyFont="1" applyFill="1" applyAlignment="1" applyProtection="1">
      <alignment horizontal="right"/>
    </xf>
    <xf numFmtId="0" fontId="11" fillId="0" borderId="0" xfId="0" applyFont="1" applyFill="1" applyAlignment="1" applyProtection="1">
      <alignment horizontal="right"/>
    </xf>
    <xf numFmtId="167" fontId="10" fillId="0" borderId="0" xfId="1" applyNumberFormat="1" applyFont="1" applyFill="1" applyAlignment="1" applyProtection="1">
      <alignment horizontal="right"/>
    </xf>
    <xf numFmtId="167" fontId="17" fillId="0" borderId="0" xfId="0" applyNumberFormat="1" applyFont="1" applyFill="1"/>
    <xf numFmtId="0" fontId="0" fillId="0" borderId="31" xfId="0" applyFill="1" applyBorder="1"/>
    <xf numFmtId="0" fontId="15" fillId="0" borderId="31" xfId="0" applyFont="1" applyFill="1" applyBorder="1" applyAlignment="1">
      <alignment horizontal="center"/>
    </xf>
    <xf numFmtId="0" fontId="10" fillId="0" borderId="0" xfId="0" quotePrefix="1" applyFont="1" applyFill="1" applyAlignment="1" applyProtection="1">
      <alignment horizontal="right"/>
    </xf>
    <xf numFmtId="167" fontId="11" fillId="0" borderId="0" xfId="1" applyNumberFormat="1" applyFont="1" applyFill="1" applyAlignment="1" applyProtection="1">
      <alignment horizontal="right"/>
    </xf>
    <xf numFmtId="3" fontId="63" fillId="0" borderId="0" xfId="0" applyNumberFormat="1" applyFont="1" applyFill="1"/>
    <xf numFmtId="0" fontId="64" fillId="0" borderId="0" xfId="0" applyFont="1" applyFill="1" applyAlignment="1" applyProtection="1">
      <alignment horizontal="right"/>
    </xf>
    <xf numFmtId="0" fontId="35" fillId="0" borderId="0" xfId="9" quotePrefix="1" applyFont="1" applyFill="1" applyBorder="1" applyAlignment="1">
      <alignment horizontal="center"/>
    </xf>
    <xf numFmtId="0" fontId="34" fillId="0" borderId="0" xfId="9" quotePrefix="1" applyFont="1" applyFill="1" applyAlignment="1">
      <alignment horizontal="center"/>
    </xf>
    <xf numFmtId="10" fontId="16" fillId="0" borderId="0" xfId="9" applyNumberFormat="1" applyFont="1" applyFill="1"/>
    <xf numFmtId="0" fontId="37" fillId="0" borderId="0" xfId="0" applyFont="1" applyFill="1" applyAlignment="1"/>
    <xf numFmtId="0" fontId="38" fillId="0" borderId="0" xfId="0" quotePrefix="1" applyNumberFormat="1" applyFont="1" applyFill="1" applyAlignment="1"/>
    <xf numFmtId="0" fontId="27" fillId="0" borderId="0" xfId="0" quotePrefix="1" applyFont="1" applyFill="1" applyAlignment="1" applyProtection="1"/>
    <xf numFmtId="171" fontId="15" fillId="0" borderId="0" xfId="0" applyNumberFormat="1" applyFont="1" applyFill="1" applyBorder="1"/>
    <xf numFmtId="0" fontId="34" fillId="0" borderId="0" xfId="9" quotePrefix="1" applyFont="1" applyFill="1" applyBorder="1" applyAlignment="1">
      <alignment horizontal="center"/>
    </xf>
    <xf numFmtId="8" fontId="13" fillId="0" borderId="0" xfId="2" applyNumberFormat="1" applyFont="1" applyFill="1"/>
    <xf numFmtId="9" fontId="0" fillId="0" borderId="0" xfId="0" applyNumberFormat="1" applyFill="1" applyBorder="1"/>
    <xf numFmtId="0" fontId="17" fillId="0" borderId="0" xfId="0" applyFont="1" applyFill="1" applyBorder="1" applyAlignment="1">
      <alignment horizontal="center"/>
    </xf>
    <xf numFmtId="9" fontId="0" fillId="0" borderId="0" xfId="10" applyFont="1" applyFill="1" applyBorder="1"/>
    <xf numFmtId="0" fontId="14" fillId="0" borderId="0" xfId="0" applyFont="1" applyFill="1" applyBorder="1" applyAlignment="1">
      <alignment horizontal="center"/>
    </xf>
    <xf numFmtId="175" fontId="0" fillId="0" borderId="0" xfId="0" applyNumberFormat="1" applyFill="1" applyBorder="1"/>
    <xf numFmtId="178" fontId="0" fillId="0" borderId="0" xfId="0" applyNumberFormat="1" applyFill="1" applyBorder="1"/>
    <xf numFmtId="0" fontId="0" fillId="2" borderId="0" xfId="0" applyFill="1" applyProtection="1"/>
    <xf numFmtId="0" fontId="10" fillId="2" borderId="0" xfId="0" applyFont="1" applyFill="1" applyProtection="1"/>
    <xf numFmtId="37" fontId="0" fillId="2" borderId="0" xfId="0" applyNumberFormat="1" applyFont="1" applyFill="1" applyProtection="1"/>
    <xf numFmtId="175" fontId="30" fillId="2" borderId="0" xfId="0" applyNumberFormat="1" applyFont="1" applyFill="1" applyProtection="1"/>
    <xf numFmtId="5" fontId="0" fillId="2" borderId="0" xfId="0" applyNumberFormat="1" applyFont="1" applyFill="1" applyProtection="1"/>
    <xf numFmtId="175" fontId="26" fillId="0" borderId="0" xfId="8" applyNumberFormat="1" applyFont="1" applyFill="1"/>
    <xf numFmtId="200" fontId="49" fillId="0" borderId="0" xfId="8" applyNumberFormat="1" applyFont="1" applyFill="1"/>
    <xf numFmtId="0" fontId="26" fillId="0" borderId="4" xfId="8" applyFont="1" applyFill="1" applyBorder="1" applyAlignment="1">
      <alignment horizontal="centerContinuous"/>
    </xf>
    <xf numFmtId="0" fontId="0" fillId="0" borderId="4" xfId="0" applyFont="1" applyFill="1" applyBorder="1" applyProtection="1"/>
    <xf numFmtId="0" fontId="47" fillId="0" borderId="34" xfId="8" applyFont="1" applyFill="1" applyBorder="1"/>
    <xf numFmtId="5" fontId="50" fillId="0" borderId="27" xfId="8" applyNumberFormat="1" applyFont="1" applyFill="1" applyBorder="1"/>
    <xf numFmtId="5" fontId="50" fillId="0" borderId="35" xfId="8" applyNumberFormat="1" applyFont="1" applyFill="1" applyBorder="1"/>
    <xf numFmtId="5" fontId="16" fillId="0" borderId="4" xfId="9" applyNumberFormat="1" applyFill="1" applyBorder="1"/>
    <xf numFmtId="5" fontId="10" fillId="0" borderId="0" xfId="10" applyNumberFormat="1" applyFont="1" applyFill="1" applyBorder="1" applyProtection="1">
      <protection locked="0"/>
    </xf>
    <xf numFmtId="0" fontId="47" fillId="0" borderId="4" xfId="8" applyFont="1" applyFill="1" applyBorder="1" applyAlignment="1">
      <alignment horizontal="center"/>
    </xf>
    <xf numFmtId="9" fontId="10" fillId="0" borderId="0" xfId="10" applyFont="1" applyFill="1" applyProtection="1"/>
    <xf numFmtId="0" fontId="50" fillId="0" borderId="28" xfId="8" applyFont="1" applyFill="1" applyBorder="1"/>
    <xf numFmtId="10" fontId="50" fillId="0" borderId="27" xfId="8" applyNumberFormat="1" applyFont="1" applyFill="1" applyBorder="1"/>
    <xf numFmtId="10" fontId="50" fillId="0" borderId="29" xfId="8" applyNumberFormat="1" applyFont="1" applyFill="1" applyBorder="1"/>
    <xf numFmtId="0" fontId="69" fillId="0" borderId="0" xfId="8" applyFont="1" applyFill="1" applyAlignment="1" applyProtection="1">
      <alignment horizontal="center"/>
    </xf>
    <xf numFmtId="0" fontId="70" fillId="0" borderId="0" xfId="8" applyFont="1" applyFill="1" applyAlignment="1" applyProtection="1">
      <alignment horizontal="center"/>
    </xf>
    <xf numFmtId="37" fontId="15" fillId="0" borderId="0" xfId="0" applyNumberFormat="1" applyFont="1" applyFill="1" applyBorder="1" applyProtection="1"/>
    <xf numFmtId="201" fontId="0" fillId="0" borderId="0" xfId="0" applyNumberFormat="1" applyFill="1" applyBorder="1"/>
    <xf numFmtId="0" fontId="26" fillId="0" borderId="0" xfId="8" applyFont="1" applyFill="1" applyAlignment="1"/>
    <xf numFmtId="5" fontId="10" fillId="0" borderId="14" xfId="10" applyNumberFormat="1" applyFont="1" applyFill="1" applyBorder="1" applyProtection="1">
      <protection locked="0"/>
    </xf>
    <xf numFmtId="0" fontId="47" fillId="0" borderId="4" xfId="8" applyFont="1" applyFill="1" applyBorder="1" applyAlignment="1">
      <alignment horizontal="center"/>
    </xf>
    <xf numFmtId="10" fontId="47" fillId="0" borderId="0" xfId="8" applyNumberFormat="1" applyFont="1" applyFill="1"/>
    <xf numFmtId="0" fontId="15" fillId="0" borderId="0" xfId="8" applyFont="1" applyFill="1" applyBorder="1" applyAlignment="1" applyProtection="1">
      <alignment horizontal="centerContinuous"/>
    </xf>
    <xf numFmtId="7" fontId="15" fillId="0" borderId="0" xfId="8" applyNumberFormat="1" applyFont="1" applyFill="1" applyProtection="1"/>
    <xf numFmtId="0" fontId="26" fillId="0" borderId="0" xfId="8" applyFont="1" applyFill="1" applyAlignment="1" applyProtection="1">
      <alignment horizontal="centerContinuous"/>
    </xf>
    <xf numFmtId="0" fontId="26" fillId="0" borderId="0" xfId="8" applyFont="1" applyFill="1" applyAlignment="1" applyProtection="1"/>
    <xf numFmtId="39" fontId="12" fillId="0" borderId="0" xfId="0" applyNumberFormat="1" applyFont="1" applyFill="1" applyProtection="1"/>
    <xf numFmtId="177" fontId="10" fillId="0" borderId="0" xfId="0" applyNumberFormat="1" applyFont="1" applyFill="1" applyProtection="1"/>
    <xf numFmtId="0" fontId="15" fillId="0" borderId="0" xfId="0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9" fontId="16" fillId="0" borderId="0" xfId="10" applyNumberFormat="1" applyFont="1" applyFill="1" applyBorder="1"/>
    <xf numFmtId="43" fontId="15" fillId="0" borderId="0" xfId="23" applyNumberFormat="1" applyFill="1" applyBorder="1"/>
    <xf numFmtId="3" fontId="0" fillId="0" borderId="0" xfId="0" applyNumberFormat="1" applyFill="1" applyBorder="1" applyAlignment="1">
      <alignment horizontal="center"/>
    </xf>
    <xf numFmtId="43" fontId="16" fillId="0" borderId="0" xfId="1" applyFont="1" applyFill="1" applyBorder="1"/>
    <xf numFmtId="187" fontId="0" fillId="0" borderId="0" xfId="0" applyNumberFormat="1" applyFill="1" applyBorder="1"/>
    <xf numFmtId="0" fontId="66" fillId="0" borderId="0" xfId="0" applyFont="1" applyBorder="1"/>
    <xf numFmtId="178" fontId="15" fillId="0" borderId="0" xfId="1" applyNumberFormat="1" applyFont="1" applyFill="1" applyBorder="1"/>
    <xf numFmtId="178" fontId="16" fillId="0" borderId="0" xfId="1" applyNumberFormat="1" applyFont="1" applyFill="1" applyBorder="1"/>
    <xf numFmtId="190" fontId="16" fillId="0" borderId="0" xfId="10" applyNumberFormat="1" applyFont="1" applyFill="1" applyBorder="1"/>
    <xf numFmtId="200" fontId="0" fillId="0" borderId="0" xfId="0" applyNumberFormat="1" applyFill="1" applyBorder="1"/>
    <xf numFmtId="194" fontId="15" fillId="0" borderId="0" xfId="1" applyNumberFormat="1" applyFont="1" applyFill="1" applyBorder="1"/>
    <xf numFmtId="166" fontId="15" fillId="0" borderId="0" xfId="2" applyNumberFormat="1" applyFont="1" applyFill="1" applyBorder="1"/>
    <xf numFmtId="166" fontId="16" fillId="0" borderId="0" xfId="2" applyNumberFormat="1" applyFont="1" applyFill="1" applyBorder="1"/>
    <xf numFmtId="7" fontId="13" fillId="0" borderId="0" xfId="0" applyNumberFormat="1" applyFont="1" applyFill="1" applyBorder="1" applyProtection="1"/>
    <xf numFmtId="7" fontId="30" fillId="0" borderId="0" xfId="0" applyNumberFormat="1" applyFont="1" applyFill="1" applyBorder="1" applyProtection="1"/>
    <xf numFmtId="179" fontId="13" fillId="0" borderId="0" xfId="0" applyNumberFormat="1" applyFont="1" applyFill="1" applyBorder="1" applyProtection="1"/>
    <xf numFmtId="10" fontId="10" fillId="0" borderId="0" xfId="0" applyNumberFormat="1" applyFont="1" applyFill="1" applyBorder="1" applyProtection="1"/>
    <xf numFmtId="0" fontId="16" fillId="0" borderId="0" xfId="10" applyNumberFormat="1" applyFont="1" applyFill="1" applyBorder="1"/>
    <xf numFmtId="7" fontId="15" fillId="0" borderId="0" xfId="2" applyNumberFormat="1" applyFont="1" applyFill="1" applyBorder="1"/>
    <xf numFmtId="5" fontId="16" fillId="0" borderId="11" xfId="9" applyNumberFormat="1" applyFill="1" applyBorder="1"/>
    <xf numFmtId="5" fontId="10" fillId="0" borderId="0" xfId="10" quotePrefix="1" applyNumberFormat="1" applyFont="1" applyFill="1" applyBorder="1" applyProtection="1">
      <protection locked="0"/>
    </xf>
    <xf numFmtId="167" fontId="0" fillId="0" borderId="0" xfId="1" applyNumberFormat="1" applyFont="1" applyFill="1"/>
    <xf numFmtId="0" fontId="50" fillId="0" borderId="26" xfId="8" applyFont="1" applyFill="1" applyBorder="1"/>
    <xf numFmtId="178" fontId="50" fillId="0" borderId="36" xfId="1" applyNumberFormat="1" applyFont="1" applyFill="1" applyBorder="1"/>
    <xf numFmtId="0" fontId="49" fillId="0" borderId="36" xfId="8" applyFont="1" applyFill="1" applyBorder="1"/>
    <xf numFmtId="0" fontId="50" fillId="0" borderId="36" xfId="8" applyFont="1" applyFill="1" applyBorder="1"/>
    <xf numFmtId="5" fontId="15" fillId="0" borderId="0" xfId="20" quotePrefix="1" applyNumberFormat="1" applyBorder="1" applyAlignment="1">
      <alignment horizontal="center"/>
    </xf>
    <xf numFmtId="0" fontId="27" fillId="2" borderId="6" xfId="0" applyFont="1" applyFill="1" applyBorder="1" applyAlignment="1" applyProtection="1">
      <alignment horizontal="centerContinuous"/>
    </xf>
    <xf numFmtId="0" fontId="27" fillId="2" borderId="7" xfId="0" applyFont="1" applyFill="1" applyBorder="1" applyAlignment="1" applyProtection="1">
      <alignment horizontal="centerContinuous"/>
    </xf>
    <xf numFmtId="0" fontId="27" fillId="2" borderId="19" xfId="0" applyFont="1" applyFill="1" applyBorder="1" applyAlignment="1" applyProtection="1">
      <alignment horizontal="centerContinuous"/>
    </xf>
    <xf numFmtId="7" fontId="15" fillId="0" borderId="0" xfId="2" applyNumberFormat="1" applyFont="1" applyFill="1"/>
    <xf numFmtId="5" fontId="15" fillId="0" borderId="22" xfId="0" applyNumberFormat="1" applyFont="1" applyFill="1" applyBorder="1" applyProtection="1"/>
    <xf numFmtId="179" fontId="15" fillId="0" borderId="0" xfId="0" applyNumberFormat="1" applyFont="1" applyFill="1" applyProtection="1">
      <protection locked="0"/>
    </xf>
    <xf numFmtId="179" fontId="15" fillId="2" borderId="0" xfId="23" applyNumberFormat="1" applyFont="1" applyFill="1" applyProtection="1">
      <protection locked="0"/>
    </xf>
    <xf numFmtId="184" fontId="15" fillId="0" borderId="0" xfId="0" applyNumberFormat="1" applyFont="1" applyFill="1" applyProtection="1">
      <protection locked="0"/>
    </xf>
    <xf numFmtId="169" fontId="15" fillId="0" borderId="0" xfId="0" applyNumberFormat="1" applyFont="1" applyFill="1" applyProtection="1"/>
    <xf numFmtId="177" fontId="15" fillId="0" borderId="0" xfId="0" applyNumberFormat="1" applyFont="1" applyFill="1" applyProtection="1"/>
    <xf numFmtId="39" fontId="15" fillId="0" borderId="0" xfId="0" applyNumberFormat="1" applyFont="1" applyFill="1" applyProtection="1"/>
    <xf numFmtId="39" fontId="15" fillId="0" borderId="0" xfId="0" applyNumberFormat="1" applyFont="1" applyFill="1" applyProtection="1">
      <protection locked="0"/>
    </xf>
    <xf numFmtId="179" fontId="15" fillId="0" borderId="0" xfId="23" applyNumberFormat="1" applyFont="1" applyFill="1" applyProtection="1">
      <protection locked="0"/>
    </xf>
    <xf numFmtId="167" fontId="15" fillId="0" borderId="22" xfId="1" applyNumberFormat="1" applyFont="1" applyFill="1" applyBorder="1" applyProtection="1"/>
    <xf numFmtId="167" fontId="15" fillId="0" borderId="0" xfId="1" applyNumberFormat="1" applyFont="1" applyFill="1" applyBorder="1" applyProtection="1"/>
    <xf numFmtId="169" fontId="15" fillId="0" borderId="22" xfId="0" applyNumberFormat="1" applyFont="1" applyFill="1" applyBorder="1" applyProtection="1"/>
    <xf numFmtId="169" fontId="15" fillId="0" borderId="0" xfId="0" applyNumberFormat="1" applyFont="1" applyFill="1" applyBorder="1" applyProtection="1"/>
    <xf numFmtId="186" fontId="15" fillId="0" borderId="0" xfId="0" applyNumberFormat="1" applyFont="1" applyFill="1" applyProtection="1"/>
    <xf numFmtId="43" fontId="15" fillId="0" borderId="0" xfId="1" applyFont="1" applyFill="1" applyProtection="1">
      <protection locked="0"/>
    </xf>
    <xf numFmtId="178" fontId="15" fillId="0" borderId="0" xfId="1" applyNumberFormat="1" applyFont="1" applyFill="1" applyProtection="1">
      <protection locked="0"/>
    </xf>
    <xf numFmtId="43" fontId="15" fillId="0" borderId="0" xfId="1" applyNumberFormat="1" applyFont="1" applyFill="1" applyProtection="1">
      <protection locked="0"/>
    </xf>
    <xf numFmtId="175" fontId="15" fillId="2" borderId="0" xfId="0" applyNumberFormat="1" applyFont="1" applyFill="1" applyProtection="1"/>
    <xf numFmtId="43" fontId="15" fillId="0" borderId="0" xfId="1" applyNumberFormat="1" applyFont="1" applyFill="1" applyProtection="1"/>
    <xf numFmtId="179" fontId="15" fillId="0" borderId="0" xfId="0" applyNumberFormat="1" applyFont="1" applyFill="1" applyProtection="1"/>
    <xf numFmtId="175" fontId="15" fillId="0" borderId="0" xfId="0" applyNumberFormat="1" applyFont="1" applyFill="1"/>
    <xf numFmtId="179" fontId="15" fillId="0" borderId="0" xfId="23" applyNumberFormat="1" applyFont="1" applyFill="1" applyProtection="1"/>
    <xf numFmtId="183" fontId="15" fillId="0" borderId="0" xfId="0" applyNumberFormat="1" applyFont="1" applyFill="1" applyProtection="1"/>
    <xf numFmtId="179" fontId="15" fillId="0" borderId="22" xfId="0" applyNumberFormat="1" applyFont="1" applyFill="1" applyBorder="1" applyProtection="1"/>
    <xf numFmtId="179" fontId="15" fillId="0" borderId="0" xfId="0" applyNumberFormat="1" applyFont="1" applyFill="1" applyBorder="1" applyProtection="1"/>
    <xf numFmtId="0" fontId="15" fillId="0" borderId="0" xfId="0" applyFont="1" applyFill="1" applyBorder="1" applyProtection="1"/>
    <xf numFmtId="0" fontId="15" fillId="0" borderId="22" xfId="0" applyFont="1" applyFill="1" applyBorder="1" applyProtection="1"/>
    <xf numFmtId="5" fontId="15" fillId="0" borderId="23" xfId="0" applyNumberFormat="1" applyFont="1" applyFill="1" applyBorder="1" applyProtection="1"/>
    <xf numFmtId="7" fontId="17" fillId="0" borderId="23" xfId="0" applyNumberFormat="1" applyFont="1" applyFill="1" applyBorder="1" applyProtection="1"/>
    <xf numFmtId="0" fontId="15" fillId="0" borderId="0" xfId="9" applyFont="1" applyFill="1" applyBorder="1" applyAlignment="1">
      <alignment horizontal="centerContinuous"/>
    </xf>
    <xf numFmtId="0" fontId="16" fillId="0" borderId="0" xfId="9" applyFill="1" applyAlignment="1">
      <alignment horizontal="centerContinuous"/>
    </xf>
    <xf numFmtId="0" fontId="16" fillId="0" borderId="4" xfId="9" quotePrefix="1" applyFont="1" applyFill="1" applyBorder="1" applyAlignment="1">
      <alignment horizontal="centerContinuous"/>
    </xf>
    <xf numFmtId="1" fontId="9" fillId="0" borderId="0" xfId="67" applyNumberFormat="1" applyFont="1" applyAlignment="1">
      <alignment horizontal="left"/>
    </xf>
    <xf numFmtId="0" fontId="9" fillId="0" borderId="0" xfId="67" applyFont="1"/>
    <xf numFmtId="0" fontId="71" fillId="0" borderId="0" xfId="67" applyFont="1" applyAlignment="1">
      <alignment horizontal="left"/>
    </xf>
    <xf numFmtId="43" fontId="9" fillId="0" borderId="0" xfId="68" applyFont="1" applyFill="1"/>
    <xf numFmtId="167" fontId="9" fillId="0" borderId="0" xfId="68" applyNumberFormat="1" applyFont="1" applyFill="1" applyBorder="1"/>
    <xf numFmtId="0" fontId="71" fillId="0" borderId="0" xfId="67" applyFont="1"/>
    <xf numFmtId="37" fontId="71" fillId="0" borderId="0" xfId="67" applyNumberFormat="1" applyFont="1" applyAlignment="1">
      <alignment horizontal="centerContinuous"/>
    </xf>
    <xf numFmtId="0" fontId="9" fillId="0" borderId="0" xfId="67" applyFont="1" applyAlignment="1">
      <alignment horizontal="centerContinuous"/>
    </xf>
    <xf numFmtId="43" fontId="9" fillId="0" borderId="0" xfId="68" applyFont="1" applyFill="1" applyAlignment="1">
      <alignment horizontal="centerContinuous"/>
    </xf>
    <xf numFmtId="37" fontId="9" fillId="0" borderId="0" xfId="67" applyNumberFormat="1" applyFont="1" applyAlignment="1">
      <alignment horizontal="centerContinuous"/>
    </xf>
    <xf numFmtId="167" fontId="9" fillId="0" borderId="0" xfId="68" applyNumberFormat="1" applyFont="1" applyFill="1" applyBorder="1" applyProtection="1"/>
    <xf numFmtId="202" fontId="71" fillId="0" borderId="0" xfId="67" applyNumberFormat="1" applyFont="1" applyAlignment="1">
      <alignment horizontal="center"/>
    </xf>
    <xf numFmtId="167" fontId="9" fillId="0" borderId="0" xfId="67" applyNumberFormat="1" applyFont="1"/>
    <xf numFmtId="37" fontId="71" fillId="0" borderId="0" xfId="67" applyNumberFormat="1" applyFont="1"/>
    <xf numFmtId="37" fontId="9" fillId="0" borderId="0" xfId="67" applyNumberFormat="1" applyFont="1"/>
    <xf numFmtId="0" fontId="71" fillId="0" borderId="0" xfId="67" applyFont="1" applyAlignment="1">
      <alignment horizontal="center"/>
    </xf>
    <xf numFmtId="43" fontId="71" fillId="0" borderId="0" xfId="68" applyFont="1" applyFill="1"/>
    <xf numFmtId="37" fontId="71" fillId="0" borderId="0" xfId="67" applyNumberFormat="1" applyFont="1" applyAlignment="1">
      <alignment horizontal="center"/>
    </xf>
    <xf numFmtId="167" fontId="9" fillId="0" borderId="37" xfId="68" applyNumberFormat="1" applyFont="1" applyFill="1" applyBorder="1" applyAlignment="1">
      <alignment horizontal="center"/>
    </xf>
    <xf numFmtId="0" fontId="72" fillId="0" borderId="0" xfId="67" applyFont="1"/>
    <xf numFmtId="0" fontId="72" fillId="0" borderId="0" xfId="67" applyFont="1" applyAlignment="1">
      <alignment horizontal="center"/>
    </xf>
    <xf numFmtId="43" fontId="72" fillId="0" borderId="0" xfId="68" applyFont="1" applyFill="1"/>
    <xf numFmtId="0" fontId="71" fillId="0" borderId="38" xfId="67" applyFont="1" applyBorder="1" applyAlignment="1">
      <alignment horizontal="center" wrapText="1"/>
    </xf>
    <xf numFmtId="167" fontId="9" fillId="0" borderId="39" xfId="68" applyNumberFormat="1" applyFont="1" applyFill="1" applyBorder="1" applyProtection="1"/>
    <xf numFmtId="1" fontId="71" fillId="0" borderId="0" xfId="67" applyNumberFormat="1" applyFont="1" applyAlignment="1">
      <alignment horizontal="center"/>
    </xf>
    <xf numFmtId="167" fontId="71" fillId="0" borderId="0" xfId="67" applyNumberFormat="1" applyFont="1"/>
    <xf numFmtId="167" fontId="71" fillId="0" borderId="0" xfId="68" applyNumberFormat="1" applyFont="1" applyFill="1" applyProtection="1"/>
    <xf numFmtId="167" fontId="71" fillId="0" borderId="40" xfId="67" applyNumberFormat="1" applyFont="1" applyBorder="1"/>
    <xf numFmtId="167" fontId="71" fillId="0" borderId="22" xfId="67" applyNumberFormat="1" applyFont="1" applyBorder="1"/>
    <xf numFmtId="43" fontId="71" fillId="0" borderId="0" xfId="67" applyNumberFormat="1" applyFont="1"/>
    <xf numFmtId="43" fontId="71" fillId="0" borderId="0" xfId="68" applyFont="1" applyFill="1" applyProtection="1"/>
    <xf numFmtId="10" fontId="9" fillId="0" borderId="0" xfId="69" applyNumberFormat="1" applyFont="1" applyFill="1"/>
    <xf numFmtId="10" fontId="71" fillId="0" borderId="0" xfId="69" applyNumberFormat="1" applyFont="1" applyFill="1" applyProtection="1"/>
    <xf numFmtId="0" fontId="71" fillId="0" borderId="0" xfId="67" applyFont="1" applyAlignment="1">
      <alignment horizontal="centerContinuous"/>
    </xf>
    <xf numFmtId="43" fontId="71" fillId="0" borderId="0" xfId="68" applyFont="1" applyFill="1" applyAlignment="1">
      <alignment horizontal="centerContinuous"/>
    </xf>
    <xf numFmtId="0" fontId="71" fillId="0" borderId="0" xfId="67" applyFont="1" applyAlignment="1">
      <alignment horizontal="center" wrapText="1"/>
    </xf>
    <xf numFmtId="10" fontId="71" fillId="0" borderId="0" xfId="67" applyNumberFormat="1" applyFont="1" applyAlignment="1">
      <alignment horizontal="center"/>
    </xf>
    <xf numFmtId="0" fontId="71" fillId="0" borderId="0" xfId="67" quotePrefix="1" applyFont="1" applyAlignment="1">
      <alignment horizontal="center"/>
    </xf>
    <xf numFmtId="167" fontId="71" fillId="0" borderId="11" xfId="67" applyNumberFormat="1" applyFont="1" applyBorder="1"/>
    <xf numFmtId="0" fontId="73" fillId="0" borderId="0" xfId="67" applyFont="1" applyAlignment="1">
      <alignment horizontal="right"/>
    </xf>
    <xf numFmtId="0" fontId="74" fillId="0" borderId="0" xfId="67" applyFont="1"/>
    <xf numFmtId="43" fontId="74" fillId="0" borderId="0" xfId="68" applyFont="1" applyFill="1"/>
    <xf numFmtId="167" fontId="74" fillId="0" borderId="0" xfId="68" applyNumberFormat="1" applyFont="1" applyFill="1" applyProtection="1"/>
    <xf numFmtId="0" fontId="71" fillId="0" borderId="37" xfId="67" applyFont="1" applyBorder="1" applyAlignment="1">
      <alignment horizontal="center"/>
    </xf>
    <xf numFmtId="0" fontId="71" fillId="0" borderId="12" xfId="67" applyFont="1" applyBorder="1" applyAlignment="1">
      <alignment horizontal="center"/>
    </xf>
    <xf numFmtId="0" fontId="71" fillId="0" borderId="12" xfId="67" applyFont="1" applyBorder="1" applyAlignment="1">
      <alignment horizontal="center" wrapText="1"/>
    </xf>
    <xf numFmtId="167" fontId="71" fillId="0" borderId="38" xfId="68" applyNumberFormat="1" applyFont="1" applyFill="1" applyBorder="1" applyProtection="1"/>
    <xf numFmtId="167" fontId="72" fillId="0" borderId="0" xfId="68" applyNumberFormat="1" applyFont="1" applyFill="1" applyProtection="1"/>
    <xf numFmtId="167" fontId="71" fillId="0" borderId="0" xfId="68" applyNumberFormat="1" applyFont="1" applyFill="1"/>
    <xf numFmtId="43" fontId="71" fillId="0" borderId="0" xfId="68" applyFont="1" applyFill="1" applyAlignment="1" applyProtection="1">
      <alignment horizontal="center"/>
    </xf>
    <xf numFmtId="167" fontId="9" fillId="0" borderId="0" xfId="68" applyNumberFormat="1" applyFont="1" applyFill="1" applyProtection="1"/>
    <xf numFmtId="167" fontId="9" fillId="0" borderId="0" xfId="68" applyNumberFormat="1" applyFont="1" applyFill="1"/>
    <xf numFmtId="167" fontId="71" fillId="0" borderId="22" xfId="68" applyNumberFormat="1" applyFont="1" applyFill="1" applyBorder="1" applyProtection="1"/>
    <xf numFmtId="167" fontId="71" fillId="0" borderId="0" xfId="68" applyNumberFormat="1" applyFont="1" applyFill="1" applyBorder="1" applyProtection="1"/>
    <xf numFmtId="203" fontId="71" fillId="0" borderId="0" xfId="67" applyNumberFormat="1" applyFont="1" applyAlignment="1">
      <alignment horizontal="left"/>
    </xf>
    <xf numFmtId="167" fontId="71" fillId="0" borderId="0" xfId="68" applyNumberFormat="1" applyFont="1" applyFill="1" applyAlignment="1" applyProtection="1">
      <alignment horizontal="centerContinuous"/>
    </xf>
    <xf numFmtId="167" fontId="71" fillId="0" borderId="0" xfId="68" applyNumberFormat="1" applyFont="1" applyFill="1" applyAlignment="1">
      <alignment horizontal="centerContinuous"/>
    </xf>
    <xf numFmtId="167" fontId="9" fillId="0" borderId="0" xfId="68" applyNumberFormat="1" applyFont="1" applyFill="1" applyAlignment="1">
      <alignment horizontal="centerContinuous"/>
    </xf>
    <xf numFmtId="3" fontId="71" fillId="0" borderId="0" xfId="67" applyNumberFormat="1" applyFont="1"/>
    <xf numFmtId="0" fontId="71" fillId="0" borderId="0" xfId="67" quotePrefix="1" applyFont="1"/>
    <xf numFmtId="0" fontId="71" fillId="0" borderId="0" xfId="67" applyFont="1" applyAlignment="1">
      <alignment horizontal="left" indent="1"/>
    </xf>
    <xf numFmtId="0" fontId="9" fillId="0" borderId="38" xfId="67" applyFont="1" applyBorder="1"/>
    <xf numFmtId="167" fontId="72" fillId="0" borderId="0" xfId="68" applyNumberFormat="1" applyFont="1" applyFill="1" applyAlignment="1" applyProtection="1">
      <alignment horizontal="center"/>
    </xf>
    <xf numFmtId="37" fontId="72" fillId="0" borderId="0" xfId="67" applyNumberFormat="1" applyFont="1" applyAlignment="1">
      <alignment horizontal="center"/>
    </xf>
    <xf numFmtId="167" fontId="71" fillId="0" borderId="0" xfId="68" applyNumberFormat="1" applyFont="1" applyFill="1" applyBorder="1"/>
    <xf numFmtId="167" fontId="71" fillId="0" borderId="11" xfId="68" applyNumberFormat="1" applyFont="1" applyFill="1" applyBorder="1" applyProtection="1"/>
    <xf numFmtId="167" fontId="71" fillId="0" borderId="4" xfId="68" applyNumberFormat="1" applyFont="1" applyFill="1" applyBorder="1" applyProtection="1"/>
    <xf numFmtId="0" fontId="71" fillId="0" borderId="4" xfId="67" applyFont="1" applyBorder="1" applyAlignment="1">
      <alignment horizontal="center" wrapText="1"/>
    </xf>
    <xf numFmtId="43" fontId="71" fillId="0" borderId="0" xfId="68" applyFont="1" applyFill="1" applyAlignment="1" applyProtection="1">
      <alignment horizontal="centerContinuous"/>
    </xf>
    <xf numFmtId="167" fontId="72" fillId="0" borderId="0" xfId="68" applyNumberFormat="1" applyFont="1" applyFill="1"/>
    <xf numFmtId="37" fontId="71" fillId="0" borderId="0" xfId="67" applyNumberFormat="1" applyFont="1" applyAlignment="1">
      <alignment horizontal="left"/>
    </xf>
    <xf numFmtId="1" fontId="71" fillId="0" borderId="0" xfId="67" applyNumberFormat="1" applyFont="1" applyAlignment="1">
      <alignment horizontal="left"/>
    </xf>
    <xf numFmtId="167" fontId="9" fillId="0" borderId="4" xfId="68" applyNumberFormat="1" applyFont="1" applyFill="1" applyBorder="1" applyProtection="1"/>
    <xf numFmtId="198" fontId="71" fillId="0" borderId="0" xfId="67" quotePrefix="1" applyNumberFormat="1" applyFont="1" applyAlignment="1">
      <alignment horizontal="left"/>
    </xf>
    <xf numFmtId="1" fontId="71" fillId="0" borderId="0" xfId="67" quotePrefix="1" applyNumberFormat="1" applyFont="1" applyAlignment="1">
      <alignment horizontal="left"/>
    </xf>
    <xf numFmtId="3" fontId="71" fillId="0" borderId="0" xfId="67" applyNumberFormat="1" applyFont="1" applyAlignment="1">
      <alignment horizontal="left"/>
    </xf>
    <xf numFmtId="0" fontId="75" fillId="0" borderId="39" xfId="67" applyFont="1" applyBorder="1" applyAlignment="1">
      <alignment horizontal="center"/>
    </xf>
    <xf numFmtId="204" fontId="9" fillId="0" borderId="0" xfId="70" applyFont="1" applyFill="1"/>
    <xf numFmtId="0" fontId="16" fillId="0" borderId="4" xfId="9" applyFill="1" applyBorder="1"/>
    <xf numFmtId="0" fontId="16" fillId="0" borderId="4" xfId="9" applyFill="1" applyBorder="1" applyAlignment="1">
      <alignment horizontal="center"/>
    </xf>
    <xf numFmtId="167" fontId="10" fillId="0" borderId="0" xfId="1" quotePrefix="1" applyNumberFormat="1" applyFont="1" applyFill="1" applyAlignment="1">
      <alignment horizontal="center"/>
    </xf>
    <xf numFmtId="167" fontId="10" fillId="0" borderId="0" xfId="9" applyNumberFormat="1" applyFont="1" applyFill="1"/>
    <xf numFmtId="0" fontId="10" fillId="0" borderId="4" xfId="9" applyFont="1" applyFill="1" applyBorder="1"/>
    <xf numFmtId="5" fontId="10" fillId="0" borderId="4" xfId="9" applyNumberFormat="1" applyFont="1" applyFill="1" applyBorder="1" applyProtection="1">
      <protection locked="0"/>
    </xf>
    <xf numFmtId="0" fontId="10" fillId="0" borderId="4" xfId="9" applyFont="1" applyFill="1" applyBorder="1" applyAlignment="1">
      <alignment horizontal="center"/>
    </xf>
    <xf numFmtId="167" fontId="10" fillId="0" borderId="0" xfId="1" applyNumberFormat="1" applyFont="1" applyFill="1" applyAlignment="1">
      <alignment horizontal="center"/>
    </xf>
    <xf numFmtId="167" fontId="10" fillId="0" borderId="0" xfId="1" applyNumberFormat="1" applyFont="1" applyFill="1"/>
    <xf numFmtId="190" fontId="16" fillId="0" borderId="0" xfId="9" applyNumberFormat="1" applyFill="1"/>
    <xf numFmtId="5" fontId="30" fillId="0" borderId="0" xfId="1" applyNumberFormat="1" applyFont="1" applyFill="1" applyProtection="1">
      <protection locked="0"/>
    </xf>
    <xf numFmtId="166" fontId="0" fillId="0" borderId="0" xfId="0" applyNumberFormat="1" applyFill="1"/>
    <xf numFmtId="3" fontId="0" fillId="0" borderId="39" xfId="0" applyNumberFormat="1" applyFill="1" applyBorder="1"/>
    <xf numFmtId="3" fontId="0" fillId="0" borderId="37" xfId="0" applyNumberFormat="1" applyFill="1" applyBorder="1" applyAlignment="1">
      <alignment horizontal="right"/>
    </xf>
    <xf numFmtId="0" fontId="16" fillId="0" borderId="0" xfId="9" quotePrefix="1" applyFill="1"/>
    <xf numFmtId="169" fontId="10" fillId="0" borderId="0" xfId="10" applyNumberFormat="1" applyFont="1" applyFill="1" applyProtection="1">
      <protection locked="0"/>
    </xf>
    <xf numFmtId="169" fontId="16" fillId="0" borderId="4" xfId="10" applyNumberFormat="1" applyFont="1" applyFill="1" applyBorder="1"/>
    <xf numFmtId="169" fontId="16" fillId="0" borderId="4" xfId="9" applyNumberFormat="1" applyFill="1" applyBorder="1"/>
    <xf numFmtId="169" fontId="10" fillId="0" borderId="4" xfId="10" applyNumberFormat="1" applyFont="1" applyFill="1" applyBorder="1" applyProtection="1">
      <protection locked="0"/>
    </xf>
    <xf numFmtId="169" fontId="16" fillId="0" borderId="0" xfId="9" applyNumberFormat="1" applyFill="1" applyBorder="1" applyProtection="1"/>
    <xf numFmtId="169" fontId="10" fillId="0" borderId="14" xfId="10" applyNumberFormat="1" applyFont="1" applyFill="1" applyBorder="1" applyProtection="1">
      <protection locked="0"/>
    </xf>
    <xf numFmtId="175" fontId="16" fillId="0" borderId="0" xfId="9" applyNumberFormat="1" applyFill="1"/>
    <xf numFmtId="43" fontId="15" fillId="0" borderId="0" xfId="9" applyNumberFormat="1" applyFont="1" applyFill="1"/>
    <xf numFmtId="0" fontId="16" fillId="0" borderId="0" xfId="9" applyFont="1" applyFill="1" applyAlignment="1">
      <alignment horizontal="left"/>
    </xf>
    <xf numFmtId="0" fontId="16" fillId="0" borderId="0" xfId="9" quotePrefix="1" applyFont="1" applyFill="1" applyAlignment="1">
      <alignment horizontal="left"/>
    </xf>
    <xf numFmtId="0" fontId="27" fillId="2" borderId="6" xfId="0" applyFont="1" applyFill="1" applyBorder="1" applyAlignment="1" applyProtection="1">
      <alignment horizontal="center"/>
    </xf>
    <xf numFmtId="0" fontId="27" fillId="2" borderId="7" xfId="0" applyFont="1" applyFill="1" applyBorder="1" applyAlignment="1" applyProtection="1">
      <alignment horizontal="center"/>
    </xf>
    <xf numFmtId="0" fontId="27" fillId="2" borderId="19" xfId="0" applyFont="1" applyFill="1" applyBorder="1" applyAlignment="1" applyProtection="1">
      <alignment horizontal="center"/>
    </xf>
    <xf numFmtId="0" fontId="26" fillId="0" borderId="4" xfId="8" applyFont="1" applyFill="1" applyBorder="1" applyAlignment="1">
      <alignment horizontal="center"/>
    </xf>
    <xf numFmtId="0" fontId="47" fillId="0" borderId="4" xfId="8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0" xfId="0" quotePrefix="1" applyFont="1" applyFill="1" applyAlignment="1">
      <alignment horizontal="center"/>
    </xf>
    <xf numFmtId="0" fontId="38" fillId="0" borderId="0" xfId="0" quotePrefix="1" applyNumberFormat="1" applyFont="1" applyFill="1" applyAlignment="1">
      <alignment horizontal="center"/>
    </xf>
    <xf numFmtId="0" fontId="27" fillId="0" borderId="0" xfId="0" quotePrefix="1" applyFont="1" applyFill="1" applyAlignment="1" applyProtection="1">
      <alignment horizontal="center"/>
    </xf>
  </cellXfs>
  <cellStyles count="71">
    <cellStyle name="Comma" xfId="1" builtinId="3"/>
    <cellStyle name="Comma 10" xfId="68" xr:uid="{4A66067A-EEA9-48AD-B9DA-D3D4EE86D619}"/>
    <cellStyle name="Comma 11" xfId="45" xr:uid="{00000000-0005-0000-0000-000001000000}"/>
    <cellStyle name="Comma 2" xfId="14" xr:uid="{00000000-0005-0000-0000-000002000000}"/>
    <cellStyle name="Comma 2 2" xfId="17" xr:uid="{00000000-0005-0000-0000-000003000000}"/>
    <cellStyle name="Comma 3" xfId="22" xr:uid="{00000000-0005-0000-0000-000004000000}"/>
    <cellStyle name="Comma 4" xfId="26" xr:uid="{00000000-0005-0000-0000-000005000000}"/>
    <cellStyle name="Comma 5" xfId="43" xr:uid="{00000000-0005-0000-0000-000006000000}"/>
    <cellStyle name="Comma 6" xfId="53" xr:uid="{00000000-0005-0000-0000-000007000000}"/>
    <cellStyle name="Comma 7" xfId="55" xr:uid="{00000000-0005-0000-0000-000008000000}"/>
    <cellStyle name="Comma 8" xfId="62" xr:uid="{00000000-0005-0000-0000-000009000000}"/>
    <cellStyle name="Comma 9" xfId="65" xr:uid="{00000000-0005-0000-0000-00000A000000}"/>
    <cellStyle name="Currency" xfId="2" builtinId="4"/>
    <cellStyle name="Currency 2" xfId="30" xr:uid="{00000000-0005-0000-0000-00000C000000}"/>
    <cellStyle name="Currency 28" xfId="60" xr:uid="{00000000-0005-0000-0000-00000D000000}"/>
    <cellStyle name="Currency 3" xfId="32" xr:uid="{00000000-0005-0000-0000-00000E000000}"/>
    <cellStyle name="Currency 3 2" xfId="50" xr:uid="{00000000-0005-0000-0000-00000F000000}"/>
    <cellStyle name="General" xfId="3" xr:uid="{00000000-0005-0000-0000-000010000000}"/>
    <cellStyle name="Marathon" xfId="4" xr:uid="{00000000-0005-0000-0000-000011000000}"/>
    <cellStyle name="nONE" xfId="5" xr:uid="{00000000-0005-0000-0000-000012000000}"/>
    <cellStyle name="Normal" xfId="0" builtinId="0"/>
    <cellStyle name="Normal 10" xfId="31" xr:uid="{00000000-0005-0000-0000-000014000000}"/>
    <cellStyle name="Normal 11" xfId="33" xr:uid="{00000000-0005-0000-0000-000015000000}"/>
    <cellStyle name="Normal 12" xfId="34" xr:uid="{00000000-0005-0000-0000-000016000000}"/>
    <cellStyle name="Normal 13" xfId="35" xr:uid="{00000000-0005-0000-0000-000017000000}"/>
    <cellStyle name="Normal 13 2" xfId="49" xr:uid="{00000000-0005-0000-0000-000018000000}"/>
    <cellStyle name="Normal 14" xfId="37" xr:uid="{00000000-0005-0000-0000-000019000000}"/>
    <cellStyle name="Normal 15" xfId="38" xr:uid="{00000000-0005-0000-0000-00001A000000}"/>
    <cellStyle name="Normal 15 8" xfId="56" xr:uid="{00000000-0005-0000-0000-00001B000000}"/>
    <cellStyle name="Normal 159" xfId="61" xr:uid="{00000000-0005-0000-0000-00001C000000}"/>
    <cellStyle name="Normal 16" xfId="39" xr:uid="{00000000-0005-0000-0000-00001D000000}"/>
    <cellStyle name="Normal 17" xfId="40" xr:uid="{00000000-0005-0000-0000-00001E000000}"/>
    <cellStyle name="Normal 18" xfId="41" xr:uid="{00000000-0005-0000-0000-00001F000000}"/>
    <cellStyle name="Normal 19" xfId="42" xr:uid="{00000000-0005-0000-0000-000020000000}"/>
    <cellStyle name="Normal 2" xfId="12" xr:uid="{00000000-0005-0000-0000-000021000000}"/>
    <cellStyle name="Normal 2 2" xfId="29" xr:uid="{00000000-0005-0000-0000-000022000000}"/>
    <cellStyle name="Normal 2 23" xfId="66" xr:uid="{00000000-0005-0000-0000-000023000000}"/>
    <cellStyle name="Normal 2 3" xfId="59" xr:uid="{00000000-0005-0000-0000-000024000000}"/>
    <cellStyle name="Normal 20" xfId="47" xr:uid="{00000000-0005-0000-0000-000025000000}"/>
    <cellStyle name="Normal 21" xfId="52" xr:uid="{00000000-0005-0000-0000-000026000000}"/>
    <cellStyle name="Normal 22" xfId="54" xr:uid="{00000000-0005-0000-0000-000027000000}"/>
    <cellStyle name="Normal 23" xfId="67" xr:uid="{2DFC1A0F-A804-4421-9B08-FA639420FBC8}"/>
    <cellStyle name="Normal 3" xfId="13" xr:uid="{00000000-0005-0000-0000-000028000000}"/>
    <cellStyle name="Normal 3 2" xfId="21" xr:uid="{00000000-0005-0000-0000-000029000000}"/>
    <cellStyle name="Normal 3 2 2" xfId="57" xr:uid="{00000000-0005-0000-0000-00002A000000}"/>
    <cellStyle name="Normal 3 2 3" xfId="63" xr:uid="{00000000-0005-0000-0000-00002B000000}"/>
    <cellStyle name="Normal 3 3" xfId="48" xr:uid="{00000000-0005-0000-0000-00002C000000}"/>
    <cellStyle name="Normal 4" xfId="15" xr:uid="{00000000-0005-0000-0000-00002D000000}"/>
    <cellStyle name="Normal 4 2" xfId="24" xr:uid="{00000000-0005-0000-0000-00002E000000}"/>
    <cellStyle name="Normal 5" xfId="16" xr:uid="{00000000-0005-0000-0000-00002F000000}"/>
    <cellStyle name="Normal 6" xfId="19" xr:uid="{00000000-0005-0000-0000-000030000000}"/>
    <cellStyle name="Normal 7" xfId="23" xr:uid="{00000000-0005-0000-0000-000031000000}"/>
    <cellStyle name="Normal 7 2" xfId="51" xr:uid="{00000000-0005-0000-0000-000032000000}"/>
    <cellStyle name="Normal 8" xfId="25" xr:uid="{00000000-0005-0000-0000-000033000000}"/>
    <cellStyle name="Normal 9" xfId="27" xr:uid="{00000000-0005-0000-0000-000034000000}"/>
    <cellStyle name="Normal_Distribution" xfId="70" xr:uid="{35267FCE-C59E-40B7-A782-FD428963304C}"/>
    <cellStyle name="Normal_EAST Blocking 901 2" xfId="20" xr:uid="{00000000-0005-0000-0000-000036000000}"/>
    <cellStyle name="Normal_East for 38.6M" xfId="6" xr:uid="{00000000-0005-0000-0000-000037000000}"/>
    <cellStyle name="Normal_OR Blocking 04" xfId="7" xr:uid="{00000000-0005-0000-0000-00003A000000}"/>
    <cellStyle name="Normal_OR Blocking 98 No Forecast" xfId="8" xr:uid="{00000000-0005-0000-0000-00003B000000}"/>
    <cellStyle name="Normal_WA98" xfId="9" xr:uid="{00000000-0005-0000-0000-00003D000000}"/>
    <cellStyle name="Percent" xfId="10" builtinId="5"/>
    <cellStyle name="Percent 10" xfId="46" xr:uid="{00000000-0005-0000-0000-000040000000}"/>
    <cellStyle name="Percent 2" xfId="18" xr:uid="{00000000-0005-0000-0000-000041000000}"/>
    <cellStyle name="Percent 2 2" xfId="58" xr:uid="{00000000-0005-0000-0000-000042000000}"/>
    <cellStyle name="Percent 2 2 2" xfId="64" xr:uid="{00000000-0005-0000-0000-000043000000}"/>
    <cellStyle name="Percent 3" xfId="28" xr:uid="{00000000-0005-0000-0000-000044000000}"/>
    <cellStyle name="Percent 3 2" xfId="36" xr:uid="{00000000-0005-0000-0000-000045000000}"/>
    <cellStyle name="Percent 4" xfId="44" xr:uid="{00000000-0005-0000-0000-000046000000}"/>
    <cellStyle name="Percent 5" xfId="69" xr:uid="{163E115C-55DD-4D10-B983-9A0D3D6CF348}"/>
    <cellStyle name="TRANSMISSION RELIABILITY PORTION OF PROJECT" xfId="11" xr:uid="{00000000-0005-0000-0000-00004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theme" Target="theme/theme1.xml"/><Relationship Id="rId50" Type="http://schemas.openxmlformats.org/officeDocument/2006/relationships/sheetMetadata" Target="metadata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22-05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09-05-JAM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A%20GRC%202020\Settlement\COS%20WA%20Jun%202020-Settlemen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ASES\Wyoming98\East%20West%20Rate%20Migr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COS\Wyoming%20FY%202005\COS\COS%20Sep%202006\Wyoming%20Combined%20Sept%202006%20MSP-UCAM%20and%20AFOR-09-12-05-JAM%20upd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CASES\Wyoming98\EAST97%20B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REGULATN\PA&amp;D\DSMRecov\2001\RECO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</sheetData>
      <sheetData sheetId="20"/>
      <sheetData sheetId="21">
        <row r="11">
          <cell r="A11" t="str">
            <v>FACTOR</v>
          </cell>
        </row>
      </sheetData>
      <sheetData sheetId="22">
        <row r="10">
          <cell r="A10" t="str">
            <v>FACTOR NAME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-COS results"/>
      <sheetName val="B-COS allocation factors"/>
      <sheetName val="C-COS parity ratios"/>
      <sheetName val="Index"/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Customer Summary"/>
      <sheetName val="Common Summary"/>
      <sheetName val="G+T+D+C+CO"/>
      <sheetName val="Generation"/>
      <sheetName val="Transmission"/>
      <sheetName val="Distribution"/>
      <sheetName val="Customer"/>
      <sheetName val="Common"/>
      <sheetName val="Generation-Demand"/>
      <sheetName val="Genera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FuncStudy"/>
      <sheetName val="JAM Download"/>
      <sheetName val="Func Allocation Options"/>
      <sheetName val="Func Factors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trXfmrSvcs"/>
      <sheetName val="Uncollectables"/>
      <sheetName val="Revenues"/>
      <sheetName val="DistInvest"/>
      <sheetName val="200 Top Hrs"/>
      <sheetName val="100 S_100W Hrs"/>
      <sheetName val="Error 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D9">
            <v>0.59419421435740905</v>
          </cell>
        </row>
        <row r="10">
          <cell r="D10">
            <v>0.40580578564259095</v>
          </cell>
        </row>
        <row r="11">
          <cell r="D11">
            <v>0.5</v>
          </cell>
        </row>
        <row r="12">
          <cell r="D12">
            <v>0.5</v>
          </cell>
        </row>
        <row r="13">
          <cell r="X13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F2" t="str">
            <v>PacifiCorp</v>
          </cell>
        </row>
        <row r="3">
          <cell r="F3" t="str">
            <v>Cost Of Service By Rate Schedule</v>
          </cell>
        </row>
        <row r="4">
          <cell r="F4" t="str">
            <v>State of Washington</v>
          </cell>
          <cell r="Z4" t="str">
            <v xml:space="preserve"> </v>
          </cell>
        </row>
        <row r="5">
          <cell r="F5" t="str">
            <v>WCA</v>
          </cell>
        </row>
        <row r="6">
          <cell r="F6" t="str">
            <v>12 Months Ending June 2019</v>
          </cell>
        </row>
        <row r="8">
          <cell r="D8" t="str">
            <v>COS Study</v>
          </cell>
          <cell r="E8" t="str">
            <v>State of Washington</v>
          </cell>
          <cell r="F8" t="str">
            <v>Error</v>
          </cell>
          <cell r="G8" t="str">
            <v>Generation</v>
          </cell>
          <cell r="H8" t="str">
            <v>Transmission</v>
          </cell>
          <cell r="I8" t="str">
            <v>Distribution</v>
          </cell>
          <cell r="J8" t="str">
            <v>Customer</v>
          </cell>
          <cell r="K8" t="str">
            <v>Common</v>
          </cell>
          <cell r="N8" t="str">
            <v>Generation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METER</v>
          </cell>
          <cell r="X9" t="str">
            <v>SERVICE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5.0032067377969724E-10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366572511.50906163</v>
          </cell>
          <cell r="E12">
            <v>366572511.17077339</v>
          </cell>
          <cell r="F12">
            <v>0</v>
          </cell>
          <cell r="G12">
            <v>244097013.91941947</v>
          </cell>
          <cell r="H12">
            <v>57069673.26541917</v>
          </cell>
          <cell r="I12">
            <v>46281631.8450507</v>
          </cell>
          <cell r="J12">
            <v>8306759.7528403485</v>
          </cell>
          <cell r="K12">
            <v>10817432.388617277</v>
          </cell>
        </row>
        <row r="13">
          <cell r="A13" t="str">
            <v xml:space="preserve">  Special Sales</v>
          </cell>
          <cell r="D13">
            <v>2169634.9191681296</v>
          </cell>
          <cell r="E13">
            <v>2169634.9191681296</v>
          </cell>
          <cell r="F13">
            <v>0</v>
          </cell>
          <cell r="G13">
            <v>2169634.9191681296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13849210.0150091</v>
          </cell>
          <cell r="E14">
            <v>13849210.275009101</v>
          </cell>
          <cell r="F14">
            <v>0</v>
          </cell>
          <cell r="G14">
            <v>2540928.1599488943</v>
          </cell>
          <cell r="H14">
            <v>10002172.078783985</v>
          </cell>
          <cell r="I14">
            <v>835148.96612836816</v>
          </cell>
          <cell r="J14">
            <v>475339.81014785264</v>
          </cell>
          <cell r="K14">
            <v>-4378.7399999999907</v>
          </cell>
        </row>
        <row r="15">
          <cell r="A15" t="str">
            <v>Total Operating Revenues</v>
          </cell>
          <cell r="D15">
            <v>382591356.44323885</v>
          </cell>
          <cell r="E15">
            <v>382591356.3649506</v>
          </cell>
          <cell r="G15">
            <v>248807576.99853647</v>
          </cell>
          <cell r="H15">
            <v>67071845.344203159</v>
          </cell>
          <cell r="I15">
            <v>47116780.811179072</v>
          </cell>
          <cell r="J15">
            <v>8782099.5629882012</v>
          </cell>
          <cell r="K15">
            <v>10813053.648617277</v>
          </cell>
          <cell r="N15">
            <v>146550838.22457844</v>
          </cell>
          <cell r="O15">
            <v>102256738.77395804</v>
          </cell>
          <cell r="Q15">
            <v>67071845.344203159</v>
          </cell>
          <cell r="R15">
            <v>0</v>
          </cell>
          <cell r="T15">
            <v>10193994.212635579</v>
          </cell>
          <cell r="U15">
            <v>19635415.865871739</v>
          </cell>
          <cell r="V15">
            <v>9318834.5505505744</v>
          </cell>
          <cell r="W15">
            <v>1405842.8248175441</v>
          </cell>
          <cell r="X15">
            <v>6562693.3573036427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167580764.75903344</v>
          </cell>
          <cell r="E18">
            <v>167580764.75903341</v>
          </cell>
          <cell r="F18">
            <v>0</v>
          </cell>
          <cell r="G18">
            <v>122203933.25547305</v>
          </cell>
          <cell r="H18">
            <v>16190075.964635935</v>
          </cell>
          <cell r="I18">
            <v>12374940.184378542</v>
          </cell>
          <cell r="J18">
            <v>8133723.6677266881</v>
          </cell>
          <cell r="K18">
            <v>8678091.6868191902</v>
          </cell>
          <cell r="N18">
            <v>15478048.012142694</v>
          </cell>
          <cell r="O18">
            <v>106725885.24333036</v>
          </cell>
          <cell r="Q18">
            <v>16190074.62429798</v>
          </cell>
          <cell r="R18">
            <v>1.3403379539612539</v>
          </cell>
          <cell r="T18">
            <v>1819571.6581168014</v>
          </cell>
          <cell r="U18">
            <v>9704447.7605598196</v>
          </cell>
          <cell r="V18">
            <v>329544.33832377516</v>
          </cell>
          <cell r="W18">
            <v>366526.96669084427</v>
          </cell>
          <cell r="X18">
            <v>154849.46068730444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117309607.36845623</v>
          </cell>
          <cell r="E19">
            <v>117309607.36845624</v>
          </cell>
          <cell r="F19">
            <v>0</v>
          </cell>
          <cell r="G19">
            <v>89633950.117474645</v>
          </cell>
          <cell r="H19">
            <v>12969504.15561736</v>
          </cell>
          <cell r="I19">
            <v>14647473.029918291</v>
          </cell>
          <cell r="J19">
            <v>58680.065445934095</v>
          </cell>
          <cell r="K19">
            <v>0</v>
          </cell>
          <cell r="N19">
            <v>53259974.569804043</v>
          </cell>
          <cell r="O19">
            <v>36373975.547670603</v>
          </cell>
          <cell r="Q19">
            <v>12969504.15561736</v>
          </cell>
          <cell r="R19">
            <v>0</v>
          </cell>
          <cell r="T19">
            <v>1858633.5750800425</v>
          </cell>
          <cell r="U19">
            <v>7452976.3946013199</v>
          </cell>
          <cell r="V19">
            <v>3122039.9191899551</v>
          </cell>
          <cell r="W19">
            <v>519474.99369660555</v>
          </cell>
          <cell r="X19">
            <v>1694348.1473503669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7134745.3027785588</v>
          </cell>
          <cell r="E20">
            <v>7134745.3027785597</v>
          </cell>
          <cell r="F20">
            <v>0</v>
          </cell>
          <cell r="G20">
            <v>5292142.1995697077</v>
          </cell>
          <cell r="H20">
            <v>259488.69823683376</v>
          </cell>
          <cell r="I20">
            <v>844410.58835739177</v>
          </cell>
          <cell r="J20">
            <v>738703.81661462539</v>
          </cell>
          <cell r="K20">
            <v>0</v>
          </cell>
          <cell r="N20">
            <v>3144560.2765410133</v>
          </cell>
          <cell r="O20">
            <v>2147581.9230286949</v>
          </cell>
          <cell r="Q20">
            <v>259488.69823683376</v>
          </cell>
          <cell r="R20">
            <v>0</v>
          </cell>
          <cell r="T20">
            <v>126170.36687360272</v>
          </cell>
          <cell r="U20">
            <v>395502.88576219074</v>
          </cell>
          <cell r="V20">
            <v>190371.86376623038</v>
          </cell>
          <cell r="W20">
            <v>22306.576261367009</v>
          </cell>
          <cell r="X20">
            <v>110058.89569400085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24634547.458652236</v>
          </cell>
          <cell r="E21">
            <v>24634547.458652232</v>
          </cell>
          <cell r="F21">
            <v>0</v>
          </cell>
          <cell r="G21">
            <v>11752339.365306379</v>
          </cell>
          <cell r="H21">
            <v>6057423.7619394055</v>
          </cell>
          <cell r="I21">
            <v>6657881.0771539444</v>
          </cell>
          <cell r="J21">
            <v>166903.25425250729</v>
          </cell>
          <cell r="K21">
            <v>0</v>
          </cell>
          <cell r="N21">
            <v>6983172.0560298748</v>
          </cell>
          <cell r="O21">
            <v>4769167.3092765044</v>
          </cell>
          <cell r="Q21">
            <v>6057423.7619394055</v>
          </cell>
          <cell r="R21">
            <v>0</v>
          </cell>
          <cell r="T21">
            <v>994809.05342436791</v>
          </cell>
          <cell r="U21">
            <v>3118401.4215148343</v>
          </cell>
          <cell r="V21">
            <v>1501015.3198780869</v>
          </cell>
          <cell r="W21">
            <v>175879.52358052257</v>
          </cell>
          <cell r="X21">
            <v>867775.75875613268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3728126.51344821</v>
          </cell>
          <cell r="E22">
            <v>3728126.5128746256</v>
          </cell>
          <cell r="F22">
            <v>0</v>
          </cell>
          <cell r="G22">
            <v>1239288.7365859114</v>
          </cell>
          <cell r="H22">
            <v>2770844.34656577</v>
          </cell>
          <cell r="I22">
            <v>-511552.43589132646</v>
          </cell>
          <cell r="J22">
            <v>-212791.40613077395</v>
          </cell>
          <cell r="K22">
            <v>442337.2723186285</v>
          </cell>
          <cell r="N22">
            <v>736378.19719765161</v>
          </cell>
          <cell r="O22">
            <v>502910.5393882597</v>
          </cell>
          <cell r="Q22">
            <v>2770844.34656577</v>
          </cell>
          <cell r="R22">
            <v>0</v>
          </cell>
          <cell r="T22">
            <v>-111295.29192799701</v>
          </cell>
          <cell r="U22">
            <v>-212707.3536544939</v>
          </cell>
          <cell r="V22">
            <v>-100920.28462632491</v>
          </cell>
          <cell r="W22">
            <v>-15294.977019042944</v>
          </cell>
          <cell r="X22">
            <v>-71334.528663467776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-15956248.941915475</v>
          </cell>
          <cell r="E24">
            <v>-15956248.94191549</v>
          </cell>
          <cell r="F24">
            <v>0</v>
          </cell>
          <cell r="G24">
            <v>-12936263.858734097</v>
          </cell>
          <cell r="H24">
            <v>501539.11156033166</v>
          </cell>
          <cell r="I24">
            <v>-3493103.3342525028</v>
          </cell>
          <cell r="J24">
            <v>-29686.935832945397</v>
          </cell>
          <cell r="K24">
            <v>1266.0753437296121</v>
          </cell>
          <cell r="N24">
            <v>-7686653.140260648</v>
          </cell>
          <cell r="O24">
            <v>-5249610.7184734447</v>
          </cell>
          <cell r="Q24">
            <v>501539.11156033166</v>
          </cell>
          <cell r="R24">
            <v>0</v>
          </cell>
          <cell r="T24">
            <v>-522114.12872791663</v>
          </cell>
          <cell r="U24">
            <v>-1634999.4389961418</v>
          </cell>
          <cell r="V24">
            <v>-788107.92056449654</v>
          </cell>
          <cell r="W24">
            <v>-92244.856480781586</v>
          </cell>
          <cell r="X24">
            <v>-455636.98948316474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65435.101564292781</v>
          </cell>
          <cell r="E26">
            <v>65435.101564292789</v>
          </cell>
          <cell r="F26">
            <v>0</v>
          </cell>
          <cell r="G26">
            <v>5947.1563946623028</v>
          </cell>
          <cell r="H26">
            <v>81.005833750026895</v>
          </cell>
          <cell r="I26">
            <v>-1012.6606641195482</v>
          </cell>
          <cell r="J26">
            <v>60419.600000000006</v>
          </cell>
          <cell r="K26">
            <v>0</v>
          </cell>
          <cell r="N26">
            <v>3533.7659215870081</v>
          </cell>
          <cell r="O26">
            <v>2413.3904730752947</v>
          </cell>
          <cell r="Q26">
            <v>81.005833750026895</v>
          </cell>
          <cell r="R26">
            <v>0</v>
          </cell>
          <cell r="T26">
            <v>-151.31000164146761</v>
          </cell>
          <cell r="U26">
            <v>-474.3074287311332</v>
          </cell>
          <cell r="V26">
            <v>-228.30374304779932</v>
          </cell>
          <cell r="W26">
            <v>-26.751195025883085</v>
          </cell>
          <cell r="X26">
            <v>-131.9882956732649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304496977.56201756</v>
          </cell>
          <cell r="E27">
            <v>304496977.56144387</v>
          </cell>
          <cell r="F27">
            <v>0</v>
          </cell>
          <cell r="G27">
            <v>217191336.97207025</v>
          </cell>
          <cell r="H27">
            <v>38748957.044389382</v>
          </cell>
          <cell r="I27">
            <v>30519036.449000228</v>
          </cell>
          <cell r="J27">
            <v>8915952.062076034</v>
          </cell>
          <cell r="K27">
            <v>9121695.0344815478</v>
          </cell>
          <cell r="N27">
            <v>71919013.737376198</v>
          </cell>
          <cell r="O27">
            <v>145272323.23469406</v>
          </cell>
          <cell r="Q27">
            <v>38748955.704051428</v>
          </cell>
          <cell r="R27">
            <v>1.3403379539612539</v>
          </cell>
          <cell r="T27">
            <v>4165623.9228372592</v>
          </cell>
          <cell r="U27">
            <v>18823147.362358801</v>
          </cell>
          <cell r="V27">
            <v>4253714.9322241778</v>
          </cell>
          <cell r="W27">
            <v>976621.47553448903</v>
          </cell>
          <cell r="X27">
            <v>2299928.7560454994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78094378.881221294</v>
          </cell>
          <cell r="E29">
            <v>78094378.803506732</v>
          </cell>
          <cell r="F29">
            <v>0</v>
          </cell>
          <cell r="G29">
            <v>31616240.026466221</v>
          </cell>
          <cell r="H29">
            <v>28322888.299813777</v>
          </cell>
          <cell r="I29">
            <v>16597744.362178843</v>
          </cell>
          <cell r="J29">
            <v>-133852.49908783287</v>
          </cell>
          <cell r="K29">
            <v>1691358.6141357291</v>
          </cell>
          <cell r="N29">
            <v>74631824.487202242</v>
          </cell>
          <cell r="O29">
            <v>-43015584.460736021</v>
          </cell>
          <cell r="Q29">
            <v>28322889.640151732</v>
          </cell>
          <cell r="R29">
            <v>-1.3403379539612539</v>
          </cell>
          <cell r="T29">
            <v>6028370.2897983193</v>
          </cell>
          <cell r="U29">
            <v>812268.50351293758</v>
          </cell>
          <cell r="V29">
            <v>5065119.6183263967</v>
          </cell>
          <cell r="W29">
            <v>429221.34928305505</v>
          </cell>
          <cell r="X29">
            <v>4262764.6012581438</v>
          </cell>
          <cell r="Z29">
            <v>0</v>
          </cell>
          <cell r="AA29">
            <v>-5.0032067377969724E-10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2182560253.9609895</v>
          </cell>
          <cell r="E33">
            <v>2182560253.9609895</v>
          </cell>
          <cell r="F33">
            <v>0</v>
          </cell>
          <cell r="G33">
            <v>936068942.51871419</v>
          </cell>
          <cell r="H33">
            <v>634146650.43783545</v>
          </cell>
          <cell r="I33">
            <v>599166791.8009584</v>
          </cell>
          <cell r="J33">
            <v>13177869.203481451</v>
          </cell>
          <cell r="K33">
            <v>0</v>
          </cell>
          <cell r="N33">
            <v>556206749.88427806</v>
          </cell>
          <cell r="O33">
            <v>379862192.63443613</v>
          </cell>
          <cell r="Q33">
            <v>634146650.43783545</v>
          </cell>
          <cell r="R33">
            <v>0</v>
          </cell>
          <cell r="T33">
            <v>90752207.880940959</v>
          </cell>
          <cell r="U33">
            <v>284478526.89657068</v>
          </cell>
          <cell r="V33">
            <v>132092323.45150527</v>
          </cell>
          <cell r="W33">
            <v>15477746.70226682</v>
          </cell>
          <cell r="X33">
            <v>76365986.869674668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34942.962564657762</v>
          </cell>
          <cell r="E34">
            <v>34942.962564657755</v>
          </cell>
          <cell r="F34">
            <v>0</v>
          </cell>
          <cell r="G34">
            <v>34942.962564657755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N34">
            <v>20762.906188427169</v>
          </cell>
          <cell r="O34">
            <v>14180.056376230585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680572.05631388363</v>
          </cell>
          <cell r="E35">
            <v>680572.05631388375</v>
          </cell>
          <cell r="F35">
            <v>0</v>
          </cell>
          <cell r="G35">
            <v>680572.05631388363</v>
          </cell>
          <cell r="H35">
            <v>3.5950919159082132E-12</v>
          </cell>
          <cell r="I35">
            <v>1.2618426312413666E-11</v>
          </cell>
          <cell r="J35">
            <v>6.0776381809443462E-12</v>
          </cell>
          <cell r="K35">
            <v>5.9081675936950105E-12</v>
          </cell>
          <cell r="N35">
            <v>404391.97831503442</v>
          </cell>
          <cell r="O35">
            <v>276180.07799884921</v>
          </cell>
          <cell r="Q35">
            <v>3.5950919159082132E-12</v>
          </cell>
          <cell r="R35">
            <v>0</v>
          </cell>
          <cell r="T35">
            <v>1.8854233937328594E-12</v>
          </cell>
          <cell r="U35">
            <v>5.9101864533050032E-12</v>
          </cell>
          <cell r="V35">
            <v>2.8448166899043161E-12</v>
          </cell>
          <cell r="W35">
            <v>3.3333770646320152E-13</v>
          </cell>
          <cell r="X35">
            <v>1.6446620690082853E-12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-3.0559021979570384E-10</v>
          </cell>
          <cell r="E38">
            <v>-3.0559021979570389E-10</v>
          </cell>
          <cell r="F38">
            <v>0</v>
          </cell>
          <cell r="G38">
            <v>-2.1590233425826653E-10</v>
          </cell>
          <cell r="H38">
            <v>-8.9687885537437367E-11</v>
          </cell>
          <cell r="I38">
            <v>0</v>
          </cell>
          <cell r="J38">
            <v>0</v>
          </cell>
          <cell r="K38">
            <v>0</v>
          </cell>
          <cell r="N38">
            <v>-1.2828791788252141E-10</v>
          </cell>
          <cell r="O38">
            <v>-8.7614416375745124E-11</v>
          </cell>
          <cell r="Q38">
            <v>-8.9687885537437367E-11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-2.1827872842550278E-11</v>
          </cell>
          <cell r="E40">
            <v>-2.1827872842550278E-11</v>
          </cell>
          <cell r="F40">
            <v>0</v>
          </cell>
          <cell r="G40">
            <v>-1.8945043384002309E-11</v>
          </cell>
          <cell r="H40">
            <v>-9.7672203545019976E-14</v>
          </cell>
          <cell r="I40">
            <v>-2.7851572550029477E-12</v>
          </cell>
          <cell r="J40">
            <v>0</v>
          </cell>
          <cell r="K40">
            <v>0</v>
          </cell>
          <cell r="N40">
            <v>-1.1257035169524283E-11</v>
          </cell>
          <cell r="O40">
            <v>-7.6880082144780262E-12</v>
          </cell>
          <cell r="Q40">
            <v>-9.7672203545019976E-14</v>
          </cell>
          <cell r="R40">
            <v>0</v>
          </cell>
          <cell r="T40">
            <v>-4.1615337077662085E-13</v>
          </cell>
          <cell r="U40">
            <v>-1.3045048781280184E-12</v>
          </cell>
          <cell r="V40">
            <v>-6.2791204282310441E-13</v>
          </cell>
          <cell r="W40">
            <v>-7.357477933747539E-14</v>
          </cell>
          <cell r="X40">
            <v>-3.6301218393772865E-13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23459504.952025536</v>
          </cell>
          <cell r="E41">
            <v>23459504.952025533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23459504.952025533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5092.6441051398042</v>
          </cell>
          <cell r="E42">
            <v>5092.6441051398033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5092.6441051398033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2206740366.5759983</v>
          </cell>
          <cell r="E44">
            <v>2206740366.5759983</v>
          </cell>
          <cell r="F44">
            <v>0</v>
          </cell>
          <cell r="G44">
            <v>936784457.53759277</v>
          </cell>
          <cell r="H44">
            <v>634146650.43783545</v>
          </cell>
          <cell r="I44">
            <v>599166791.8009584</v>
          </cell>
          <cell r="J44">
            <v>13177869.203481451</v>
          </cell>
          <cell r="K44">
            <v>23464597.596130673</v>
          </cell>
          <cell r="N44">
            <v>556631904.76878142</v>
          </cell>
          <cell r="O44">
            <v>380152552.76881123</v>
          </cell>
          <cell r="Q44">
            <v>634146650.43783545</v>
          </cell>
          <cell r="R44">
            <v>0</v>
          </cell>
          <cell r="T44">
            <v>90752207.880940959</v>
          </cell>
          <cell r="U44">
            <v>284478526.89657068</v>
          </cell>
          <cell r="V44">
            <v>132092323.45150527</v>
          </cell>
          <cell r="W44">
            <v>15477746.70226682</v>
          </cell>
          <cell r="X44">
            <v>76365986.869674668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-764511699.83147633</v>
          </cell>
          <cell r="E48">
            <v>-764511699.83147633</v>
          </cell>
          <cell r="F48">
            <v>0</v>
          </cell>
          <cell r="G48">
            <v>-305123391.28990865</v>
          </cell>
          <cell r="H48">
            <v>-168609032.0894928</v>
          </cell>
          <cell r="I48">
            <v>-290447100.54098648</v>
          </cell>
          <cell r="J48">
            <v>-332175.91108839225</v>
          </cell>
          <cell r="K48">
            <v>0</v>
          </cell>
          <cell r="N48">
            <v>-181302553.7695756</v>
          </cell>
          <cell r="O48">
            <v>-123820837.52033308</v>
          </cell>
          <cell r="Q48">
            <v>-168609032.0894928</v>
          </cell>
          <cell r="R48">
            <v>0</v>
          </cell>
          <cell r="T48">
            <v>-28868206.62857018</v>
          </cell>
          <cell r="U48">
            <v>-152095111.60037005</v>
          </cell>
          <cell r="V48">
            <v>-68962527.490771621</v>
          </cell>
          <cell r="W48">
            <v>-6519775.3580573164</v>
          </cell>
          <cell r="X48">
            <v>-34001479.463217296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-61873796.61360047</v>
          </cell>
          <cell r="E49">
            <v>-61873796.613600478</v>
          </cell>
          <cell r="F49">
            <v>0</v>
          </cell>
          <cell r="G49">
            <v>-34492103.280965433</v>
          </cell>
          <cell r="H49">
            <v>-9414017.8266325984</v>
          </cell>
          <cell r="I49">
            <v>-7393315.6327157309</v>
          </cell>
          <cell r="J49">
            <v>-10574359.873286717</v>
          </cell>
          <cell r="K49">
            <v>0</v>
          </cell>
          <cell r="N49">
            <v>-20495008.210567862</v>
          </cell>
          <cell r="O49">
            <v>-13997095.070397565</v>
          </cell>
          <cell r="Q49">
            <v>-9414017.8266325984</v>
          </cell>
          <cell r="R49">
            <v>0</v>
          </cell>
          <cell r="T49">
            <v>-1104696.4103170109</v>
          </cell>
          <cell r="U49">
            <v>-3462862.3899398455</v>
          </cell>
          <cell r="V49">
            <v>-1666818.6020144899</v>
          </cell>
          <cell r="W49">
            <v>-195307.3081501071</v>
          </cell>
          <cell r="X49">
            <v>-963630.922294277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-235998947.53391173</v>
          </cell>
          <cell r="E50">
            <v>-235998947.53391179</v>
          </cell>
          <cell r="F50">
            <v>0</v>
          </cell>
          <cell r="G50">
            <v>-105106454.814427</v>
          </cell>
          <cell r="H50">
            <v>-61865739.405652247</v>
          </cell>
          <cell r="I50">
            <v>-67800373.416810155</v>
          </cell>
          <cell r="J50">
            <v>-1305450.6011028229</v>
          </cell>
          <cell r="K50">
            <v>79070.704080460331</v>
          </cell>
          <cell r="N50">
            <v>-62453647.342350967</v>
          </cell>
          <cell r="O50">
            <v>-42652807.472076043</v>
          </cell>
          <cell r="Q50">
            <v>-61865739.405652247</v>
          </cell>
          <cell r="R50">
            <v>0</v>
          </cell>
          <cell r="T50">
            <v>-10141898.48456043</v>
          </cell>
          <cell r="U50">
            <v>-31688003.43408788</v>
          </cell>
          <cell r="V50">
            <v>-15322392.291627871</v>
          </cell>
          <cell r="W50">
            <v>-1789094.4451420731</v>
          </cell>
          <cell r="X50">
            <v>-8858984.7613919023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-19597.460327859608</v>
          </cell>
          <cell r="E51">
            <v>-19597.460327859608</v>
          </cell>
          <cell r="F51">
            <v>0</v>
          </cell>
          <cell r="G51">
            <v>-9595.9187344287693</v>
          </cell>
          <cell r="H51">
            <v>-3986.2360174878281</v>
          </cell>
          <cell r="I51">
            <v>-6015.3055759430117</v>
          </cell>
          <cell r="J51">
            <v>0</v>
          </cell>
          <cell r="K51">
            <v>0</v>
          </cell>
          <cell r="N51">
            <v>-5701.8393934414453</v>
          </cell>
          <cell r="O51">
            <v>-3894.0793409873231</v>
          </cell>
          <cell r="Q51">
            <v>-3986.2360174878281</v>
          </cell>
          <cell r="R51">
            <v>0</v>
          </cell>
          <cell r="T51">
            <v>-898.79653552181117</v>
          </cell>
          <cell r="U51">
            <v>-2817.4335410156305</v>
          </cell>
          <cell r="V51">
            <v>-1356.1470561889655</v>
          </cell>
          <cell r="W51">
            <v>-158.90477264883341</v>
          </cell>
          <cell r="X51">
            <v>-784.02367056777143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-2479813.3255259153</v>
          </cell>
          <cell r="E52">
            <v>-2479813.3255259153</v>
          </cell>
          <cell r="F52">
            <v>0</v>
          </cell>
          <cell r="G52">
            <v>0</v>
          </cell>
          <cell r="H52">
            <v>0</v>
          </cell>
          <cell r="I52">
            <v>-2479813.3255259153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-370529.40995006735</v>
          </cell>
          <cell r="U52">
            <v>-1161488.6643059573</v>
          </cell>
          <cell r="V52">
            <v>-559072.43594735034</v>
          </cell>
          <cell r="W52">
            <v>-65508.587673447961</v>
          </cell>
          <cell r="X52">
            <v>-323214.22764909244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-2829106.1541666668</v>
          </cell>
          <cell r="E53">
            <v>-2829106.1541666668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-2829106.1541666668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-51955666.231506482</v>
          </cell>
          <cell r="E54">
            <v>-51955666.231506482</v>
          </cell>
          <cell r="F54">
            <v>0</v>
          </cell>
          <cell r="G54">
            <v>-51955666.231506482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N54">
            <v>-30871756.277845763</v>
          </cell>
          <cell r="O54">
            <v>-21083909.953660723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-1119668627.1505156</v>
          </cell>
          <cell r="E55">
            <v>-1119668627.1505156</v>
          </cell>
          <cell r="F55">
            <v>0</v>
          </cell>
          <cell r="G55">
            <v>-496687211.53554201</v>
          </cell>
          <cell r="H55">
            <v>-239892775.55779514</v>
          </cell>
          <cell r="I55">
            <v>-368126618.22161424</v>
          </cell>
          <cell r="J55">
            <v>-15041092.539644599</v>
          </cell>
          <cell r="K55">
            <v>79070.704080460331</v>
          </cell>
          <cell r="N55">
            <v>-295128667.43973362</v>
          </cell>
          <cell r="O55">
            <v>-201558544.09580839</v>
          </cell>
          <cell r="Q55">
            <v>-239892775.55779514</v>
          </cell>
          <cell r="R55">
            <v>0</v>
          </cell>
          <cell r="T55">
            <v>-40486229.72993321</v>
          </cell>
          <cell r="U55">
            <v>-188410283.52224475</v>
          </cell>
          <cell r="V55">
            <v>-86512166.967417523</v>
          </cell>
          <cell r="W55">
            <v>-8569844.6037955936</v>
          </cell>
          <cell r="X55">
            <v>-44148093.398223132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1087071739.4254827</v>
          </cell>
          <cell r="E57">
            <v>1087071739.4254827</v>
          </cell>
          <cell r="F57">
            <v>0</v>
          </cell>
          <cell r="G57">
            <v>440097246.00205076</v>
          </cell>
          <cell r="H57">
            <v>394253874.88004029</v>
          </cell>
          <cell r="I57">
            <v>231040173.57934415</v>
          </cell>
          <cell r="J57">
            <v>-1863223.3361631483</v>
          </cell>
          <cell r="K57">
            <v>23543668.300211132</v>
          </cell>
          <cell r="N57">
            <v>261503237.3290478</v>
          </cell>
          <cell r="O57">
            <v>178594008.67300284</v>
          </cell>
          <cell r="Q57">
            <v>394253874.88004029</v>
          </cell>
          <cell r="R57">
            <v>0</v>
          </cell>
          <cell r="T57">
            <v>50265978.151007749</v>
          </cell>
          <cell r="U57">
            <v>96068243.374325931</v>
          </cell>
          <cell r="V57">
            <v>45580156.48408775</v>
          </cell>
          <cell r="W57">
            <v>6907902.0984712262</v>
          </cell>
          <cell r="X57">
            <v>32217893.471451536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7.1839213594582146E-2</v>
          </cell>
          <cell r="E59">
            <v>7.1839213523092416E-2</v>
          </cell>
          <cell r="G59">
            <v>7.1839213523092332E-2</v>
          </cell>
          <cell r="H59">
            <v>7.1839213523092416E-2</v>
          </cell>
          <cell r="I59">
            <v>7.1839213523092429E-2</v>
          </cell>
          <cell r="J59">
            <v>7.1839213523092346E-2</v>
          </cell>
          <cell r="K59">
            <v>7.1839213523092388E-2</v>
          </cell>
        </row>
        <row r="61">
          <cell r="A61" t="str">
            <v>Return On Equity</v>
          </cell>
          <cell r="D61">
            <v>9.5300923817886227E-2</v>
          </cell>
          <cell r="E61">
            <v>9.5300923672285973E-2</v>
          </cell>
          <cell r="G61">
            <v>9.5300923672285792E-2</v>
          </cell>
          <cell r="H61">
            <v>9.5300923672285973E-2</v>
          </cell>
          <cell r="I61">
            <v>9.5300923672286E-2</v>
          </cell>
          <cell r="J61">
            <v>9.530092367228582E-2</v>
          </cell>
          <cell r="K61">
            <v>9.5300923672285917E-2</v>
          </cell>
        </row>
        <row r="65">
          <cell r="A65" t="str">
            <v>Total Rate Base</v>
          </cell>
          <cell r="D65">
            <v>1087071739.4254832</v>
          </cell>
          <cell r="E65">
            <v>1087071739.4254827</v>
          </cell>
          <cell r="F65">
            <v>0</v>
          </cell>
          <cell r="G65">
            <v>440097246.00205076</v>
          </cell>
          <cell r="H65">
            <v>394253874.88004029</v>
          </cell>
          <cell r="I65">
            <v>231040173.57934415</v>
          </cell>
          <cell r="J65">
            <v>-1863223.3361631483</v>
          </cell>
          <cell r="K65">
            <v>23543668.300211132</v>
          </cell>
          <cell r="N65">
            <v>261503237.3290478</v>
          </cell>
          <cell r="O65">
            <v>178594008.67300284</v>
          </cell>
          <cell r="Q65">
            <v>394253874.88004029</v>
          </cell>
          <cell r="R65">
            <v>0</v>
          </cell>
          <cell r="T65">
            <v>50265978.151007749</v>
          </cell>
          <cell r="U65">
            <v>96068243.374325931</v>
          </cell>
          <cell r="V65">
            <v>45580156.48408775</v>
          </cell>
          <cell r="W65">
            <v>6907902.0984712262</v>
          </cell>
          <cell r="X65">
            <v>32217893.471451536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78094378.881221235</v>
          </cell>
          <cell r="E67">
            <v>78094378.803506732</v>
          </cell>
          <cell r="F67">
            <v>0</v>
          </cell>
          <cell r="G67">
            <v>31616240.057928689</v>
          </cell>
          <cell r="H67">
            <v>28322888.32799888</v>
          </cell>
          <cell r="I67">
            <v>16597744.37869584</v>
          </cell>
          <cell r="J67">
            <v>-133852.49922103435</v>
          </cell>
          <cell r="K67">
            <v>1691358.6158188602</v>
          </cell>
          <cell r="N67">
            <v>18786186.922156174</v>
          </cell>
          <cell r="O67">
            <v>12830053.135772508</v>
          </cell>
          <cell r="Q67">
            <v>28322888.32799888</v>
          </cell>
          <cell r="R67">
            <v>0</v>
          </cell>
          <cell r="T67">
            <v>3611068.3409308451</v>
          </cell>
          <cell r="U67">
            <v>6901467.0554245012</v>
          </cell>
          <cell r="V67">
            <v>3274442.5973348585</v>
          </cell>
          <cell r="W67">
            <v>496258.25434253667</v>
          </cell>
          <cell r="X67">
            <v>2314508.1306631006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167580764.75903341</v>
          </cell>
          <cell r="E68">
            <v>167580764.75903341</v>
          </cell>
          <cell r="F68">
            <v>0</v>
          </cell>
          <cell r="G68">
            <v>122203933.25547305</v>
          </cell>
          <cell r="H68">
            <v>16190075.964635935</v>
          </cell>
          <cell r="I68">
            <v>12374940.184378542</v>
          </cell>
          <cell r="J68">
            <v>8133723.6677266881</v>
          </cell>
          <cell r="K68">
            <v>8678091.6868191902</v>
          </cell>
          <cell r="N68">
            <v>15478048.012142694</v>
          </cell>
          <cell r="O68">
            <v>106725885.24333036</v>
          </cell>
          <cell r="Q68">
            <v>16190074.62429798</v>
          </cell>
          <cell r="R68">
            <v>1.3403379539612539</v>
          </cell>
          <cell r="T68">
            <v>1819571.6581168014</v>
          </cell>
          <cell r="U68">
            <v>9704447.7605598196</v>
          </cell>
          <cell r="V68">
            <v>329544.33832377516</v>
          </cell>
          <cell r="W68">
            <v>366526.96669084427</v>
          </cell>
          <cell r="X68">
            <v>154849.46068730444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117309607.36845624</v>
          </cell>
          <cell r="E70">
            <v>117309607.36845624</v>
          </cell>
          <cell r="F70">
            <v>0</v>
          </cell>
          <cell r="G70">
            <v>89633950.117474645</v>
          </cell>
          <cell r="H70">
            <v>12969504.15561736</v>
          </cell>
          <cell r="I70">
            <v>14647473.029918291</v>
          </cell>
          <cell r="J70">
            <v>58680.065445934095</v>
          </cell>
          <cell r="K70">
            <v>0</v>
          </cell>
          <cell r="N70">
            <v>53259974.569804043</v>
          </cell>
          <cell r="O70">
            <v>36373975.547670603</v>
          </cell>
          <cell r="Q70">
            <v>12969504.15561736</v>
          </cell>
          <cell r="R70">
            <v>0</v>
          </cell>
          <cell r="T70">
            <v>1858633.5750800425</v>
          </cell>
          <cell r="U70">
            <v>7452976.3946013199</v>
          </cell>
          <cell r="V70">
            <v>3122039.9191899551</v>
          </cell>
          <cell r="W70">
            <v>519474.99369660555</v>
          </cell>
          <cell r="X70">
            <v>1694348.1473503669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7134745.3027785588</v>
          </cell>
          <cell r="E71">
            <v>7134745.3027785597</v>
          </cell>
          <cell r="F71">
            <v>0</v>
          </cell>
          <cell r="G71">
            <v>5292142.1995697077</v>
          </cell>
          <cell r="H71">
            <v>259488.69823683376</v>
          </cell>
          <cell r="I71">
            <v>844410.58835739177</v>
          </cell>
          <cell r="J71">
            <v>738703.81661462539</v>
          </cell>
          <cell r="K71">
            <v>0</v>
          </cell>
          <cell r="N71">
            <v>3144560.2765410133</v>
          </cell>
          <cell r="O71">
            <v>2147581.9230286949</v>
          </cell>
          <cell r="Q71">
            <v>259488.69823683376</v>
          </cell>
          <cell r="R71">
            <v>0</v>
          </cell>
          <cell r="T71">
            <v>126170.36687360272</v>
          </cell>
          <cell r="U71">
            <v>395502.88576219074</v>
          </cell>
          <cell r="V71">
            <v>190371.86376623038</v>
          </cell>
          <cell r="W71">
            <v>22306.576261367009</v>
          </cell>
          <cell r="X71">
            <v>110058.89569400085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24634547.458652236</v>
          </cell>
          <cell r="E72">
            <v>24634547.458652232</v>
          </cell>
          <cell r="F72">
            <v>0</v>
          </cell>
          <cell r="G72">
            <v>11752339.365306379</v>
          </cell>
          <cell r="H72">
            <v>6057423.7619394055</v>
          </cell>
          <cell r="I72">
            <v>6657881.0771539444</v>
          </cell>
          <cell r="J72">
            <v>166903.25425250729</v>
          </cell>
          <cell r="K72">
            <v>0</v>
          </cell>
          <cell r="N72">
            <v>6983172.0560298748</v>
          </cell>
          <cell r="O72">
            <v>4769167.3092765044</v>
          </cell>
          <cell r="Q72">
            <v>6057423.7619394055</v>
          </cell>
          <cell r="R72">
            <v>0</v>
          </cell>
          <cell r="T72">
            <v>994809.05342436791</v>
          </cell>
          <cell r="U72">
            <v>3118401.4215148343</v>
          </cell>
          <cell r="V72">
            <v>1501015.3198780869</v>
          </cell>
          <cell r="W72">
            <v>175879.52358052257</v>
          </cell>
          <cell r="X72">
            <v>867775.75875613268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3728126.5134482095</v>
          </cell>
          <cell r="E73">
            <v>3728126.5128746256</v>
          </cell>
          <cell r="F73">
            <v>0</v>
          </cell>
          <cell r="G73">
            <v>1239288.7365859114</v>
          </cell>
          <cell r="H73">
            <v>2770844.34656577</v>
          </cell>
          <cell r="I73">
            <v>-511552.43589132646</v>
          </cell>
          <cell r="J73">
            <v>-212791.40613077395</v>
          </cell>
          <cell r="K73">
            <v>442337.2723186285</v>
          </cell>
          <cell r="N73">
            <v>736378.19719765161</v>
          </cell>
          <cell r="O73">
            <v>502910.5393882597</v>
          </cell>
          <cell r="Q73">
            <v>2770844.34656577</v>
          </cell>
          <cell r="R73">
            <v>0</v>
          </cell>
          <cell r="T73">
            <v>-111295.29192799701</v>
          </cell>
          <cell r="U73">
            <v>-212707.3536544939</v>
          </cell>
          <cell r="V73">
            <v>-100920.28462632491</v>
          </cell>
          <cell r="W73">
            <v>-15294.977019042944</v>
          </cell>
          <cell r="X73">
            <v>-71334.528663467776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-15956248.941915479</v>
          </cell>
          <cell r="E77">
            <v>-15956248.94191549</v>
          </cell>
          <cell r="F77">
            <v>0</v>
          </cell>
          <cell r="G77">
            <v>-12936263.858734097</v>
          </cell>
          <cell r="H77">
            <v>501539.11156033166</v>
          </cell>
          <cell r="I77">
            <v>-3493103.3342525028</v>
          </cell>
          <cell r="J77">
            <v>-29686.935832945397</v>
          </cell>
          <cell r="K77">
            <v>1266.0753437296121</v>
          </cell>
          <cell r="N77">
            <v>-7686653.140260648</v>
          </cell>
          <cell r="O77">
            <v>-5249610.7184734447</v>
          </cell>
          <cell r="Q77">
            <v>501539.11156033166</v>
          </cell>
          <cell r="R77">
            <v>0</v>
          </cell>
          <cell r="T77">
            <v>-522114.12872791663</v>
          </cell>
          <cell r="U77">
            <v>-1634999.4389961418</v>
          </cell>
          <cell r="V77">
            <v>-788107.92056449654</v>
          </cell>
          <cell r="W77">
            <v>-92244.856480781586</v>
          </cell>
          <cell r="X77">
            <v>-455636.98948316474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65435.101564292774</v>
          </cell>
          <cell r="E79">
            <v>65435.101564292789</v>
          </cell>
          <cell r="F79">
            <v>0</v>
          </cell>
          <cell r="G79">
            <v>5947.1563946623028</v>
          </cell>
          <cell r="H79">
            <v>81.005833750026895</v>
          </cell>
          <cell r="I79">
            <v>-1012.6606641195482</v>
          </cell>
          <cell r="J79">
            <v>60419.600000000006</v>
          </cell>
          <cell r="K79">
            <v>0</v>
          </cell>
          <cell r="N79">
            <v>3533.7659215870081</v>
          </cell>
          <cell r="O79">
            <v>2413.3904730752947</v>
          </cell>
          <cell r="Q79">
            <v>81.005833750026895</v>
          </cell>
          <cell r="R79">
            <v>0</v>
          </cell>
          <cell r="T79">
            <v>-151.31000164146761</v>
          </cell>
          <cell r="U79">
            <v>-474.3074287311332</v>
          </cell>
          <cell r="V79">
            <v>-228.30374304779932</v>
          </cell>
          <cell r="W79">
            <v>-26.751195025883085</v>
          </cell>
          <cell r="X79">
            <v>-131.9882956732649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-34297556.288450368</v>
          </cell>
          <cell r="E80">
            <v>-34297556.548424058</v>
          </cell>
          <cell r="F80">
            <v>0</v>
          </cell>
          <cell r="G80">
            <v>-16124303.859160729</v>
          </cell>
          <cell r="H80">
            <v>-13079010.274923081</v>
          </cell>
          <cell r="I80">
            <v>-3724377.8542183926</v>
          </cell>
          <cell r="J80">
            <v>-878207.79803502234</v>
          </cell>
          <cell r="K80">
            <v>-491656.76211314241</v>
          </cell>
          <cell r="N80">
            <v>-8291783.5474166404</v>
          </cell>
          <cell r="O80">
            <v>-7832520.3117440883</v>
          </cell>
          <cell r="Q80">
            <v>-13079010.274923081</v>
          </cell>
          <cell r="R80">
            <v>0</v>
          </cell>
          <cell r="T80">
            <v>-753378.12772231316</v>
          </cell>
          <cell r="U80">
            <v>-1592528.0715785895</v>
          </cell>
          <cell r="V80">
            <v>-758277.80252844095</v>
          </cell>
          <cell r="W80">
            <v>-108447.36843317215</v>
          </cell>
          <cell r="X80">
            <v>-511746.48395587696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348293800.15478837</v>
          </cell>
          <cell r="E82">
            <v>348293799.81652653</v>
          </cell>
          <cell r="F82">
            <v>0</v>
          </cell>
          <cell r="G82">
            <v>232683273.17083821</v>
          </cell>
          <cell r="H82">
            <v>53992835.09746518</v>
          </cell>
          <cell r="I82">
            <v>43392402.973477669</v>
          </cell>
          <cell r="J82">
            <v>7903891.7648199778</v>
          </cell>
          <cell r="K82">
            <v>10321396.888187265</v>
          </cell>
          <cell r="N82">
            <v>82413417.112115741</v>
          </cell>
          <cell r="O82">
            <v>150269856.0587225</v>
          </cell>
          <cell r="Q82">
            <v>53992833.757127233</v>
          </cell>
          <cell r="R82">
            <v>1.3403379539612539</v>
          </cell>
          <cell r="T82">
            <v>7023314.1360457912</v>
          </cell>
          <cell r="U82">
            <v>24132086.346204709</v>
          </cell>
          <cell r="V82">
            <v>6769879.7270305967</v>
          </cell>
          <cell r="W82">
            <v>1364432.3614438535</v>
          </cell>
          <cell r="X82">
            <v>4102690.4027527226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348293800.15478849</v>
          </cell>
        </row>
        <row r="88">
          <cell r="A88" t="str">
            <v>12 Months Ending June 2019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WASHINGTON
JAM Total
</v>
          </cell>
          <cell r="G91" t="str">
            <v>Generation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Customer
Total
</v>
          </cell>
          <cell r="K91" t="str">
            <v xml:space="preserve">Common
Total
</v>
          </cell>
          <cell r="M91" t="str">
            <v xml:space="preserve">D / E
Total
</v>
          </cell>
          <cell r="N91" t="str">
            <v>Generation
Demand</v>
          </cell>
          <cell r="O91" t="str">
            <v>Generation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METER</v>
          </cell>
          <cell r="X91" t="str">
            <v>DIS
SERVICE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S92" t="str">
            <v>Option2</v>
          </cell>
          <cell r="AN92" t="str">
            <v>Check Total</v>
          </cell>
        </row>
        <row r="93"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4.6386654644202371E-8</v>
          </cell>
          <cell r="AJ93">
            <v>0</v>
          </cell>
          <cell r="AK93">
            <v>-4.0586411443224779E-9</v>
          </cell>
          <cell r="AL93">
            <v>-1.6365454492303995E-10</v>
          </cell>
          <cell r="AM93">
            <v>8.2717476680480437E-10</v>
          </cell>
          <cell r="AN93">
            <v>4.2991533721761663E-8</v>
          </cell>
        </row>
        <row r="94">
          <cell r="A94">
            <v>94</v>
          </cell>
          <cell r="D94" t="str">
            <v>S</v>
          </cell>
          <cell r="E94" t="str">
            <v>NONE</v>
          </cell>
          <cell r="F94">
            <v>157899167.6216839</v>
          </cell>
          <cell r="G94">
            <v>244097013.91941947</v>
          </cell>
          <cell r="H94">
            <v>57069673.26541917</v>
          </cell>
          <cell r="I94">
            <v>46281631.8450507</v>
          </cell>
          <cell r="J94">
            <v>8306759.7528403485</v>
          </cell>
          <cell r="K94">
            <v>10817432.388617277</v>
          </cell>
          <cell r="M94">
            <v>0.59419421435740905</v>
          </cell>
          <cell r="N94">
            <v>145041033.412839</v>
          </cell>
          <cell r="O94">
            <v>99055980.506580472</v>
          </cell>
          <cell r="P94">
            <v>1</v>
          </cell>
          <cell r="Q94">
            <v>57069673.26541917</v>
          </cell>
          <cell r="R94">
            <v>0</v>
          </cell>
          <cell r="S94" t="str">
            <v>DRB</v>
          </cell>
          <cell r="T94">
            <v>10069207.701306414</v>
          </cell>
          <cell r="U94">
            <v>19244250.915195774</v>
          </cell>
          <cell r="V94">
            <v>9130550.7139947414</v>
          </cell>
          <cell r="W94">
            <v>1383780.9104367883</v>
          </cell>
          <cell r="X94">
            <v>6453841.6041169902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244097013.91941953</v>
          </cell>
          <cell r="AJ94">
            <v>57069673.26541917</v>
          </cell>
          <cell r="AK94">
            <v>46281631.845050693</v>
          </cell>
          <cell r="AL94">
            <v>8306759.7528403485</v>
          </cell>
          <cell r="AM94">
            <v>10817432.388617277</v>
          </cell>
          <cell r="AN94">
            <v>366572511.17134702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157899167.6216839</v>
          </cell>
          <cell r="G96">
            <v>244097013.91941947</v>
          </cell>
          <cell r="H96">
            <v>57069673.26541917</v>
          </cell>
          <cell r="I96">
            <v>46281631.8450507</v>
          </cell>
          <cell r="J96">
            <v>8306759.7528403485</v>
          </cell>
          <cell r="K96">
            <v>10817432.388617277</v>
          </cell>
          <cell r="N96">
            <v>145041033.412839</v>
          </cell>
          <cell r="O96">
            <v>99055980.506580472</v>
          </cell>
          <cell r="Q96">
            <v>57069673.26541917</v>
          </cell>
          <cell r="R96">
            <v>0</v>
          </cell>
          <cell r="T96">
            <v>10069207.701306414</v>
          </cell>
          <cell r="U96">
            <v>19244250.915195774</v>
          </cell>
          <cell r="V96">
            <v>9130550.7139947414</v>
          </cell>
          <cell r="W96">
            <v>1383780.9104367883</v>
          </cell>
          <cell r="X96">
            <v>6453841.6041169902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E99" t="str">
            <v>NONE</v>
          </cell>
          <cell r="F99">
            <v>207318638.29031616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0.59419421435740905</v>
          </cell>
          <cell r="N99">
            <v>0</v>
          </cell>
          <cell r="O99">
            <v>0</v>
          </cell>
          <cell r="P99">
            <v>1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  <cell r="AB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0.59419421435740905</v>
          </cell>
          <cell r="N100">
            <v>0</v>
          </cell>
          <cell r="O100">
            <v>0</v>
          </cell>
          <cell r="P100">
            <v>1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0.59419421435740905</v>
          </cell>
          <cell r="N101">
            <v>0</v>
          </cell>
          <cell r="O101">
            <v>0</v>
          </cell>
          <cell r="P101">
            <v>1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207318638.29031616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T104" t="e">
            <v>#N/A</v>
          </cell>
          <cell r="U104" t="e">
            <v>#N/A</v>
          </cell>
          <cell r="V104" t="e">
            <v>#N/A</v>
          </cell>
          <cell r="W104" t="e">
            <v>#N/A</v>
          </cell>
          <cell r="X104" t="e">
            <v>#N/A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E105" t="str">
            <v>NONE</v>
          </cell>
          <cell r="F105">
            <v>1354705.2587733048</v>
          </cell>
          <cell r="M105">
            <v>0.59419421435740905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0</v>
          </cell>
          <cell r="S105" t="str">
            <v>DRB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1354705.2587733048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T108" t="e">
            <v>#N/A</v>
          </cell>
          <cell r="U108" t="e">
            <v>#N/A</v>
          </cell>
          <cell r="V108" t="e">
            <v>#N/A</v>
          </cell>
          <cell r="W108" t="e">
            <v>#N/A</v>
          </cell>
          <cell r="X108" t="e">
            <v>#N/A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E109" t="str">
            <v>NONE</v>
          </cell>
          <cell r="F109">
            <v>0</v>
          </cell>
          <cell r="M109">
            <v>0.59419421435740905</v>
          </cell>
          <cell r="N109">
            <v>0</v>
          </cell>
          <cell r="O109">
            <v>0</v>
          </cell>
          <cell r="P109">
            <v>1</v>
          </cell>
          <cell r="Q109">
            <v>0</v>
          </cell>
          <cell r="R109">
            <v>0</v>
          </cell>
          <cell r="S109" t="str">
            <v>DRB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0.59419421435740905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0.59419421435740905</v>
          </cell>
          <cell r="N115">
            <v>0</v>
          </cell>
          <cell r="O115">
            <v>0</v>
          </cell>
          <cell r="P115">
            <v>1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366572511.17077339</v>
          </cell>
          <cell r="G118">
            <v>244097013.91941947</v>
          </cell>
          <cell r="H118">
            <v>57069673.26541917</v>
          </cell>
          <cell r="I118">
            <v>46281631.8450507</v>
          </cell>
          <cell r="J118">
            <v>8306759.7528403485</v>
          </cell>
          <cell r="K118">
            <v>10817432.388617277</v>
          </cell>
          <cell r="N118">
            <v>145041033.412839</v>
          </cell>
          <cell r="O118">
            <v>99055980.506580472</v>
          </cell>
          <cell r="P118">
            <v>1</v>
          </cell>
          <cell r="Q118">
            <v>57069673.26541917</v>
          </cell>
          <cell r="R118">
            <v>0</v>
          </cell>
          <cell r="T118">
            <v>10069207.701306414</v>
          </cell>
          <cell r="U118">
            <v>19244250.915195774</v>
          </cell>
          <cell r="V118">
            <v>9130550.7139947414</v>
          </cell>
          <cell r="W118">
            <v>1383780.9104367883</v>
          </cell>
          <cell r="X118">
            <v>6453841.6041169902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AD120" t="str">
            <v>Total Sales to Ultimate Customers</v>
          </cell>
          <cell r="AE120" t="str">
            <v>NA</v>
          </cell>
          <cell r="AF120" t="str">
            <v>Total Sales to Ultimate Customers.NA2</v>
          </cell>
        </row>
        <row r="121">
          <cell r="A121">
            <v>121</v>
          </cell>
          <cell r="B121">
            <v>447</v>
          </cell>
          <cell r="C121" t="str">
            <v>Sales for Resale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447</v>
          </cell>
          <cell r="AE121" t="str">
            <v>NA</v>
          </cell>
          <cell r="AF121" t="str">
            <v>447.NA</v>
          </cell>
        </row>
        <row r="122">
          <cell r="A122">
            <v>122</v>
          </cell>
          <cell r="AD122">
            <v>447</v>
          </cell>
          <cell r="AE122" t="str">
            <v>NA</v>
          </cell>
          <cell r="AF122" t="str">
            <v>447.NA1</v>
          </cell>
        </row>
        <row r="123">
          <cell r="A123">
            <v>123</v>
          </cell>
          <cell r="B123" t="str">
            <v>447NPC</v>
          </cell>
          <cell r="C123" t="str">
            <v>Sales for Resale - NPC</v>
          </cell>
          <cell r="AD123" t="str">
            <v>447NPC</v>
          </cell>
          <cell r="AE123" t="str">
            <v>NA</v>
          </cell>
          <cell r="AF123" t="str">
            <v>447NPC.NA</v>
          </cell>
        </row>
        <row r="124">
          <cell r="A124">
            <v>124</v>
          </cell>
          <cell r="D124" t="str">
            <v>S</v>
          </cell>
          <cell r="E124" t="str">
            <v>P</v>
          </cell>
          <cell r="F124">
            <v>-14476811.784625905</v>
          </cell>
          <cell r="G124">
            <v>-14476811.784625905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-14476811.784625905</v>
          </cell>
          <cell r="P124">
            <v>1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</v>
          </cell>
          <cell r="AF124" t="str">
            <v>447NPC.S</v>
          </cell>
        </row>
        <row r="125">
          <cell r="A125">
            <v>125</v>
          </cell>
          <cell r="D125" t="str">
            <v>SG</v>
          </cell>
          <cell r="E125" t="str">
            <v>P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</v>
          </cell>
          <cell r="Q125">
            <v>0</v>
          </cell>
          <cell r="R125">
            <v>0</v>
          </cell>
          <cell r="S125" t="str">
            <v>DRB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SG</v>
          </cell>
          <cell r="AF125" t="str">
            <v>447NPC.SG</v>
          </cell>
        </row>
        <row r="126">
          <cell r="A126">
            <v>126</v>
          </cell>
          <cell r="D126" t="str">
            <v>SE</v>
          </cell>
          <cell r="E126" t="str">
            <v>P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</v>
          </cell>
          <cell r="Q126">
            <v>0</v>
          </cell>
          <cell r="R126">
            <v>0</v>
          </cell>
          <cell r="S126" t="str">
            <v>DRB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 t="str">
            <v>447NPC</v>
          </cell>
          <cell r="AE126" t="str">
            <v>SE</v>
          </cell>
          <cell r="AF126" t="str">
            <v>447NPC.SE</v>
          </cell>
        </row>
        <row r="127">
          <cell r="A127">
            <v>127</v>
          </cell>
          <cell r="D127" t="str">
            <v>CAEW</v>
          </cell>
          <cell r="E127" t="str">
            <v>P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</v>
          </cell>
          <cell r="Q127">
            <v>0</v>
          </cell>
          <cell r="R127">
            <v>0</v>
          </cell>
          <cell r="S127" t="str">
            <v>DRB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D127" t="str">
            <v>447NPC</v>
          </cell>
          <cell r="AE127" t="str">
            <v>CAEW</v>
          </cell>
          <cell r="AF127" t="str">
            <v>447NPC.CAEW</v>
          </cell>
        </row>
        <row r="128">
          <cell r="A128">
            <v>128</v>
          </cell>
          <cell r="D128" t="str">
            <v>CAGW</v>
          </cell>
          <cell r="E128" t="str">
            <v>P</v>
          </cell>
          <cell r="F128">
            <v>16646446.703794034</v>
          </cell>
          <cell r="G128">
            <v>16646446.703794034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16646446.703794034</v>
          </cell>
          <cell r="P128">
            <v>1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 t="str">
            <v>447NPC</v>
          </cell>
          <cell r="AE128" t="str">
            <v>CAGW</v>
          </cell>
          <cell r="AF128" t="str">
            <v>447NPC.CAGW</v>
          </cell>
        </row>
        <row r="129">
          <cell r="A129">
            <v>129</v>
          </cell>
          <cell r="D129" t="str">
            <v>DGP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 t="str">
            <v>447NPC</v>
          </cell>
          <cell r="AE129" t="str">
            <v>DGP</v>
          </cell>
          <cell r="AF129" t="str">
            <v>447NPC.DGP</v>
          </cell>
        </row>
        <row r="130">
          <cell r="A130">
            <v>130</v>
          </cell>
          <cell r="F130">
            <v>2169634.9191681296</v>
          </cell>
          <cell r="G130">
            <v>2169634.9191681296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0</v>
          </cell>
          <cell r="O130">
            <v>2169634.9191681296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 t="str">
            <v>447NPC</v>
          </cell>
          <cell r="AE130" t="str">
            <v>NA</v>
          </cell>
          <cell r="AF130" t="str">
            <v>447NPC.NA1</v>
          </cell>
        </row>
        <row r="131">
          <cell r="A131">
            <v>131</v>
          </cell>
          <cell r="AD131" t="str">
            <v>447NPC</v>
          </cell>
          <cell r="AE131" t="str">
            <v>NA</v>
          </cell>
          <cell r="AF131" t="str">
            <v>447NPC.NA2</v>
          </cell>
        </row>
        <row r="132">
          <cell r="A132">
            <v>132</v>
          </cell>
          <cell r="B132">
            <v>449</v>
          </cell>
          <cell r="C132" t="str">
            <v>Provision for Rate Refund</v>
          </cell>
          <cell r="AD132">
            <v>449</v>
          </cell>
          <cell r="AE132" t="str">
            <v>NA</v>
          </cell>
          <cell r="AF132" t="str">
            <v>449.NA</v>
          </cell>
        </row>
        <row r="133">
          <cell r="A133">
            <v>133</v>
          </cell>
          <cell r="D133" t="str">
            <v>S</v>
          </cell>
          <cell r="E133" t="str">
            <v>P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0.59419421435740905</v>
          </cell>
          <cell r="N133">
            <v>0</v>
          </cell>
          <cell r="O133">
            <v>0</v>
          </cell>
          <cell r="P133">
            <v>1</v>
          </cell>
          <cell r="Q133">
            <v>0</v>
          </cell>
          <cell r="R133">
            <v>0</v>
          </cell>
          <cell r="S133" t="str">
            <v>DRB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S</v>
          </cell>
          <cell r="AF133" t="str">
            <v>449.S</v>
          </cell>
        </row>
        <row r="134">
          <cell r="A134">
            <v>134</v>
          </cell>
          <cell r="D134" t="str">
            <v>SG</v>
          </cell>
          <cell r="E134" t="str">
            <v>P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0.59419421435740905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0</v>
          </cell>
          <cell r="S134" t="str">
            <v>DRB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449</v>
          </cell>
          <cell r="AE134" t="str">
            <v>SG</v>
          </cell>
          <cell r="AF134" t="str">
            <v>449.SG</v>
          </cell>
        </row>
        <row r="135">
          <cell r="A135">
            <v>135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449</v>
          </cell>
          <cell r="AE135" t="str">
            <v>NA</v>
          </cell>
          <cell r="AF135" t="str">
            <v>449.NA1</v>
          </cell>
        </row>
        <row r="136">
          <cell r="A136">
            <v>136</v>
          </cell>
          <cell r="B136" t="str">
            <v xml:space="preserve"> </v>
          </cell>
          <cell r="C136" t="str">
            <v>State Revenue Credit</v>
          </cell>
          <cell r="E136" t="str">
            <v>REVREQ</v>
          </cell>
          <cell r="F136">
            <v>17550906.684246823</v>
          </cell>
          <cell r="G136">
            <v>11413740.780043704</v>
          </cell>
          <cell r="H136">
            <v>3076838.1961390954</v>
          </cell>
          <cell r="I136">
            <v>2161424.2180900243</v>
          </cell>
          <cell r="J136">
            <v>402867.98788716964</v>
          </cell>
          <cell r="K136">
            <v>496035.5021131424</v>
          </cell>
          <cell r="M136">
            <v>0.59419421435740905</v>
          </cell>
          <cell r="N136">
            <v>6781978.7356771901</v>
          </cell>
          <cell r="O136">
            <v>4631762.0443665143</v>
          </cell>
          <cell r="P136">
            <v>1</v>
          </cell>
          <cell r="Q136">
            <v>3076838.1961390954</v>
          </cell>
          <cell r="R136">
            <v>0</v>
          </cell>
          <cell r="S136" t="str">
            <v>DRB</v>
          </cell>
          <cell r="T136">
            <v>470247.66662175645</v>
          </cell>
          <cell r="U136">
            <v>898736.46042481484</v>
          </cell>
          <cell r="V136">
            <v>426410.92483081564</v>
          </cell>
          <cell r="W136">
            <v>64624.721582036967</v>
          </cell>
          <cell r="X136">
            <v>301404.4446306008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449</v>
          </cell>
          <cell r="AE136" t="str">
            <v>NA</v>
          </cell>
          <cell r="AF136" t="str">
            <v>449.NA2</v>
          </cell>
        </row>
        <row r="137">
          <cell r="A137">
            <v>137</v>
          </cell>
          <cell r="C137" t="str">
            <v>AGA Revenue Credit</v>
          </cell>
          <cell r="E137" t="str">
            <v>DPW</v>
          </cell>
          <cell r="F137">
            <v>727804.67</v>
          </cell>
          <cell r="G137">
            <v>0</v>
          </cell>
          <cell r="H137">
            <v>0</v>
          </cell>
          <cell r="I137">
            <v>727804.67</v>
          </cell>
          <cell r="J137">
            <v>0</v>
          </cell>
          <cell r="K137">
            <v>0</v>
          </cell>
          <cell r="M137">
            <v>0.59419421435740905</v>
          </cell>
          <cell r="N137">
            <v>0</v>
          </cell>
          <cell r="O137">
            <v>0</v>
          </cell>
          <cell r="P137">
            <v>1</v>
          </cell>
          <cell r="Q137">
            <v>0</v>
          </cell>
          <cell r="R137">
            <v>0</v>
          </cell>
          <cell r="S137" t="str">
            <v>DRB</v>
          </cell>
          <cell r="T137">
            <v>158343.94977139222</v>
          </cell>
          <cell r="U137">
            <v>302626.66047781217</v>
          </cell>
          <cell r="V137">
            <v>143583.04114179246</v>
          </cell>
          <cell r="W137">
            <v>21760.732470379538</v>
          </cell>
          <cell r="X137">
            <v>101490.28613862376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449</v>
          </cell>
          <cell r="AE137" t="str">
            <v>NA</v>
          </cell>
          <cell r="AF137" t="str">
            <v>449.NA3</v>
          </cell>
        </row>
        <row r="138">
          <cell r="A138">
            <v>138</v>
          </cell>
          <cell r="AD138">
            <v>449</v>
          </cell>
          <cell r="AE138" t="str">
            <v>NA</v>
          </cell>
          <cell r="AF138" t="str">
            <v>449.NA4</v>
          </cell>
        </row>
        <row r="139">
          <cell r="A139">
            <v>139</v>
          </cell>
          <cell r="B139" t="str">
            <v>Total Sales from Electricity</v>
          </cell>
          <cell r="F139">
            <v>387020857.44418836</v>
          </cell>
          <cell r="G139">
            <v>257680389.61863127</v>
          </cell>
          <cell r="H139">
            <v>60146511.461558267</v>
          </cell>
          <cell r="I139">
            <v>49170860.733140729</v>
          </cell>
          <cell r="J139">
            <v>8709627.7407275178</v>
          </cell>
          <cell r="K139">
            <v>11313467.89073042</v>
          </cell>
          <cell r="N139">
            <v>151823012.14851618</v>
          </cell>
          <cell r="O139">
            <v>105857377.47011511</v>
          </cell>
          <cell r="Q139">
            <v>60146511.461558267</v>
          </cell>
          <cell r="R139">
            <v>0</v>
          </cell>
          <cell r="T139">
            <v>10697799.317699563</v>
          </cell>
          <cell r="U139">
            <v>20445614.036098402</v>
          </cell>
          <cell r="V139">
            <v>9700544.6799673494</v>
          </cell>
          <cell r="W139">
            <v>1470166.3644892047</v>
          </cell>
          <cell r="X139">
            <v>6856736.3348862147</v>
          </cell>
          <cell r="Z139">
            <v>0</v>
          </cell>
          <cell r="AA139">
            <v>0</v>
          </cell>
          <cell r="AB139">
            <v>0</v>
          </cell>
          <cell r="AD139" t="str">
            <v>Total Sales from Electricity</v>
          </cell>
          <cell r="AE139" t="str">
            <v>NA</v>
          </cell>
          <cell r="AF139" t="str">
            <v>Total Sales from Electricity.NA</v>
          </cell>
        </row>
        <row r="140">
          <cell r="A140">
            <v>140</v>
          </cell>
          <cell r="AD140" t="str">
            <v>Total Sales from Electricity</v>
          </cell>
          <cell r="AE140" t="str">
            <v>NA</v>
          </cell>
          <cell r="AF140" t="str">
            <v>Total Sales from Electricity.NA1</v>
          </cell>
        </row>
        <row r="141">
          <cell r="A141">
            <v>141</v>
          </cell>
          <cell r="B141" t="str">
            <v>Other Electric Operating Revenues</v>
          </cell>
          <cell r="AD141" t="str">
            <v>Other Electric Operating Revenues</v>
          </cell>
          <cell r="AE141" t="str">
            <v>NA</v>
          </cell>
          <cell r="AF141" t="str">
            <v>Other Electric Operating Revenues.NA</v>
          </cell>
        </row>
        <row r="142">
          <cell r="A142">
            <v>142</v>
          </cell>
          <cell r="B142">
            <v>450</v>
          </cell>
          <cell r="C142" t="str">
            <v>Forfeited Discounts &amp; Interest</v>
          </cell>
          <cell r="AD142">
            <v>450</v>
          </cell>
          <cell r="AE142" t="str">
            <v>NA</v>
          </cell>
          <cell r="AF142" t="str">
            <v>450.NA</v>
          </cell>
        </row>
        <row r="143">
          <cell r="A143">
            <v>143</v>
          </cell>
          <cell r="D143" t="str">
            <v>S</v>
          </cell>
          <cell r="E143" t="str">
            <v>CUST</v>
          </cell>
          <cell r="F143">
            <v>742400.88</v>
          </cell>
          <cell r="G143">
            <v>0</v>
          </cell>
          <cell r="H143">
            <v>0</v>
          </cell>
          <cell r="I143">
            <v>0</v>
          </cell>
          <cell r="J143">
            <v>742400.88</v>
          </cell>
          <cell r="K143">
            <v>0</v>
          </cell>
          <cell r="M143">
            <v>0.59419421435740905</v>
          </cell>
          <cell r="N143">
            <v>0</v>
          </cell>
          <cell r="O143">
            <v>0</v>
          </cell>
          <cell r="P143">
            <v>1</v>
          </cell>
          <cell r="Q143">
            <v>0</v>
          </cell>
          <cell r="R143">
            <v>0</v>
          </cell>
          <cell r="S143" t="str">
            <v>CUST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450</v>
          </cell>
          <cell r="AE143" t="str">
            <v>S</v>
          </cell>
          <cell r="AF143" t="str">
            <v>450.S</v>
          </cell>
        </row>
        <row r="144">
          <cell r="A144">
            <v>144</v>
          </cell>
          <cell r="D144" t="str">
            <v>SO</v>
          </cell>
          <cell r="E144" t="str">
            <v>CUST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0.59419421435740905</v>
          </cell>
          <cell r="N144">
            <v>0</v>
          </cell>
          <cell r="O144">
            <v>0</v>
          </cell>
          <cell r="P144">
            <v>1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450</v>
          </cell>
          <cell r="AE144" t="str">
            <v>SO</v>
          </cell>
          <cell r="AF144" t="str">
            <v>450.SO</v>
          </cell>
        </row>
        <row r="145">
          <cell r="A145">
            <v>145</v>
          </cell>
          <cell r="F145">
            <v>742400.88</v>
          </cell>
          <cell r="G145">
            <v>0</v>
          </cell>
          <cell r="H145">
            <v>0</v>
          </cell>
          <cell r="I145">
            <v>0</v>
          </cell>
          <cell r="J145">
            <v>742400.88</v>
          </cell>
          <cell r="K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450</v>
          </cell>
          <cell r="AE145" t="str">
            <v>NA</v>
          </cell>
          <cell r="AF145" t="str">
            <v>450.NA1</v>
          </cell>
        </row>
        <row r="146">
          <cell r="A146">
            <v>146</v>
          </cell>
          <cell r="AD146">
            <v>450</v>
          </cell>
          <cell r="AE146" t="str">
            <v>NA</v>
          </cell>
          <cell r="AF146" t="str">
            <v>450.NA2</v>
          </cell>
        </row>
        <row r="147">
          <cell r="A147">
            <v>147</v>
          </cell>
          <cell r="B147">
            <v>451</v>
          </cell>
          <cell r="C147" t="str">
            <v>Misc Electric Revenue</v>
          </cell>
          <cell r="AD147">
            <v>451</v>
          </cell>
          <cell r="AE147" t="str">
            <v>NA</v>
          </cell>
          <cell r="AF147" t="str">
            <v>451.NA</v>
          </cell>
        </row>
        <row r="148">
          <cell r="A148">
            <v>148</v>
          </cell>
          <cell r="D148" t="str">
            <v>S</v>
          </cell>
          <cell r="E148" t="str">
            <v>CUST</v>
          </cell>
          <cell r="F148">
            <v>-267855.57158807386</v>
          </cell>
          <cell r="G148">
            <v>0</v>
          </cell>
          <cell r="H148">
            <v>0</v>
          </cell>
          <cell r="I148">
            <v>0</v>
          </cell>
          <cell r="J148">
            <v>-267855.57158807386</v>
          </cell>
          <cell r="K148">
            <v>0</v>
          </cell>
          <cell r="M148">
            <v>0.59419421435740905</v>
          </cell>
          <cell r="N148">
            <v>0</v>
          </cell>
          <cell r="O148">
            <v>0</v>
          </cell>
          <cell r="P148">
            <v>1</v>
          </cell>
          <cell r="Q148">
            <v>0</v>
          </cell>
          <cell r="R148">
            <v>0</v>
          </cell>
          <cell r="S148" t="str">
            <v>CUST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451</v>
          </cell>
          <cell r="AE148" t="str">
            <v>S</v>
          </cell>
          <cell r="AF148" t="str">
            <v>451.S</v>
          </cell>
        </row>
        <row r="149">
          <cell r="A149">
            <v>149</v>
          </cell>
          <cell r="D149" t="str">
            <v>SG</v>
          </cell>
          <cell r="E149" t="str">
            <v>GP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0.59419421435740905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 t="str">
            <v>PLNT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451</v>
          </cell>
          <cell r="AE149" t="str">
            <v>SG</v>
          </cell>
          <cell r="AF149" t="str">
            <v>451.SG</v>
          </cell>
        </row>
        <row r="150">
          <cell r="A150">
            <v>150</v>
          </cell>
          <cell r="D150" t="str">
            <v>SO</v>
          </cell>
          <cell r="E150" t="str">
            <v>GP</v>
          </cell>
          <cell r="F150">
            <v>2341.080980829036</v>
          </cell>
          <cell r="G150">
            <v>1106.331502685438</v>
          </cell>
          <cell r="H150">
            <v>580.599286609312</v>
          </cell>
          <cell r="I150">
            <v>638.15264634673372</v>
          </cell>
          <cell r="J150">
            <v>15.997545187552248</v>
          </cell>
          <cell r="K150">
            <v>0</v>
          </cell>
          <cell r="M150">
            <v>0.59419421435740905</v>
          </cell>
          <cell r="N150">
            <v>657.37577805702563</v>
          </cell>
          <cell r="O150">
            <v>448.95572462841238</v>
          </cell>
          <cell r="P150">
            <v>1</v>
          </cell>
          <cell r="Q150">
            <v>580.599286609312</v>
          </cell>
          <cell r="R150">
            <v>0</v>
          </cell>
          <cell r="S150" t="str">
            <v>PLNT</v>
          </cell>
          <cell r="T150">
            <v>95.35166259290196</v>
          </cell>
          <cell r="U150">
            <v>298.89631497620309</v>
          </cell>
          <cell r="V150">
            <v>143.87113369658675</v>
          </cell>
          <cell r="W150">
            <v>16.857913517898368</v>
          </cell>
          <cell r="X150">
            <v>83.175621563143523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451</v>
          </cell>
          <cell r="AE150" t="str">
            <v>SO</v>
          </cell>
          <cell r="AF150" t="str">
            <v>451.SO</v>
          </cell>
        </row>
        <row r="151">
          <cell r="A151">
            <v>151</v>
          </cell>
          <cell r="F151">
            <v>-265514.49060724484</v>
          </cell>
          <cell r="G151">
            <v>1106.331502685438</v>
          </cell>
          <cell r="H151">
            <v>580.599286609312</v>
          </cell>
          <cell r="I151">
            <v>638.15264634673372</v>
          </cell>
          <cell r="J151">
            <v>-267839.57404288632</v>
          </cell>
          <cell r="K151">
            <v>0</v>
          </cell>
          <cell r="N151">
            <v>657.37577805702563</v>
          </cell>
          <cell r="O151">
            <v>448.95572462841238</v>
          </cell>
          <cell r="Q151">
            <v>580.599286609312</v>
          </cell>
          <cell r="R151">
            <v>0</v>
          </cell>
          <cell r="T151">
            <v>95.35166259290196</v>
          </cell>
          <cell r="U151">
            <v>298.89631497620309</v>
          </cell>
          <cell r="V151">
            <v>143.87113369658675</v>
          </cell>
          <cell r="W151">
            <v>16.857913517898368</v>
          </cell>
          <cell r="X151">
            <v>83.175621563143523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451</v>
          </cell>
          <cell r="AE151" t="str">
            <v>NA</v>
          </cell>
          <cell r="AF151" t="str">
            <v>451.NA1</v>
          </cell>
        </row>
        <row r="152">
          <cell r="A152">
            <v>152</v>
          </cell>
          <cell r="AD152">
            <v>451</v>
          </cell>
          <cell r="AE152" t="str">
            <v>NA</v>
          </cell>
          <cell r="AF152" t="str">
            <v>451.NA2</v>
          </cell>
        </row>
        <row r="153">
          <cell r="A153">
            <v>153</v>
          </cell>
          <cell r="B153">
            <v>453</v>
          </cell>
          <cell r="C153" t="str">
            <v>Water Sales</v>
          </cell>
          <cell r="AD153">
            <v>453</v>
          </cell>
          <cell r="AE153" t="str">
            <v>NA</v>
          </cell>
          <cell r="AF153" t="str">
            <v>453.NA</v>
          </cell>
        </row>
        <row r="154">
          <cell r="A154">
            <v>154</v>
          </cell>
          <cell r="D154" t="str">
            <v>JBG</v>
          </cell>
          <cell r="E154" t="str">
            <v>P</v>
          </cell>
          <cell r="F154">
            <v>2851.8230431369025</v>
          </cell>
          <cell r="G154">
            <v>2851.8230431369025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0.59419421435740905</v>
          </cell>
          <cell r="N154">
            <v>1694.5367526030873</v>
          </cell>
          <cell r="O154">
            <v>1157.2862905338152</v>
          </cell>
          <cell r="P154">
            <v>1</v>
          </cell>
          <cell r="Q154">
            <v>0</v>
          </cell>
          <cell r="R154">
            <v>0</v>
          </cell>
          <cell r="S154" t="str">
            <v>PLNT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453</v>
          </cell>
          <cell r="AE154" t="str">
            <v>JBG</v>
          </cell>
          <cell r="AF154" t="str">
            <v>453.JBG</v>
          </cell>
        </row>
        <row r="155">
          <cell r="A155">
            <v>155</v>
          </cell>
          <cell r="D155" t="str">
            <v>SG/CAGW/CAGE</v>
          </cell>
          <cell r="E155" t="str">
            <v>P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0.59419421435740905</v>
          </cell>
          <cell r="N155">
            <v>0</v>
          </cell>
          <cell r="O155">
            <v>0</v>
          </cell>
          <cell r="P155">
            <v>1</v>
          </cell>
          <cell r="Q155">
            <v>0</v>
          </cell>
          <cell r="R155">
            <v>0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453</v>
          </cell>
          <cell r="AE155" t="str">
            <v>SG/CAGW/CAGE</v>
          </cell>
          <cell r="AF155" t="str">
            <v>453.SG/CAGW/CAGE</v>
          </cell>
        </row>
        <row r="156">
          <cell r="A156">
            <v>156</v>
          </cell>
          <cell r="F156">
            <v>2851.8230431369025</v>
          </cell>
          <cell r="G156">
            <v>2851.8230431369025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N156">
            <v>1694.5367526030873</v>
          </cell>
          <cell r="O156">
            <v>1157.2862905338152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453</v>
          </cell>
          <cell r="AE156" t="str">
            <v>NA</v>
          </cell>
          <cell r="AF156" t="str">
            <v>453.NA1</v>
          </cell>
        </row>
        <row r="157">
          <cell r="A157">
            <v>157</v>
          </cell>
          <cell r="AD157">
            <v>453</v>
          </cell>
          <cell r="AE157" t="str">
            <v>NA</v>
          </cell>
          <cell r="AF157" t="str">
            <v>453.NA2</v>
          </cell>
        </row>
        <row r="158">
          <cell r="A158">
            <v>158</v>
          </cell>
          <cell r="B158">
            <v>454</v>
          </cell>
          <cell r="C158" t="str">
            <v>Rent of Electric Property</v>
          </cell>
          <cell r="AD158">
            <v>454</v>
          </cell>
          <cell r="AE158" t="str">
            <v>NA</v>
          </cell>
          <cell r="AF158" t="str">
            <v>454.NA</v>
          </cell>
        </row>
        <row r="159">
          <cell r="A159">
            <v>159</v>
          </cell>
          <cell r="D159" t="str">
            <v>S</v>
          </cell>
          <cell r="E159" t="str">
            <v>DPW</v>
          </cell>
          <cell r="F159">
            <v>728890.5</v>
          </cell>
          <cell r="G159">
            <v>0</v>
          </cell>
          <cell r="H159">
            <v>0</v>
          </cell>
          <cell r="I159">
            <v>728890.5</v>
          </cell>
          <cell r="J159">
            <v>0</v>
          </cell>
          <cell r="K159">
            <v>0</v>
          </cell>
          <cell r="M159">
            <v>0.59419421435740905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 t="str">
            <v>PLNT</v>
          </cell>
          <cell r="T159">
            <v>108909.55545048228</v>
          </cell>
          <cell r="U159">
            <v>341395.88030915835</v>
          </cell>
          <cell r="V159">
            <v>164327.92871110956</v>
          </cell>
          <cell r="W159">
            <v>19254.911945223485</v>
          </cell>
          <cell r="X159">
            <v>95002.223584026302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454</v>
          </cell>
          <cell r="AE159" t="str">
            <v>S</v>
          </cell>
          <cell r="AF159" t="str">
            <v>454.S</v>
          </cell>
        </row>
        <row r="160">
          <cell r="A160">
            <v>160</v>
          </cell>
          <cell r="D160" t="str">
            <v>CAGW</v>
          </cell>
          <cell r="E160" t="str">
            <v>P</v>
          </cell>
          <cell r="F160">
            <v>99382.929389914934</v>
          </cell>
          <cell r="G160">
            <v>99382.929389914934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M160">
            <v>0.59419421435740905</v>
          </cell>
          <cell r="N160">
            <v>59052.761649378364</v>
          </cell>
          <cell r="O160">
            <v>40330.16774053657</v>
          </cell>
          <cell r="P160">
            <v>1</v>
          </cell>
          <cell r="Q160">
            <v>0</v>
          </cell>
          <cell r="R160">
            <v>0</v>
          </cell>
          <cell r="S160" t="str">
            <v>PLNT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454</v>
          </cell>
          <cell r="AE160" t="str">
            <v>CAGW</v>
          </cell>
          <cell r="AF160" t="str">
            <v>454.CAGW</v>
          </cell>
        </row>
        <row r="161">
          <cell r="A161">
            <v>161</v>
          </cell>
          <cell r="D161" t="str">
            <v>SG</v>
          </cell>
          <cell r="E161" t="str">
            <v>P</v>
          </cell>
          <cell r="F161">
            <v>109170.14341943202</v>
          </cell>
          <cell r="G161">
            <v>109170.14341943202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0.59419421435740905</v>
          </cell>
          <cell r="N161">
            <v>64868.267600395076</v>
          </cell>
          <cell r="O161">
            <v>44301.875819036941</v>
          </cell>
          <cell r="P161">
            <v>1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454</v>
          </cell>
          <cell r="AE161" t="str">
            <v>SG</v>
          </cell>
          <cell r="AF161" t="str">
            <v>454.SG</v>
          </cell>
        </row>
        <row r="162">
          <cell r="A162">
            <v>162</v>
          </cell>
          <cell r="D162" t="str">
            <v>JBG</v>
          </cell>
          <cell r="E162" t="str">
            <v>P</v>
          </cell>
          <cell r="F162">
            <v>2206.0349256848262</v>
          </cell>
          <cell r="G162">
            <v>2206.0349256848262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0.59419421435740905</v>
          </cell>
          <cell r="N162">
            <v>1310.8131895123006</v>
          </cell>
          <cell r="O162">
            <v>895.22173617252565</v>
          </cell>
          <cell r="P162">
            <v>1</v>
          </cell>
          <cell r="Q162">
            <v>0</v>
          </cell>
          <cell r="R162">
            <v>0</v>
          </cell>
          <cell r="S162" t="str">
            <v>PLNT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454</v>
          </cell>
          <cell r="AE162" t="str">
            <v>JBG</v>
          </cell>
          <cell r="AF162" t="str">
            <v>454.JBG</v>
          </cell>
        </row>
        <row r="163">
          <cell r="A163">
            <v>163</v>
          </cell>
          <cell r="D163" t="str">
            <v>SO</v>
          </cell>
          <cell r="E163" t="str">
            <v>GP</v>
          </cell>
          <cell r="F163">
            <v>113926.31388550381</v>
          </cell>
          <cell r="G163">
            <v>53838.492161739858</v>
          </cell>
          <cell r="H163">
            <v>28254.271043852685</v>
          </cell>
          <cell r="I163">
            <v>31055.046489172339</v>
          </cell>
          <cell r="J163">
            <v>778.50419073892965</v>
          </cell>
          <cell r="K163">
            <v>0</v>
          </cell>
          <cell r="M163">
            <v>0.59419421435740905</v>
          </cell>
          <cell r="N163">
            <v>31990.520552232541</v>
          </cell>
          <cell r="O163">
            <v>21847.971609507316</v>
          </cell>
          <cell r="P163">
            <v>1</v>
          </cell>
          <cell r="Q163">
            <v>28254.271043852685</v>
          </cell>
          <cell r="R163">
            <v>0</v>
          </cell>
          <cell r="S163" t="str">
            <v>PLNT</v>
          </cell>
          <cell r="T163">
            <v>4640.1912326060219</v>
          </cell>
          <cell r="U163">
            <v>14545.48376500013</v>
          </cell>
          <cell r="V163">
            <v>7001.3417181221394</v>
          </cell>
          <cell r="W163">
            <v>820.37313643659104</v>
          </cell>
          <cell r="X163">
            <v>4047.6566370074538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454</v>
          </cell>
          <cell r="AE163" t="str">
            <v>SO</v>
          </cell>
          <cell r="AF163" t="str">
            <v>454.SO</v>
          </cell>
        </row>
        <row r="164">
          <cell r="A164">
            <v>164</v>
          </cell>
          <cell r="F164">
            <v>1053575.9216205357</v>
          </cell>
          <cell r="G164">
            <v>264597.59989677166</v>
          </cell>
          <cell r="H164">
            <v>28254.271043852685</v>
          </cell>
          <cell r="I164">
            <v>759945.54648917238</v>
          </cell>
          <cell r="J164">
            <v>778.50419073892965</v>
          </cell>
          <cell r="K164">
            <v>0</v>
          </cell>
          <cell r="N164">
            <v>157222.36299151828</v>
          </cell>
          <cell r="O164">
            <v>107375.23690525335</v>
          </cell>
          <cell r="Q164">
            <v>28254.271043852685</v>
          </cell>
          <cell r="R164">
            <v>0</v>
          </cell>
          <cell r="T164">
            <v>113549.74668308831</v>
          </cell>
          <cell r="U164">
            <v>355941.36407415848</v>
          </cell>
          <cell r="V164">
            <v>171329.27042923169</v>
          </cell>
          <cell r="W164">
            <v>20075.285081660077</v>
          </cell>
          <cell r="X164">
            <v>99049.88022103376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454</v>
          </cell>
          <cell r="AE164" t="str">
            <v>NA</v>
          </cell>
          <cell r="AF164" t="str">
            <v>454.NA1</v>
          </cell>
        </row>
        <row r="165">
          <cell r="A165">
            <v>165</v>
          </cell>
          <cell r="AD165">
            <v>454</v>
          </cell>
          <cell r="AE165" t="str">
            <v>NA</v>
          </cell>
          <cell r="AF165" t="str">
            <v>454.NA2</v>
          </cell>
        </row>
        <row r="166">
          <cell r="A166">
            <v>166</v>
          </cell>
          <cell r="B166">
            <v>456</v>
          </cell>
          <cell r="C166" t="str">
            <v>Other Electric Revenue</v>
          </cell>
          <cell r="AD166">
            <v>456</v>
          </cell>
          <cell r="AE166" t="str">
            <v>NA</v>
          </cell>
          <cell r="AF166" t="str">
            <v>456.NA</v>
          </cell>
        </row>
        <row r="167">
          <cell r="A167">
            <v>167</v>
          </cell>
          <cell r="D167" t="str">
            <v>S</v>
          </cell>
          <cell r="E167" t="str">
            <v>COMMON</v>
          </cell>
          <cell r="F167">
            <v>-4378.7399999999907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-4378.7399999999907</v>
          </cell>
          <cell r="M167">
            <v>0.59419421435740905</v>
          </cell>
          <cell r="N167">
            <v>0</v>
          </cell>
          <cell r="O167">
            <v>0</v>
          </cell>
          <cell r="P167">
            <v>1</v>
          </cell>
          <cell r="Q167">
            <v>0</v>
          </cell>
          <cell r="R167">
            <v>0</v>
          </cell>
          <cell r="S167" t="str">
            <v>PLNT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456</v>
          </cell>
          <cell r="AE167" t="str">
            <v>S</v>
          </cell>
          <cell r="AF167" t="str">
            <v>456.S</v>
          </cell>
        </row>
        <row r="168">
          <cell r="A168">
            <v>168</v>
          </cell>
          <cell r="D168" t="str">
            <v>WRG</v>
          </cell>
          <cell r="E168" t="str">
            <v>T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0.59419421435740905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 t="str">
            <v>CUST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WRG</v>
          </cell>
          <cell r="AF168" t="str">
            <v>456.WRG</v>
          </cell>
        </row>
        <row r="169">
          <cell r="A169">
            <v>169</v>
          </cell>
          <cell r="D169" t="str">
            <v>CAGW</v>
          </cell>
          <cell r="E169" t="str">
            <v>OTHSGR</v>
          </cell>
          <cell r="F169">
            <v>2314755.6314009451</v>
          </cell>
          <cell r="G169">
            <v>411276.90652087354</v>
          </cell>
          <cell r="H169">
            <v>1903478.7248800716</v>
          </cell>
          <cell r="I169">
            <v>0</v>
          </cell>
          <cell r="J169">
            <v>0</v>
          </cell>
          <cell r="K169">
            <v>0</v>
          </cell>
          <cell r="M169">
            <v>0.59419421435740905</v>
          </cell>
          <cell r="N169">
            <v>244378.35835351603</v>
          </cell>
          <cell r="O169">
            <v>166898.54816735751</v>
          </cell>
          <cell r="P169">
            <v>1</v>
          </cell>
          <cell r="Q169">
            <v>1903478.7248800716</v>
          </cell>
          <cell r="R169">
            <v>0</v>
          </cell>
          <cell r="S169" t="str">
            <v>PLNT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456</v>
          </cell>
          <cell r="AE169" t="str">
            <v>CAGW</v>
          </cell>
          <cell r="AF169" t="str">
            <v>456.CAGW</v>
          </cell>
        </row>
        <row r="170">
          <cell r="A170">
            <v>170</v>
          </cell>
          <cell r="D170" t="str">
            <v>JBG</v>
          </cell>
          <cell r="E170" t="str">
            <v>OTHSGR</v>
          </cell>
          <cell r="F170">
            <v>502043.64708063431</v>
          </cell>
          <cell r="G170">
            <v>89201.190531207176</v>
          </cell>
          <cell r="H170">
            <v>412842.45654942718</v>
          </cell>
          <cell r="I170">
            <v>0</v>
          </cell>
          <cell r="J170">
            <v>0</v>
          </cell>
          <cell r="K170">
            <v>0</v>
          </cell>
          <cell r="M170">
            <v>0.59419421435740905</v>
          </cell>
          <cell r="N170">
            <v>53002.831327436201</v>
          </cell>
          <cell r="O170">
            <v>36198.359203770975</v>
          </cell>
          <cell r="P170">
            <v>1</v>
          </cell>
          <cell r="Q170">
            <v>412842.45654942718</v>
          </cell>
          <cell r="R170">
            <v>0</v>
          </cell>
          <cell r="S170" t="str">
            <v>PLNT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456</v>
          </cell>
          <cell r="AE170" t="str">
            <v>JBG</v>
          </cell>
          <cell r="AF170" t="str">
            <v>456.JBG</v>
          </cell>
        </row>
        <row r="171">
          <cell r="A171">
            <v>171</v>
          </cell>
          <cell r="D171" t="str">
            <v>SO</v>
          </cell>
          <cell r="E171" t="str">
            <v>OTHSO</v>
          </cell>
          <cell r="F171">
            <v>274227.50725612795</v>
          </cell>
          <cell r="G171">
            <v>132076.8890161337</v>
          </cell>
          <cell r="H171">
            <v>67585.351247145154</v>
          </cell>
          <cell r="I171">
            <v>74565.26699284908</v>
          </cell>
          <cell r="J171">
            <v>0</v>
          </cell>
          <cell r="K171">
            <v>0</v>
          </cell>
          <cell r="M171">
            <v>0.59419421435740905</v>
          </cell>
          <cell r="N171">
            <v>78479.32330371227</v>
          </cell>
          <cell r="O171">
            <v>53597.565712421427</v>
          </cell>
          <cell r="P171">
            <v>1</v>
          </cell>
          <cell r="Q171">
            <v>67585.351247145154</v>
          </cell>
          <cell r="R171">
            <v>0</v>
          </cell>
          <cell r="S171" t="str">
            <v>PLNT</v>
          </cell>
          <cell r="T171">
            <v>11141.412983483408</v>
          </cell>
          <cell r="U171">
            <v>34924.690286827914</v>
          </cell>
          <cell r="V171">
            <v>16810.694992904631</v>
          </cell>
          <cell r="W171">
            <v>1969.7713855776526</v>
          </cell>
          <cell r="X171">
            <v>9718.6973440554721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456</v>
          </cell>
          <cell r="AE171" t="str">
            <v>SO</v>
          </cell>
          <cell r="AF171" t="str">
            <v>456.SO</v>
          </cell>
        </row>
        <row r="172">
          <cell r="A172">
            <v>172</v>
          </cell>
          <cell r="D172" t="str">
            <v>SG</v>
          </cell>
          <cell r="E172" t="str">
            <v>OTHSGR</v>
          </cell>
          <cell r="F172">
            <v>9229248.0952149648</v>
          </cell>
          <cell r="G172">
            <v>1639817.419438086</v>
          </cell>
          <cell r="H172">
            <v>7589430.6757768793</v>
          </cell>
          <cell r="I172">
            <v>0</v>
          </cell>
          <cell r="J172">
            <v>0</v>
          </cell>
          <cell r="K172">
            <v>0</v>
          </cell>
          <cell r="M172">
            <v>0.59419421435740905</v>
          </cell>
          <cell r="N172">
            <v>974370.0232326074</v>
          </cell>
          <cell r="O172">
            <v>665447.39620547858</v>
          </cell>
          <cell r="P172">
            <v>1</v>
          </cell>
          <cell r="Q172">
            <v>7589430.6757768793</v>
          </cell>
          <cell r="R172">
            <v>0</v>
          </cell>
          <cell r="S172" t="str">
            <v>PLNT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456</v>
          </cell>
          <cell r="AE172" t="str">
            <v>SG</v>
          </cell>
          <cell r="AF172" t="str">
            <v>456.SG</v>
          </cell>
        </row>
        <row r="173">
          <cell r="A173">
            <v>173</v>
          </cell>
          <cell r="D173" t="str">
            <v>WRE</v>
          </cell>
          <cell r="E173" t="str">
            <v>P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0.59419421435740905</v>
          </cell>
          <cell r="N173">
            <v>0</v>
          </cell>
          <cell r="O173">
            <v>0</v>
          </cell>
          <cell r="P173">
            <v>1</v>
          </cell>
          <cell r="Q173">
            <v>0</v>
          </cell>
          <cell r="R173">
            <v>0</v>
          </cell>
          <cell r="S173" t="str">
            <v>PLNT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456</v>
          </cell>
          <cell r="AE173" t="str">
            <v>WRE</v>
          </cell>
          <cell r="AF173" t="str">
            <v>456.WRE</v>
          </cell>
        </row>
        <row r="174">
          <cell r="A174">
            <v>174</v>
          </cell>
          <cell r="F174">
            <v>12315896.140952673</v>
          </cell>
          <cell r="G174">
            <v>2272372.4055063003</v>
          </cell>
          <cell r="H174">
            <v>9973337.208453523</v>
          </cell>
          <cell r="I174">
            <v>74565.26699284908</v>
          </cell>
          <cell r="J174">
            <v>0</v>
          </cell>
          <cell r="K174">
            <v>-4378.7399999999907</v>
          </cell>
          <cell r="N174">
            <v>1350230.5362172718</v>
          </cell>
          <cell r="O174">
            <v>922141.86928902846</v>
          </cell>
          <cell r="Q174">
            <v>9973337.208453523</v>
          </cell>
          <cell r="R174">
            <v>0</v>
          </cell>
          <cell r="T174">
            <v>11141.412983483408</v>
          </cell>
          <cell r="U174">
            <v>34924.690286827914</v>
          </cell>
          <cell r="V174">
            <v>16810.694992904631</v>
          </cell>
          <cell r="W174">
            <v>1969.7713855776526</v>
          </cell>
          <cell r="X174">
            <v>9718.6973440554721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456</v>
          </cell>
          <cell r="AE174" t="str">
            <v>NA</v>
          </cell>
          <cell r="AF174" t="str">
            <v>456.NA1</v>
          </cell>
        </row>
        <row r="175">
          <cell r="A175">
            <v>175</v>
          </cell>
          <cell r="AD175">
            <v>456</v>
          </cell>
          <cell r="AE175" t="str">
            <v>NA</v>
          </cell>
          <cell r="AF175" t="str">
            <v>456.NA2</v>
          </cell>
        </row>
        <row r="176">
          <cell r="A176">
            <v>176</v>
          </cell>
          <cell r="C176" t="str">
            <v>Total Other Electric Revenues</v>
          </cell>
          <cell r="F176">
            <v>13849210.275009101</v>
          </cell>
          <cell r="G176">
            <v>2540928.1599488943</v>
          </cell>
          <cell r="H176">
            <v>10002172.078783985</v>
          </cell>
          <cell r="I176">
            <v>835148.96612836816</v>
          </cell>
          <cell r="J176">
            <v>475339.81014785264</v>
          </cell>
          <cell r="K176">
            <v>-4378.7399999999907</v>
          </cell>
          <cell r="N176">
            <v>1509804.8117394503</v>
          </cell>
          <cell r="O176">
            <v>1031123.348209444</v>
          </cell>
          <cell r="P176">
            <v>1</v>
          </cell>
          <cell r="Q176">
            <v>10002172.078783985</v>
          </cell>
          <cell r="R176">
            <v>0</v>
          </cell>
          <cell r="T176">
            <v>124786.51132916461</v>
          </cell>
          <cell r="U176">
            <v>391164.95067596261</v>
          </cell>
          <cell r="V176">
            <v>188283.83655583291</v>
          </cell>
          <cell r="W176">
            <v>22061.914380755628</v>
          </cell>
          <cell r="X176">
            <v>108851.75318665238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456</v>
          </cell>
          <cell r="AE176" t="str">
            <v>NA</v>
          </cell>
          <cell r="AF176" t="str">
            <v>456.NA3</v>
          </cell>
        </row>
        <row r="177">
          <cell r="A177">
            <v>177</v>
          </cell>
          <cell r="AD177">
            <v>456</v>
          </cell>
          <cell r="AE177" t="str">
            <v>NA</v>
          </cell>
          <cell r="AF177" t="str">
            <v>456.NA4</v>
          </cell>
        </row>
        <row r="178">
          <cell r="A178">
            <v>178</v>
          </cell>
          <cell r="B178" t="str">
            <v>Total Electric Operating Revenues</v>
          </cell>
          <cell r="F178">
            <v>400870067.71919745</v>
          </cell>
          <cell r="G178">
            <v>260221317.77858016</v>
          </cell>
          <cell r="H178">
            <v>70148683.540342256</v>
          </cell>
          <cell r="I178">
            <v>50006009.699269101</v>
          </cell>
          <cell r="J178">
            <v>9184967.5508753695</v>
          </cell>
          <cell r="K178">
            <v>11309089.15073042</v>
          </cell>
          <cell r="N178">
            <v>153332816.96025562</v>
          </cell>
          <cell r="O178">
            <v>106888500.81832455</v>
          </cell>
          <cell r="P178">
            <v>1</v>
          </cell>
          <cell r="Q178">
            <v>70148683.540342256</v>
          </cell>
          <cell r="R178">
            <v>0</v>
          </cell>
          <cell r="T178">
            <v>10822585.829028727</v>
          </cell>
          <cell r="U178">
            <v>20836778.986774366</v>
          </cell>
          <cell r="V178">
            <v>9888828.5165231824</v>
          </cell>
          <cell r="W178">
            <v>1492228.2788699605</v>
          </cell>
          <cell r="X178">
            <v>6965588.0880728671</v>
          </cell>
          <cell r="Z178">
            <v>0</v>
          </cell>
          <cell r="AA178">
            <v>0</v>
          </cell>
          <cell r="AB178">
            <v>0</v>
          </cell>
          <cell r="AD178" t="str">
            <v>Total Electric Operating Revenues</v>
          </cell>
          <cell r="AE178" t="str">
            <v>NA</v>
          </cell>
          <cell r="AF178" t="str">
            <v>Total Electric Operating Revenues.NA</v>
          </cell>
        </row>
        <row r="179">
          <cell r="A179">
            <v>179</v>
          </cell>
          <cell r="AD179" t="str">
            <v>Total Electric Operating Revenues</v>
          </cell>
          <cell r="AE179" t="str">
            <v>NA</v>
          </cell>
          <cell r="AF179" t="str">
            <v>Total Electric Operating Revenues.NA1</v>
          </cell>
        </row>
        <row r="180">
          <cell r="A180">
            <v>180</v>
          </cell>
          <cell r="B180" t="str">
            <v>Miscellaneous Revenues</v>
          </cell>
          <cell r="AD180" t="str">
            <v>Miscellaneous Revenues</v>
          </cell>
          <cell r="AE180" t="str">
            <v>NA</v>
          </cell>
          <cell r="AF180" t="str">
            <v>Miscellaneous Revenues.NA</v>
          </cell>
        </row>
        <row r="181">
          <cell r="A181">
            <v>181</v>
          </cell>
          <cell r="B181">
            <v>41160</v>
          </cell>
          <cell r="C181" t="str">
            <v>Gain on Sale of Utility Plant - CR</v>
          </cell>
          <cell r="AD181">
            <v>41160</v>
          </cell>
          <cell r="AE181" t="str">
            <v>NA</v>
          </cell>
          <cell r="AF181" t="str">
            <v>41160.NA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0.59419421435740905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41160</v>
          </cell>
          <cell r="AE182" t="str">
            <v>S</v>
          </cell>
          <cell r="AF182" t="str">
            <v>41160.S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41160</v>
          </cell>
          <cell r="AE183" t="str">
            <v>SG</v>
          </cell>
          <cell r="AF183" t="str">
            <v>41160.SG</v>
          </cell>
        </row>
        <row r="184">
          <cell r="A184">
            <v>184</v>
          </cell>
          <cell r="D184" t="str">
            <v>SO</v>
          </cell>
          <cell r="E184" t="str">
            <v>G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0.59419421435740905</v>
          </cell>
          <cell r="N184">
            <v>0</v>
          </cell>
          <cell r="O184">
            <v>0</v>
          </cell>
          <cell r="P184">
            <v>1</v>
          </cell>
          <cell r="Q184">
            <v>0</v>
          </cell>
          <cell r="R184">
            <v>0</v>
          </cell>
          <cell r="S184" t="str">
            <v>PLNT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41160</v>
          </cell>
          <cell r="AE184" t="str">
            <v>SO</v>
          </cell>
          <cell r="AF184" t="str">
            <v>41160.SO</v>
          </cell>
        </row>
        <row r="185">
          <cell r="A185">
            <v>185</v>
          </cell>
          <cell r="D185" t="str">
            <v>DGU</v>
          </cell>
          <cell r="E185" t="str">
            <v>T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1</v>
          </cell>
          <cell r="N185">
            <v>0</v>
          </cell>
          <cell r="O185">
            <v>0</v>
          </cell>
          <cell r="P185">
            <v>1</v>
          </cell>
          <cell r="Q185">
            <v>0</v>
          </cell>
          <cell r="R185">
            <v>0</v>
          </cell>
          <cell r="S185" t="str">
            <v>PLNT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41160</v>
          </cell>
          <cell r="AE185" t="str">
            <v>DGU</v>
          </cell>
          <cell r="AF185" t="str">
            <v>41160.DGU</v>
          </cell>
        </row>
        <row r="186">
          <cell r="A186">
            <v>186</v>
          </cell>
          <cell r="D186" t="str">
            <v>DGP</v>
          </cell>
          <cell r="E186" t="str">
            <v>P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0.59419421435740905</v>
          </cell>
          <cell r="N186">
            <v>0</v>
          </cell>
          <cell r="O186">
            <v>0</v>
          </cell>
          <cell r="P186">
            <v>1</v>
          </cell>
          <cell r="Q186">
            <v>0</v>
          </cell>
          <cell r="R186">
            <v>0</v>
          </cell>
          <cell r="S186" t="str">
            <v>PLNT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D186">
            <v>41160</v>
          </cell>
          <cell r="AE186" t="str">
            <v>DGP</v>
          </cell>
          <cell r="AF186" t="str">
            <v>41160.DGP</v>
          </cell>
        </row>
        <row r="187">
          <cell r="A187">
            <v>187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41160</v>
          </cell>
          <cell r="AE187" t="str">
            <v>NA</v>
          </cell>
          <cell r="AF187" t="str">
            <v>41160.NA1</v>
          </cell>
        </row>
        <row r="188">
          <cell r="A188">
            <v>188</v>
          </cell>
          <cell r="AD188">
            <v>41160</v>
          </cell>
          <cell r="AE188" t="str">
            <v>NA</v>
          </cell>
          <cell r="AF188" t="str">
            <v>41160.NA2</v>
          </cell>
        </row>
        <row r="189">
          <cell r="A189">
            <v>189</v>
          </cell>
          <cell r="B189">
            <v>41170</v>
          </cell>
          <cell r="C189" t="str">
            <v>Loss on Sale of Utility Plant</v>
          </cell>
          <cell r="AD189">
            <v>41170</v>
          </cell>
          <cell r="AE189" t="str">
            <v>NA</v>
          </cell>
          <cell r="AF189" t="str">
            <v>41170.NA</v>
          </cell>
        </row>
        <row r="190">
          <cell r="A190">
            <v>190</v>
          </cell>
          <cell r="D190" t="str">
            <v>S</v>
          </cell>
          <cell r="E190" t="str">
            <v>DPW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0.59419421435740905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41170</v>
          </cell>
          <cell r="AE190" t="str">
            <v>S</v>
          </cell>
          <cell r="AF190" t="str">
            <v>41170.S</v>
          </cell>
        </row>
        <row r="191">
          <cell r="A191">
            <v>191</v>
          </cell>
          <cell r="D191" t="str">
            <v>CAGW</v>
          </cell>
          <cell r="E191" t="str">
            <v>T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1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  <cell r="R191">
            <v>0</v>
          </cell>
          <cell r="S191" t="str">
            <v>PLNT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41170</v>
          </cell>
          <cell r="AE191" t="str">
            <v>CAGW</v>
          </cell>
          <cell r="AF191" t="str">
            <v>41170.CAGW</v>
          </cell>
        </row>
        <row r="192">
          <cell r="A192">
            <v>192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41170</v>
          </cell>
          <cell r="AE192" t="str">
            <v>NA</v>
          </cell>
          <cell r="AF192" t="str">
            <v>41170.NA1</v>
          </cell>
        </row>
        <row r="193">
          <cell r="A193">
            <v>193</v>
          </cell>
          <cell r="AD193">
            <v>41170</v>
          </cell>
          <cell r="AE193" t="str">
            <v>NA</v>
          </cell>
          <cell r="AF193" t="str">
            <v>41170.NA2</v>
          </cell>
        </row>
        <row r="194">
          <cell r="A194">
            <v>194</v>
          </cell>
          <cell r="B194">
            <v>4118</v>
          </cell>
          <cell r="C194" t="str">
            <v>Gain from Emission Allowances</v>
          </cell>
          <cell r="D194" t="str">
            <v>S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0.59419421435740905</v>
          </cell>
          <cell r="N194">
            <v>0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4118</v>
          </cell>
          <cell r="AE194" t="str">
            <v>S</v>
          </cell>
          <cell r="AF194" t="str">
            <v>4118.S</v>
          </cell>
        </row>
        <row r="195">
          <cell r="A195">
            <v>195</v>
          </cell>
          <cell r="D195" t="str">
            <v>SE</v>
          </cell>
          <cell r="E195" t="str">
            <v>P</v>
          </cell>
          <cell r="F195">
            <v>-12.892102979296286</v>
          </cell>
          <cell r="G195">
            <v>-12.892102979296286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0.59419421435740905</v>
          </cell>
          <cell r="N195">
            <v>-7.6604130011977691</v>
          </cell>
          <cell r="O195">
            <v>-5.2316899780985171</v>
          </cell>
          <cell r="P195">
            <v>1</v>
          </cell>
          <cell r="Q195">
            <v>0</v>
          </cell>
          <cell r="R195">
            <v>0</v>
          </cell>
          <cell r="S195" t="str">
            <v>PLNT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4118</v>
          </cell>
          <cell r="AE195" t="str">
            <v>SE</v>
          </cell>
          <cell r="AF195" t="str">
            <v>4118.SE</v>
          </cell>
        </row>
        <row r="196">
          <cell r="A196">
            <v>196</v>
          </cell>
          <cell r="F196">
            <v>-12.892102979296286</v>
          </cell>
          <cell r="G196">
            <v>-12.892102979296286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N196">
            <v>-7.6604130011977691</v>
          </cell>
          <cell r="O196">
            <v>-5.2316899780985171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4118</v>
          </cell>
          <cell r="AE196" t="str">
            <v>NA</v>
          </cell>
          <cell r="AF196" t="str">
            <v>4118.NA</v>
          </cell>
        </row>
        <row r="197">
          <cell r="A197">
            <v>197</v>
          </cell>
          <cell r="B197">
            <v>41181</v>
          </cell>
          <cell r="C197" t="str">
            <v>Gain from Disposition of NOX Credits</v>
          </cell>
          <cell r="AD197">
            <v>41181</v>
          </cell>
          <cell r="AE197" t="str">
            <v>NA</v>
          </cell>
          <cell r="AF197" t="str">
            <v>41181.NA</v>
          </cell>
        </row>
        <row r="198">
          <cell r="A198">
            <v>198</v>
          </cell>
          <cell r="D198" t="str">
            <v>SE</v>
          </cell>
          <cell r="E198" t="str">
            <v>P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0.59419421435740905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 t="str">
            <v>PLNT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41181</v>
          </cell>
          <cell r="AE198" t="str">
            <v>SE</v>
          </cell>
          <cell r="AF198" t="str">
            <v>41181.SE</v>
          </cell>
        </row>
        <row r="199">
          <cell r="A199">
            <v>199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41181</v>
          </cell>
          <cell r="AE199" t="str">
            <v>NA</v>
          </cell>
          <cell r="AF199" t="str">
            <v>41181.NA1</v>
          </cell>
        </row>
        <row r="200">
          <cell r="A200">
            <v>200</v>
          </cell>
          <cell r="AD200">
            <v>41181</v>
          </cell>
          <cell r="AE200" t="str">
            <v>NA</v>
          </cell>
          <cell r="AF200" t="str">
            <v>41181.NA2</v>
          </cell>
        </row>
        <row r="201">
          <cell r="A201">
            <v>201</v>
          </cell>
          <cell r="B201">
            <v>4194</v>
          </cell>
          <cell r="C201" t="str">
            <v>Impact Housing Interest Income</v>
          </cell>
          <cell r="AD201">
            <v>4194</v>
          </cell>
          <cell r="AE201" t="str">
            <v>NA</v>
          </cell>
          <cell r="AF201" t="str">
            <v>4194.NA</v>
          </cell>
        </row>
        <row r="202">
          <cell r="A202">
            <v>202</v>
          </cell>
          <cell r="D202" t="str">
            <v>DGU</v>
          </cell>
          <cell r="E202" t="str">
            <v>P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0.59419421435740905</v>
          </cell>
          <cell r="N202">
            <v>0</v>
          </cell>
          <cell r="O202">
            <v>0</v>
          </cell>
          <cell r="P202">
            <v>1</v>
          </cell>
          <cell r="Q202">
            <v>0</v>
          </cell>
          <cell r="R202">
            <v>0</v>
          </cell>
          <cell r="S202" t="str">
            <v>PLNT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4194</v>
          </cell>
          <cell r="AE202" t="str">
            <v>DGU</v>
          </cell>
          <cell r="AF202" t="str">
            <v>4194.DGU</v>
          </cell>
        </row>
        <row r="203">
          <cell r="A203">
            <v>203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4194</v>
          </cell>
          <cell r="AE203" t="str">
            <v>NA</v>
          </cell>
          <cell r="AF203" t="str">
            <v>4194.NA1</v>
          </cell>
        </row>
        <row r="204">
          <cell r="A204">
            <v>204</v>
          </cell>
          <cell r="AD204">
            <v>4194</v>
          </cell>
          <cell r="AE204" t="str">
            <v>NA</v>
          </cell>
          <cell r="AF204" t="str">
            <v>4194.NA2</v>
          </cell>
        </row>
        <row r="205">
          <cell r="A205">
            <v>205</v>
          </cell>
          <cell r="B205">
            <v>421</v>
          </cell>
          <cell r="C205" t="str">
            <v>(Gain) / Loss on Sale of Utility Plant</v>
          </cell>
          <cell r="AD205">
            <v>421</v>
          </cell>
          <cell r="AE205" t="str">
            <v>NA</v>
          </cell>
          <cell r="AF205" t="str">
            <v>421.NA</v>
          </cell>
        </row>
        <row r="206">
          <cell r="A206">
            <v>206</v>
          </cell>
          <cell r="D206" t="str">
            <v>S</v>
          </cell>
          <cell r="E206" t="str">
            <v>DPW</v>
          </cell>
          <cell r="F206">
            <v>-1134.9000000000001</v>
          </cell>
          <cell r="G206">
            <v>0</v>
          </cell>
          <cell r="H206">
            <v>0</v>
          </cell>
          <cell r="I206">
            <v>-1134.9000000000001</v>
          </cell>
          <cell r="J206">
            <v>0</v>
          </cell>
          <cell r="K206">
            <v>0</v>
          </cell>
          <cell r="M206">
            <v>0.59419421435740905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0</v>
          </cell>
          <cell r="S206" t="str">
            <v>PLNT</v>
          </cell>
          <cell r="T206">
            <v>-169.57479138602073</v>
          </cell>
          <cell r="U206">
            <v>-531.56157826568437</v>
          </cell>
          <cell r="V206">
            <v>-255.86252845144537</v>
          </cell>
          <cell r="W206">
            <v>-29.980359967147511</v>
          </cell>
          <cell r="X206">
            <v>-147.92074192970202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421</v>
          </cell>
          <cell r="AE206" t="str">
            <v>S</v>
          </cell>
          <cell r="AF206" t="str">
            <v>421.S</v>
          </cell>
        </row>
        <row r="207">
          <cell r="A207">
            <v>207</v>
          </cell>
          <cell r="D207" t="str">
            <v>DGP</v>
          </cell>
          <cell r="E207" t="str">
            <v>T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1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0</v>
          </cell>
          <cell r="S207" t="str">
            <v>PLNT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421</v>
          </cell>
          <cell r="AE207" t="str">
            <v>DGP</v>
          </cell>
          <cell r="AF207" t="str">
            <v>421.DGP</v>
          </cell>
        </row>
        <row r="208">
          <cell r="A208">
            <v>208</v>
          </cell>
          <cell r="D208" t="str">
            <v>DGU</v>
          </cell>
          <cell r="E208" t="str">
            <v>T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1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 t="str">
            <v>PLNT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421</v>
          </cell>
          <cell r="AE208" t="str">
            <v>DGU</v>
          </cell>
          <cell r="AF208" t="str">
            <v>421.DGU</v>
          </cell>
        </row>
        <row r="209">
          <cell r="A209">
            <v>209</v>
          </cell>
          <cell r="D209" t="str">
            <v>CN</v>
          </cell>
          <cell r="E209" t="str">
            <v>CUST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0.59419421435740905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0</v>
          </cell>
          <cell r="S209" t="str">
            <v>PLNT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421</v>
          </cell>
          <cell r="AE209" t="str">
            <v>CN</v>
          </cell>
          <cell r="AF209" t="str">
            <v>421.CN</v>
          </cell>
        </row>
        <row r="210">
          <cell r="A210">
            <v>210</v>
          </cell>
          <cell r="D210" t="str">
            <v>SO</v>
          </cell>
          <cell r="E210" t="str">
            <v>PTD</v>
          </cell>
          <cell r="F210">
            <v>398.24752128997352</v>
          </cell>
          <cell r="G210">
            <v>195.00235165949476</v>
          </cell>
          <cell r="H210">
            <v>81.005833750026895</v>
          </cell>
          <cell r="I210">
            <v>122.23933588045189</v>
          </cell>
          <cell r="J210">
            <v>0</v>
          </cell>
          <cell r="K210">
            <v>0</v>
          </cell>
          <cell r="M210">
            <v>0.59419421435740905</v>
          </cell>
          <cell r="N210">
            <v>115.86926914216069</v>
          </cell>
          <cell r="O210">
            <v>79.133082517334074</v>
          </cell>
          <cell r="P210">
            <v>1</v>
          </cell>
          <cell r="Q210">
            <v>81.005833750026895</v>
          </cell>
          <cell r="R210">
            <v>0</v>
          </cell>
          <cell r="S210" t="str">
            <v>PLNT</v>
          </cell>
          <cell r="T210">
            <v>18.264789744553131</v>
          </cell>
          <cell r="U210">
            <v>57.254149534551154</v>
          </cell>
          <cell r="V210">
            <v>27.558785403646056</v>
          </cell>
          <cell r="W210">
            <v>3.2291649412644268</v>
          </cell>
          <cell r="X210">
            <v>15.932446256437117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421</v>
          </cell>
          <cell r="AE210" t="str">
            <v>SO</v>
          </cell>
          <cell r="AF210" t="str">
            <v>421.SO</v>
          </cell>
        </row>
        <row r="211">
          <cell r="A211">
            <v>211</v>
          </cell>
          <cell r="D211" t="str">
            <v>CAGW</v>
          </cell>
          <cell r="E211" t="str">
            <v>P</v>
          </cell>
          <cell r="F211">
            <v>5765.0461459821045</v>
          </cell>
          <cell r="G211">
            <v>5765.0461459821045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0.59419421435740905</v>
          </cell>
          <cell r="N211">
            <v>3425.5570654460453</v>
          </cell>
          <cell r="O211">
            <v>2339.4890805360592</v>
          </cell>
          <cell r="P211">
            <v>1</v>
          </cell>
          <cell r="Q211">
            <v>0</v>
          </cell>
          <cell r="R211">
            <v>0</v>
          </cell>
          <cell r="S211" t="str">
            <v>PLNT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421</v>
          </cell>
          <cell r="AE211" t="str">
            <v>CAGW</v>
          </cell>
          <cell r="AF211" t="str">
            <v>421.CAGW</v>
          </cell>
        </row>
        <row r="212">
          <cell r="A212">
            <v>212</v>
          </cell>
          <cell r="F212">
            <v>5028.3936672720774</v>
          </cell>
          <cell r="G212">
            <v>5960.0484976415992</v>
          </cell>
          <cell r="H212">
            <v>81.005833750026895</v>
          </cell>
          <cell r="I212">
            <v>-1012.6606641195482</v>
          </cell>
          <cell r="J212">
            <v>0</v>
          </cell>
          <cell r="K212">
            <v>0</v>
          </cell>
          <cell r="N212">
            <v>3541.4263345882059</v>
          </cell>
          <cell r="O212">
            <v>2418.6221630533933</v>
          </cell>
          <cell r="Q212">
            <v>81.005833750026895</v>
          </cell>
          <cell r="R212">
            <v>0</v>
          </cell>
          <cell r="T212">
            <v>-151.31000164146761</v>
          </cell>
          <cell r="U212">
            <v>-474.3074287311332</v>
          </cell>
          <cell r="V212">
            <v>-228.30374304779932</v>
          </cell>
          <cell r="W212">
            <v>-26.751195025883085</v>
          </cell>
          <cell r="X212">
            <v>-131.9882956732649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421</v>
          </cell>
          <cell r="AE212" t="str">
            <v>NA</v>
          </cell>
          <cell r="AF212" t="str">
            <v>421.NA1</v>
          </cell>
        </row>
        <row r="213">
          <cell r="A213">
            <v>213</v>
          </cell>
          <cell r="AD213">
            <v>421</v>
          </cell>
          <cell r="AE213" t="str">
            <v>NA</v>
          </cell>
          <cell r="AF213" t="str">
            <v>421.NA2</v>
          </cell>
        </row>
        <row r="214">
          <cell r="A214">
            <v>214</v>
          </cell>
          <cell r="B214" t="str">
            <v>Total Miscellaneous Revenues</v>
          </cell>
          <cell r="F214">
            <v>5015.501564292781</v>
          </cell>
          <cell r="G214">
            <v>5947.1563946623028</v>
          </cell>
          <cell r="H214">
            <v>81.005833750026895</v>
          </cell>
          <cell r="I214">
            <v>-1012.6606641195482</v>
          </cell>
          <cell r="J214">
            <v>0</v>
          </cell>
          <cell r="K214">
            <v>0</v>
          </cell>
          <cell r="N214">
            <v>3533.7659215870081</v>
          </cell>
          <cell r="O214">
            <v>2413.3904730752947</v>
          </cell>
          <cell r="P214">
            <v>1</v>
          </cell>
          <cell r="Q214">
            <v>81.005833750026895</v>
          </cell>
          <cell r="R214">
            <v>0</v>
          </cell>
          <cell r="T214">
            <v>-151.31000164146761</v>
          </cell>
          <cell r="U214">
            <v>-474.3074287311332</v>
          </cell>
          <cell r="V214">
            <v>-228.30374304779932</v>
          </cell>
          <cell r="W214">
            <v>-26.751195025883085</v>
          </cell>
          <cell r="X214">
            <v>-131.9882956732649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Total Miscellaneous Revenues</v>
          </cell>
          <cell r="AE214" t="str">
            <v>NA</v>
          </cell>
          <cell r="AF214" t="str">
            <v>Total Miscellaneous Revenues.NA</v>
          </cell>
        </row>
        <row r="215">
          <cell r="A215">
            <v>215</v>
          </cell>
          <cell r="AD215" t="str">
            <v>Total Miscellaneous Revenues</v>
          </cell>
          <cell r="AE215" t="str">
            <v>NA</v>
          </cell>
          <cell r="AF215" t="str">
            <v>Total Miscellaneous Revenues.NA1</v>
          </cell>
        </row>
        <row r="216">
          <cell r="A216">
            <v>216</v>
          </cell>
          <cell r="B216" t="str">
            <v>Miscellaneous Expenses</v>
          </cell>
          <cell r="AD216" t="str">
            <v>Miscellaneous Expenses</v>
          </cell>
          <cell r="AE216" t="str">
            <v>NA</v>
          </cell>
          <cell r="AF216" t="str">
            <v>Miscellaneous Expenses.NA</v>
          </cell>
        </row>
        <row r="217">
          <cell r="A217">
            <v>217</v>
          </cell>
          <cell r="B217">
            <v>4311</v>
          </cell>
          <cell r="C217" t="str">
            <v>Interest on Customer Deposits</v>
          </cell>
          <cell r="AD217">
            <v>4311</v>
          </cell>
          <cell r="AE217" t="str">
            <v>NA</v>
          </cell>
          <cell r="AF217" t="str">
            <v>4311.NA</v>
          </cell>
        </row>
        <row r="218">
          <cell r="A218">
            <v>218</v>
          </cell>
          <cell r="D218" t="str">
            <v>S</v>
          </cell>
          <cell r="E218" t="str">
            <v>CUST</v>
          </cell>
          <cell r="F218">
            <v>60419.600000000006</v>
          </cell>
          <cell r="G218">
            <v>0</v>
          </cell>
          <cell r="H218">
            <v>0</v>
          </cell>
          <cell r="I218">
            <v>0</v>
          </cell>
          <cell r="J218">
            <v>60419.600000000006</v>
          </cell>
          <cell r="K218">
            <v>0</v>
          </cell>
          <cell r="M218">
            <v>0.59419421435740905</v>
          </cell>
          <cell r="N218">
            <v>0</v>
          </cell>
          <cell r="O218">
            <v>0</v>
          </cell>
          <cell r="P218">
            <v>1</v>
          </cell>
          <cell r="Q218">
            <v>0</v>
          </cell>
          <cell r="R218">
            <v>0</v>
          </cell>
          <cell r="S218" t="str">
            <v>CUST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4311</v>
          </cell>
          <cell r="AE218" t="str">
            <v>S</v>
          </cell>
          <cell r="AF218" t="str">
            <v>4311.S</v>
          </cell>
        </row>
        <row r="219">
          <cell r="A219">
            <v>219</v>
          </cell>
          <cell r="F219">
            <v>60419.600000000006</v>
          </cell>
          <cell r="G219">
            <v>0</v>
          </cell>
          <cell r="H219">
            <v>0</v>
          </cell>
          <cell r="I219">
            <v>0</v>
          </cell>
          <cell r="J219">
            <v>60419.600000000006</v>
          </cell>
          <cell r="K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4311</v>
          </cell>
          <cell r="AE219" t="str">
            <v>NA</v>
          </cell>
          <cell r="AF219" t="str">
            <v>4311.NA1</v>
          </cell>
        </row>
        <row r="220">
          <cell r="A220">
            <v>220</v>
          </cell>
          <cell r="AD220">
            <v>4311</v>
          </cell>
          <cell r="AE220" t="str">
            <v>NA</v>
          </cell>
          <cell r="AF220" t="str">
            <v>4311.NA2</v>
          </cell>
        </row>
        <row r="221">
          <cell r="A221">
            <v>221</v>
          </cell>
          <cell r="B221" t="str">
            <v>Total Miscellaneous Expenses</v>
          </cell>
          <cell r="F221">
            <v>60419.600000000006</v>
          </cell>
          <cell r="G221">
            <v>0</v>
          </cell>
          <cell r="H221">
            <v>0</v>
          </cell>
          <cell r="I221">
            <v>0</v>
          </cell>
          <cell r="J221">
            <v>60419.600000000006</v>
          </cell>
          <cell r="K221">
            <v>0</v>
          </cell>
          <cell r="N221">
            <v>0</v>
          </cell>
          <cell r="O221">
            <v>0</v>
          </cell>
          <cell r="P221">
            <v>1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</v>
          </cell>
        </row>
        <row r="222">
          <cell r="A222">
            <v>222</v>
          </cell>
          <cell r="AD222" t="str">
            <v>Total Miscellaneous Expenses</v>
          </cell>
          <cell r="AE222" t="str">
            <v>NA</v>
          </cell>
          <cell r="AF222" t="str">
            <v>Total Miscellaneous Expenses.NA1</v>
          </cell>
        </row>
        <row r="223">
          <cell r="A223">
            <v>223</v>
          </cell>
          <cell r="B223" t="str">
            <v>Net Misc Revenue and Expense</v>
          </cell>
          <cell r="F223">
            <v>65435.101564292789</v>
          </cell>
          <cell r="G223">
            <v>5947.1563946623028</v>
          </cell>
          <cell r="H223">
            <v>81.005833750026895</v>
          </cell>
          <cell r="I223">
            <v>-1012.6606641195482</v>
          </cell>
          <cell r="J223">
            <v>60419.600000000006</v>
          </cell>
          <cell r="K223">
            <v>0</v>
          </cell>
          <cell r="N223">
            <v>3533.7659215870081</v>
          </cell>
          <cell r="O223">
            <v>2413.3904730752947</v>
          </cell>
          <cell r="Q223">
            <v>81.005833750026895</v>
          </cell>
          <cell r="R223">
            <v>0</v>
          </cell>
          <cell r="T223">
            <v>-151.31000164146761</v>
          </cell>
          <cell r="U223">
            <v>-474.3074287311332</v>
          </cell>
          <cell r="V223">
            <v>-228.30374304779932</v>
          </cell>
          <cell r="W223">
            <v>-26.751195025883085</v>
          </cell>
          <cell r="X223">
            <v>-131.9882956732649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</v>
          </cell>
        </row>
        <row r="224">
          <cell r="A224">
            <v>224</v>
          </cell>
          <cell r="AD224" t="str">
            <v>Net Misc Revenue and Expense</v>
          </cell>
          <cell r="AE224" t="str">
            <v>NA</v>
          </cell>
          <cell r="AF224" t="str">
            <v>Net Misc Revenue and Expense.NA1</v>
          </cell>
        </row>
        <row r="225">
          <cell r="A225">
            <v>225</v>
          </cell>
          <cell r="B225">
            <v>500</v>
          </cell>
          <cell r="C225" t="str">
            <v>Operation Supervision &amp; Engineering</v>
          </cell>
          <cell r="AD225">
            <v>500</v>
          </cell>
          <cell r="AE225" t="str">
            <v>NA</v>
          </cell>
          <cell r="AF225" t="str">
            <v>500.NA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38325.703398732665</v>
          </cell>
          <cell r="G226">
            <v>38325.703398732665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0.59419421435740905</v>
          </cell>
          <cell r="N226">
            <v>22772.911220705038</v>
          </cell>
          <cell r="O226">
            <v>15552.792178027628</v>
          </cell>
          <cell r="P226">
            <v>1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</v>
          </cell>
        </row>
        <row r="227">
          <cell r="A227">
            <v>227</v>
          </cell>
          <cell r="D227" t="str">
            <v>JBG</v>
          </cell>
          <cell r="E227" t="str">
            <v>P</v>
          </cell>
          <cell r="F227">
            <v>3052057.0813447139</v>
          </cell>
          <cell r="G227">
            <v>3052057.0813447139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0.59419421435740905</v>
          </cell>
          <cell r="N227">
            <v>1813514.6596235891</v>
          </cell>
          <cell r="O227">
            <v>1238542.4217211248</v>
          </cell>
          <cell r="P227">
            <v>1</v>
          </cell>
          <cell r="Q227">
            <v>0</v>
          </cell>
          <cell r="R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JBG</v>
          </cell>
          <cell r="AF227" t="str">
            <v>500.JBG</v>
          </cell>
        </row>
        <row r="228">
          <cell r="A228">
            <v>228</v>
          </cell>
          <cell r="D228" t="str">
            <v>CAGW</v>
          </cell>
          <cell r="E228" t="str">
            <v>P</v>
          </cell>
          <cell r="F228">
            <v>5168.3697811154125</v>
          </cell>
          <cell r="G228">
            <v>5168.3697811154125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0.59419421435740905</v>
          </cell>
          <cell r="N228">
            <v>3071.0154215984467</v>
          </cell>
          <cell r="O228">
            <v>2097.3543595169658</v>
          </cell>
          <cell r="P228">
            <v>1</v>
          </cell>
          <cell r="Q228">
            <v>0</v>
          </cell>
          <cell r="R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500</v>
          </cell>
          <cell r="AE228" t="str">
            <v>CAGW</v>
          </cell>
          <cell r="AF228" t="str">
            <v>500.CAGW</v>
          </cell>
        </row>
        <row r="229">
          <cell r="A229">
            <v>229</v>
          </cell>
          <cell r="F229">
            <v>3095551.1545245619</v>
          </cell>
          <cell r="G229">
            <v>3095551.1545245619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N229">
            <v>1839358.5862658927</v>
          </cell>
          <cell r="O229">
            <v>1256192.5682586692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500</v>
          </cell>
          <cell r="AE229" t="str">
            <v>NA</v>
          </cell>
          <cell r="AF229" t="str">
            <v>500.NA1</v>
          </cell>
        </row>
        <row r="230">
          <cell r="A230">
            <v>230</v>
          </cell>
          <cell r="AD230">
            <v>500</v>
          </cell>
          <cell r="AE230" t="str">
            <v>NA</v>
          </cell>
          <cell r="AF230" t="str">
            <v>500.NA2</v>
          </cell>
        </row>
        <row r="231">
          <cell r="A231">
            <v>231</v>
          </cell>
          <cell r="B231">
            <v>501</v>
          </cell>
          <cell r="C231" t="str">
            <v>Fuel Related</v>
          </cell>
          <cell r="AD231">
            <v>501</v>
          </cell>
          <cell r="AE231" t="str">
            <v>NA</v>
          </cell>
          <cell r="AF231" t="str">
            <v>501.NA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-13377.611575706778</v>
          </cell>
          <cell r="G232">
            <v>-13377.611575706778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-13377.611575706778</v>
          </cell>
          <cell r="Q232">
            <v>0</v>
          </cell>
          <cell r="R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</v>
          </cell>
        </row>
        <row r="233">
          <cell r="A233">
            <v>233</v>
          </cell>
          <cell r="D233" t="str">
            <v>CAGW</v>
          </cell>
          <cell r="E233" t="str">
            <v>P</v>
          </cell>
          <cell r="F233">
            <v>218323.3760474252</v>
          </cell>
          <cell r="G233">
            <v>218323.3760474252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218323.3760474252</v>
          </cell>
          <cell r="Q233">
            <v>0</v>
          </cell>
          <cell r="R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CAGW</v>
          </cell>
          <cell r="AF233" t="str">
            <v>501.CAGW</v>
          </cell>
        </row>
        <row r="234">
          <cell r="A234">
            <v>234</v>
          </cell>
          <cell r="D234" t="str">
            <v>JBE</v>
          </cell>
          <cell r="E234" t="str">
            <v>P</v>
          </cell>
          <cell r="F234">
            <v>661745.42520031659</v>
          </cell>
          <cell r="G234">
            <v>661745.42520031659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661745.42520031659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JBE</v>
          </cell>
          <cell r="AF234" t="str">
            <v>501.JBE</v>
          </cell>
        </row>
        <row r="235">
          <cell r="A235">
            <v>235</v>
          </cell>
          <cell r="D235" t="str">
            <v>JBG</v>
          </cell>
          <cell r="E235" t="str">
            <v>P</v>
          </cell>
          <cell r="F235">
            <v>2549407.9127013339</v>
          </cell>
          <cell r="G235">
            <v>2549407.9127013339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2549407.9127013339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501</v>
          </cell>
          <cell r="AE235" t="str">
            <v>JBG</v>
          </cell>
          <cell r="AF235" t="str">
            <v>501.JBG</v>
          </cell>
        </row>
        <row r="236">
          <cell r="A236">
            <v>236</v>
          </cell>
          <cell r="F236">
            <v>3416099.102373369</v>
          </cell>
          <cell r="G236">
            <v>3416099.102373369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N236">
            <v>0</v>
          </cell>
          <cell r="O236">
            <v>3416099.102373369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501</v>
          </cell>
          <cell r="AE236" t="str">
            <v>NA</v>
          </cell>
          <cell r="AF236" t="str">
            <v>501.NA1</v>
          </cell>
        </row>
        <row r="237">
          <cell r="A237">
            <v>237</v>
          </cell>
          <cell r="AD237">
            <v>501</v>
          </cell>
          <cell r="AE237" t="str">
            <v>NA</v>
          </cell>
          <cell r="AF237" t="str">
            <v>501.NA2</v>
          </cell>
        </row>
        <row r="238">
          <cell r="A238">
            <v>238</v>
          </cell>
          <cell r="B238" t="str">
            <v>501NPC</v>
          </cell>
          <cell r="C238" t="str">
            <v>Fuel Related - NPC</v>
          </cell>
          <cell r="AD238" t="str">
            <v>501NPC</v>
          </cell>
          <cell r="AE238" t="str">
            <v>NA</v>
          </cell>
          <cell r="AF238" t="str">
            <v>501NPC.NA</v>
          </cell>
        </row>
        <row r="239">
          <cell r="A239">
            <v>239</v>
          </cell>
          <cell r="D239" t="str">
            <v>S</v>
          </cell>
          <cell r="E239" t="str">
            <v>P</v>
          </cell>
          <cell r="F239">
            <v>-4714257.427668673</v>
          </cell>
          <cell r="G239">
            <v>-4714257.427668673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-4714257.427668673</v>
          </cell>
          <cell r="AD239" t="str">
            <v>501NPC</v>
          </cell>
          <cell r="AE239" t="str">
            <v>S</v>
          </cell>
          <cell r="AF239" t="str">
            <v>501NPC.S</v>
          </cell>
        </row>
        <row r="240">
          <cell r="A240">
            <v>240</v>
          </cell>
          <cell r="D240" t="str">
            <v>CAEW</v>
          </cell>
          <cell r="E240" t="str">
            <v>P</v>
          </cell>
          <cell r="F240">
            <v>54296795.032486156</v>
          </cell>
          <cell r="G240">
            <v>54296795.032486156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54296795.032486156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CAEW</v>
          </cell>
          <cell r="AF240" t="str">
            <v>501NPC.CAEW</v>
          </cell>
        </row>
        <row r="241">
          <cell r="A241">
            <v>241</v>
          </cell>
          <cell r="C241" t="str">
            <v>Total Fuel Related</v>
          </cell>
          <cell r="F241">
            <v>52998636.707190849</v>
          </cell>
          <cell r="G241">
            <v>52998636.707190849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52998636.707190849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AD243" t="str">
            <v>501NPC</v>
          </cell>
          <cell r="AE243" t="str">
            <v>NA</v>
          </cell>
          <cell r="AF243" t="str">
            <v>501NPC.NA3</v>
          </cell>
        </row>
        <row r="244">
          <cell r="A244">
            <v>244</v>
          </cell>
          <cell r="B244">
            <v>502</v>
          </cell>
          <cell r="C244" t="str">
            <v>Steam Expenses</v>
          </cell>
          <cell r="AD244">
            <v>502</v>
          </cell>
          <cell r="AE244" t="str">
            <v>NA</v>
          </cell>
          <cell r="AF244" t="str">
            <v>502.NA</v>
          </cell>
        </row>
        <row r="245">
          <cell r="A245">
            <v>245</v>
          </cell>
          <cell r="D245" t="str">
            <v>CAGW</v>
          </cell>
          <cell r="E245" t="str">
            <v>P</v>
          </cell>
          <cell r="F245">
            <v>159536.78557164085</v>
          </cell>
          <cell r="G245">
            <v>159536.78557164085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0.59419421435740905</v>
          </cell>
          <cell r="N245">
            <v>94795.834963847563</v>
          </cell>
          <cell r="O245">
            <v>64740.950607793282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CAGW</v>
          </cell>
          <cell r="AF245" t="str">
            <v>502.CAGW</v>
          </cell>
        </row>
        <row r="246">
          <cell r="A246">
            <v>246</v>
          </cell>
          <cell r="D246" t="str">
            <v>JBG</v>
          </cell>
          <cell r="E246" t="str">
            <v>P</v>
          </cell>
          <cell r="F246">
            <v>4481517.5890261848</v>
          </cell>
          <cell r="G246">
            <v>4481517.5890261848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0.59419421435740905</v>
          </cell>
          <cell r="N246">
            <v>2662891.822940324</v>
          </cell>
          <cell r="O246">
            <v>1818625.766085861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JBG</v>
          </cell>
          <cell r="AF246" t="str">
            <v>502.JBG</v>
          </cell>
        </row>
        <row r="247">
          <cell r="A247">
            <v>247</v>
          </cell>
          <cell r="F247">
            <v>4641054.374597826</v>
          </cell>
          <cell r="G247">
            <v>4641054.374597826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N247">
            <v>2757687.6579041714</v>
          </cell>
          <cell r="O247">
            <v>1883366.7166936542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502</v>
          </cell>
          <cell r="AE247" t="str">
            <v>NA</v>
          </cell>
          <cell r="AF247" t="str">
            <v>502.NA1</v>
          </cell>
        </row>
        <row r="248">
          <cell r="A248">
            <v>248</v>
          </cell>
          <cell r="AD248">
            <v>502</v>
          </cell>
          <cell r="AE248" t="str">
            <v>NA</v>
          </cell>
          <cell r="AF248" t="str">
            <v>502.NA2</v>
          </cell>
        </row>
        <row r="249">
          <cell r="A249">
            <v>249</v>
          </cell>
          <cell r="B249">
            <v>503</v>
          </cell>
          <cell r="C249" t="str">
            <v>Steam From Other Sources</v>
          </cell>
          <cell r="AD249">
            <v>503</v>
          </cell>
          <cell r="AE249" t="str">
            <v>NA</v>
          </cell>
          <cell r="AF249" t="str">
            <v>503.NA</v>
          </cell>
        </row>
        <row r="250">
          <cell r="A250">
            <v>250</v>
          </cell>
          <cell r="D250" t="str">
            <v>SE</v>
          </cell>
          <cell r="E250" t="str">
            <v>P</v>
          </cell>
          <cell r="F250">
            <v>339903.47444253182</v>
          </cell>
          <cell r="G250">
            <v>339903.47444253182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339903.47444253182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503</v>
          </cell>
          <cell r="AE250" t="str">
            <v>SE</v>
          </cell>
          <cell r="AF250" t="str">
            <v>503.SE</v>
          </cell>
        </row>
        <row r="251">
          <cell r="A251">
            <v>251</v>
          </cell>
          <cell r="AD251">
            <v>503</v>
          </cell>
          <cell r="AE251" t="str">
            <v>NA</v>
          </cell>
          <cell r="AF251" t="str">
            <v>503.NA1</v>
          </cell>
        </row>
        <row r="252">
          <cell r="A252">
            <v>252</v>
          </cell>
          <cell r="B252" t="str">
            <v>503NPC</v>
          </cell>
          <cell r="C252" t="str">
            <v>Steam From Other Sources-NPC</v>
          </cell>
          <cell r="AD252" t="str">
            <v>503NPC</v>
          </cell>
          <cell r="AE252" t="str">
            <v>NA</v>
          </cell>
          <cell r="AF252" t="str">
            <v>503NPC.NA</v>
          </cell>
        </row>
        <row r="253">
          <cell r="A253">
            <v>253</v>
          </cell>
          <cell r="D253" t="str">
            <v>SE</v>
          </cell>
          <cell r="E253" t="str">
            <v>P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SE</v>
          </cell>
          <cell r="AF253" t="str">
            <v>503NPC.SE</v>
          </cell>
        </row>
        <row r="254">
          <cell r="A254">
            <v>254</v>
          </cell>
          <cell r="D254" t="str">
            <v>CAEW</v>
          </cell>
          <cell r="E254" t="str">
            <v>P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 t="str">
            <v>503NPC</v>
          </cell>
          <cell r="AE254" t="str">
            <v>CAEW</v>
          </cell>
          <cell r="AF254" t="str">
            <v>503NPC.CAEW</v>
          </cell>
        </row>
        <row r="255">
          <cell r="A255">
            <v>255</v>
          </cell>
          <cell r="D255" t="str">
            <v>CAEE</v>
          </cell>
          <cell r="E255" t="str">
            <v>P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 t="str">
            <v>503NPC</v>
          </cell>
          <cell r="AE255" t="str">
            <v>CAEE</v>
          </cell>
          <cell r="AF255" t="str">
            <v>503NPC.CAEE</v>
          </cell>
        </row>
        <row r="256">
          <cell r="A256">
            <v>256</v>
          </cell>
          <cell r="C256" t="str">
            <v>Total Steam From Other Sources</v>
          </cell>
          <cell r="F256">
            <v>339903.47444253182</v>
          </cell>
          <cell r="G256">
            <v>339903.47444253182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N256">
            <v>0</v>
          </cell>
          <cell r="O256">
            <v>339903.47444253182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 t="str">
            <v>503NPC</v>
          </cell>
          <cell r="AE256" t="str">
            <v>NA</v>
          </cell>
          <cell r="AF256" t="str">
            <v>503NPC.NA1</v>
          </cell>
        </row>
        <row r="257">
          <cell r="A257">
            <v>257</v>
          </cell>
          <cell r="AD257" t="str">
            <v>503NPC</v>
          </cell>
          <cell r="AE257" t="str">
            <v>NA</v>
          </cell>
          <cell r="AF257" t="str">
            <v>503NPC.NA2</v>
          </cell>
        </row>
        <row r="258">
          <cell r="A258">
            <v>258</v>
          </cell>
          <cell r="B258">
            <v>505</v>
          </cell>
          <cell r="C258" t="str">
            <v>Electric Expenses</v>
          </cell>
          <cell r="AD258">
            <v>505</v>
          </cell>
          <cell r="AE258" t="str">
            <v>NA</v>
          </cell>
          <cell r="AF258" t="str">
            <v>505.NA</v>
          </cell>
        </row>
        <row r="259">
          <cell r="A259">
            <v>259</v>
          </cell>
          <cell r="D259" t="str">
            <v>CAGW</v>
          </cell>
          <cell r="E259" t="str">
            <v>P</v>
          </cell>
          <cell r="F259">
            <v>6836.319898727189</v>
          </cell>
          <cell r="G259">
            <v>6836.319898727189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0.59419421435740905</v>
          </cell>
          <cell r="N259">
            <v>4062.1017313201241</v>
          </cell>
          <cell r="O259">
            <v>2774.2181674070648</v>
          </cell>
          <cell r="Q259">
            <v>0</v>
          </cell>
          <cell r="R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505</v>
          </cell>
          <cell r="AE259" t="str">
            <v>CAGW</v>
          </cell>
          <cell r="AF259" t="str">
            <v>505.CAGW</v>
          </cell>
        </row>
        <row r="260">
          <cell r="A260">
            <v>260</v>
          </cell>
          <cell r="D260" t="str">
            <v>JBG</v>
          </cell>
          <cell r="E260" t="str">
            <v>P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0.59419421435740905</v>
          </cell>
          <cell r="N260">
            <v>0</v>
          </cell>
          <cell r="O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505</v>
          </cell>
          <cell r="AE260" t="str">
            <v>JBG</v>
          </cell>
          <cell r="AF260" t="str">
            <v>505.JBG</v>
          </cell>
        </row>
        <row r="261">
          <cell r="A261">
            <v>261</v>
          </cell>
          <cell r="F261">
            <v>6836.319898727189</v>
          </cell>
          <cell r="G261">
            <v>6836.319898727189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N261">
            <v>4062.1017313201241</v>
          </cell>
          <cell r="O261">
            <v>2774.2181674070648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505</v>
          </cell>
          <cell r="AE261" t="str">
            <v>NA</v>
          </cell>
          <cell r="AF261" t="str">
            <v>505.NA1</v>
          </cell>
        </row>
        <row r="262">
          <cell r="A262">
            <v>262</v>
          </cell>
          <cell r="AD262">
            <v>505</v>
          </cell>
          <cell r="AE262" t="str">
            <v>NA</v>
          </cell>
          <cell r="AF262" t="str">
            <v>505.NA2</v>
          </cell>
        </row>
        <row r="263">
          <cell r="A263">
            <v>263</v>
          </cell>
          <cell r="B263">
            <v>506</v>
          </cell>
          <cell r="C263" t="str">
            <v>Misc. Steam Expense</v>
          </cell>
          <cell r="AD263">
            <v>506</v>
          </cell>
          <cell r="AE263" t="str">
            <v>NA</v>
          </cell>
          <cell r="AF263" t="str">
            <v>506.NA</v>
          </cell>
        </row>
        <row r="264">
          <cell r="A264">
            <v>264</v>
          </cell>
          <cell r="D264" t="str">
            <v>CAGW</v>
          </cell>
          <cell r="E264" t="str">
            <v>P</v>
          </cell>
          <cell r="F264">
            <v>308275.4484335648</v>
          </cell>
          <cell r="G264">
            <v>308275.4484335648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0.59419421435740905</v>
          </cell>
          <cell r="N264">
            <v>183175.48788766001</v>
          </cell>
          <cell r="O264">
            <v>125099.9605459048</v>
          </cell>
          <cell r="Q264">
            <v>0</v>
          </cell>
          <cell r="R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CAGW</v>
          </cell>
          <cell r="AF264" t="str">
            <v>506.CAGW</v>
          </cell>
        </row>
        <row r="265">
          <cell r="A265">
            <v>265</v>
          </cell>
          <cell r="D265" t="str">
            <v>SG</v>
          </cell>
          <cell r="E265" t="str">
            <v>P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0.59419421435740905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506</v>
          </cell>
          <cell r="AE265" t="str">
            <v>SG</v>
          </cell>
          <cell r="AF265" t="str">
            <v>506.SG</v>
          </cell>
        </row>
        <row r="266">
          <cell r="A266">
            <v>266</v>
          </cell>
          <cell r="D266" t="str">
            <v>JBG</v>
          </cell>
          <cell r="E266" t="str">
            <v>P</v>
          </cell>
          <cell r="F266">
            <v>-4931720.9065854121</v>
          </cell>
          <cell r="G266">
            <v>-4931720.9065854121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0.59419421435740905</v>
          </cell>
          <cell r="N266">
            <v>-2930400.0295185279</v>
          </cell>
          <cell r="O266">
            <v>-2001320.877066884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506</v>
          </cell>
          <cell r="AE266" t="str">
            <v>JBG</v>
          </cell>
          <cell r="AF266" t="str">
            <v>506.JBG</v>
          </cell>
        </row>
        <row r="267">
          <cell r="A267">
            <v>267</v>
          </cell>
          <cell r="F267">
            <v>-4623445.4581518471</v>
          </cell>
          <cell r="G267">
            <v>-4623445.4581518471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N267">
            <v>-2747224.5416308679</v>
          </cell>
          <cell r="O267">
            <v>-1876220.9165209793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506</v>
          </cell>
          <cell r="AE267" t="str">
            <v>NA</v>
          </cell>
          <cell r="AF267" t="str">
            <v>506.NA1</v>
          </cell>
        </row>
        <row r="268">
          <cell r="A268">
            <v>268</v>
          </cell>
          <cell r="AD268">
            <v>506</v>
          </cell>
          <cell r="AE268" t="str">
            <v>NA</v>
          </cell>
          <cell r="AF268" t="str">
            <v>506.NA2</v>
          </cell>
        </row>
        <row r="269">
          <cell r="A269">
            <v>269</v>
          </cell>
          <cell r="B269">
            <v>507</v>
          </cell>
          <cell r="C269" t="str">
            <v>Rents</v>
          </cell>
          <cell r="AD269">
            <v>507</v>
          </cell>
          <cell r="AE269" t="str">
            <v>NA</v>
          </cell>
          <cell r="AF269" t="str">
            <v>507.NA</v>
          </cell>
        </row>
        <row r="270">
          <cell r="A270">
            <v>270</v>
          </cell>
          <cell r="D270" t="str">
            <v>CAGW</v>
          </cell>
          <cell r="E270" t="str">
            <v>P</v>
          </cell>
          <cell r="F270">
            <v>3429.9923840207675</v>
          </cell>
          <cell r="G270">
            <v>3429.9923840207675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0.59419421435740905</v>
          </cell>
          <cell r="N270">
            <v>2038.0816298751165</v>
          </cell>
          <cell r="O270">
            <v>1391.910754145651</v>
          </cell>
          <cell r="Q270">
            <v>0</v>
          </cell>
          <cell r="R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507</v>
          </cell>
          <cell r="AE270" t="str">
            <v>CAGW</v>
          </cell>
          <cell r="AF270" t="str">
            <v>507.CAGW</v>
          </cell>
        </row>
        <row r="271">
          <cell r="A271">
            <v>271</v>
          </cell>
          <cell r="D271" t="str">
            <v>JBG</v>
          </cell>
          <cell r="E271" t="str">
            <v>P</v>
          </cell>
          <cell r="F271">
            <v>70969.33108166141</v>
          </cell>
          <cell r="G271">
            <v>70969.33108166141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0.59419421435740905</v>
          </cell>
          <cell r="N271">
            <v>42169.565925538649</v>
          </cell>
          <cell r="O271">
            <v>28799.765156122758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507</v>
          </cell>
          <cell r="AE271" t="str">
            <v>JBG</v>
          </cell>
          <cell r="AF271" t="str">
            <v>507.JBG</v>
          </cell>
        </row>
        <row r="272">
          <cell r="A272">
            <v>272</v>
          </cell>
          <cell r="F272">
            <v>74399.323465682173</v>
          </cell>
          <cell r="G272">
            <v>74399.323465682173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N272">
            <v>44207.647555413765</v>
          </cell>
          <cell r="O272">
            <v>30191.675910268408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507</v>
          </cell>
          <cell r="AE272" t="str">
            <v>NA</v>
          </cell>
          <cell r="AF272" t="str">
            <v>507.NA1</v>
          </cell>
        </row>
        <row r="273">
          <cell r="A273">
            <v>273</v>
          </cell>
          <cell r="AD273">
            <v>507</v>
          </cell>
          <cell r="AE273" t="str">
            <v>NA</v>
          </cell>
          <cell r="AF273" t="str">
            <v>507.NA2</v>
          </cell>
        </row>
        <row r="274">
          <cell r="A274">
            <v>274</v>
          </cell>
          <cell r="B274">
            <v>510</v>
          </cell>
          <cell r="C274" t="str">
            <v>Maint Supervision &amp; Engineering</v>
          </cell>
          <cell r="AD274">
            <v>510</v>
          </cell>
          <cell r="AE274" t="str">
            <v>NA</v>
          </cell>
          <cell r="AF274" t="str">
            <v>510.NA</v>
          </cell>
        </row>
        <row r="275">
          <cell r="A275">
            <v>275</v>
          </cell>
          <cell r="D275" t="str">
            <v>CAGW</v>
          </cell>
          <cell r="E275" t="str">
            <v>P</v>
          </cell>
          <cell r="F275">
            <v>39073.263881187711</v>
          </cell>
          <cell r="G275">
            <v>39073.263881187711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0.59419421435740905</v>
          </cell>
          <cell r="N275">
            <v>23217.107334262058</v>
          </cell>
          <cell r="O275">
            <v>15856.156546925651</v>
          </cell>
          <cell r="Q275">
            <v>0</v>
          </cell>
          <cell r="R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510</v>
          </cell>
          <cell r="AE275" t="str">
            <v>CAGW</v>
          </cell>
          <cell r="AF275" t="str">
            <v>510.CAGW</v>
          </cell>
        </row>
        <row r="276">
          <cell r="A276">
            <v>276</v>
          </cell>
          <cell r="D276" t="str">
            <v>JBG</v>
          </cell>
          <cell r="E276" t="str">
            <v>P</v>
          </cell>
          <cell r="F276">
            <v>172307.58999462175</v>
          </cell>
          <cell r="G276">
            <v>172307.58999462175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0.59419421435740905</v>
          </cell>
          <cell r="N276">
            <v>102384.17306467282</v>
          </cell>
          <cell r="O276">
            <v>69923.416929948929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510</v>
          </cell>
          <cell r="AE276" t="str">
            <v>JBG</v>
          </cell>
          <cell r="AF276" t="str">
            <v>510.JBG</v>
          </cell>
        </row>
        <row r="277">
          <cell r="A277">
            <v>277</v>
          </cell>
          <cell r="F277">
            <v>211380.85387580947</v>
          </cell>
          <cell r="G277">
            <v>211380.85387580947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N277">
            <v>125601.28039893488</v>
          </cell>
          <cell r="O277">
            <v>85779.573476874575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510</v>
          </cell>
          <cell r="AE277" t="str">
            <v>NA</v>
          </cell>
          <cell r="AF277" t="str">
            <v>510.NA1</v>
          </cell>
        </row>
        <row r="278">
          <cell r="A278">
            <v>278</v>
          </cell>
          <cell r="AD278">
            <v>510</v>
          </cell>
          <cell r="AE278" t="str">
            <v>NA</v>
          </cell>
          <cell r="AF278" t="str">
            <v>510.NA2</v>
          </cell>
        </row>
        <row r="279">
          <cell r="A279">
            <v>279</v>
          </cell>
          <cell r="B279">
            <v>511</v>
          </cell>
          <cell r="C279" t="str">
            <v>Maintenance of Structures</v>
          </cell>
          <cell r="AD279">
            <v>511</v>
          </cell>
          <cell r="AE279" t="str">
            <v>NA</v>
          </cell>
          <cell r="AF279" t="str">
            <v>511.NA</v>
          </cell>
        </row>
        <row r="280">
          <cell r="A280">
            <v>280</v>
          </cell>
          <cell r="D280" t="str">
            <v>CAGW</v>
          </cell>
          <cell r="E280" t="str">
            <v>P</v>
          </cell>
          <cell r="F280">
            <v>51787.30109172505</v>
          </cell>
          <cell r="G280">
            <v>51787.30109172505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0.59419421435740905</v>
          </cell>
          <cell r="N280">
            <v>30771.714685888157</v>
          </cell>
          <cell r="O280">
            <v>21015.586405836893</v>
          </cell>
          <cell r="Q280">
            <v>0</v>
          </cell>
          <cell r="R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511</v>
          </cell>
          <cell r="AE280" t="str">
            <v>CAGW</v>
          </cell>
          <cell r="AF280" t="str">
            <v>511.CAGW</v>
          </cell>
        </row>
        <row r="281">
          <cell r="A281">
            <v>281</v>
          </cell>
          <cell r="D281" t="str">
            <v>JBG</v>
          </cell>
          <cell r="E281" t="str">
            <v>P</v>
          </cell>
          <cell r="F281">
            <v>2335258.5408615684</v>
          </cell>
          <cell r="G281">
            <v>2335258.5408615684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0.59419421435740905</v>
          </cell>
          <cell r="N281">
            <v>1387597.114008669</v>
          </cell>
          <cell r="O281">
            <v>947661.42685289937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511</v>
          </cell>
          <cell r="AE281" t="str">
            <v>JBG</v>
          </cell>
          <cell r="AF281" t="str">
            <v>511.JBG</v>
          </cell>
        </row>
        <row r="282">
          <cell r="A282">
            <v>282</v>
          </cell>
          <cell r="F282">
            <v>2387045.8419532934</v>
          </cell>
          <cell r="G282">
            <v>2387045.8419532934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N282">
            <v>1418368.8286945573</v>
          </cell>
          <cell r="O282">
            <v>968677.01325873623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511</v>
          </cell>
          <cell r="AE282" t="str">
            <v>NA</v>
          </cell>
          <cell r="AF282" t="str">
            <v>511.NA1</v>
          </cell>
        </row>
        <row r="283">
          <cell r="A283">
            <v>283</v>
          </cell>
          <cell r="AD283">
            <v>511</v>
          </cell>
          <cell r="AE283" t="str">
            <v>NA</v>
          </cell>
          <cell r="AF283" t="str">
            <v>511.NA2</v>
          </cell>
        </row>
        <row r="284">
          <cell r="A284">
            <v>284</v>
          </cell>
          <cell r="B284">
            <v>512</v>
          </cell>
          <cell r="C284" t="str">
            <v>Maintenance of Boiler Plant</v>
          </cell>
          <cell r="AD284">
            <v>512</v>
          </cell>
          <cell r="AE284" t="str">
            <v>NA</v>
          </cell>
          <cell r="AF284" t="str">
            <v>512.NA</v>
          </cell>
        </row>
        <row r="285">
          <cell r="A285">
            <v>285</v>
          </cell>
          <cell r="D285" t="str">
            <v>SG</v>
          </cell>
          <cell r="E285" t="str">
            <v>P</v>
          </cell>
          <cell r="F285">
            <v>263779.47855041223</v>
          </cell>
          <cell r="G285">
            <v>263779.47855041223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0.59419421435740905</v>
          </cell>
          <cell r="N285">
            <v>156736.24002086921</v>
          </cell>
          <cell r="O285">
            <v>107043.238529543</v>
          </cell>
          <cell r="Q285">
            <v>0</v>
          </cell>
          <cell r="R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512</v>
          </cell>
          <cell r="AE285" t="str">
            <v>SG</v>
          </cell>
          <cell r="AF285" t="str">
            <v>512.SG</v>
          </cell>
        </row>
        <row r="286">
          <cell r="A286">
            <v>286</v>
          </cell>
          <cell r="D286" t="str">
            <v>CAGW</v>
          </cell>
          <cell r="E286" t="str">
            <v>P</v>
          </cell>
          <cell r="F286">
            <v>392295.44947119395</v>
          </cell>
          <cell r="G286">
            <v>392295.44947119395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0.59419421435740905</v>
          </cell>
          <cell r="N286">
            <v>233099.68639452275</v>
          </cell>
          <cell r="O286">
            <v>159195.7630766712</v>
          </cell>
          <cell r="Q286">
            <v>0</v>
          </cell>
          <cell r="R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D286">
            <v>512</v>
          </cell>
          <cell r="AE286" t="str">
            <v>CAGW</v>
          </cell>
          <cell r="AF286" t="str">
            <v>512.CAGW</v>
          </cell>
        </row>
        <row r="287">
          <cell r="A287">
            <v>287</v>
          </cell>
          <cell r="D287" t="str">
            <v>JBG</v>
          </cell>
          <cell r="E287" t="str">
            <v>P</v>
          </cell>
          <cell r="F287">
            <v>5529431.7645456009</v>
          </cell>
          <cell r="G287">
            <v>5529431.7645456009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0.59419421435740905</v>
          </cell>
          <cell r="N287">
            <v>3285556.3631770755</v>
          </cell>
          <cell r="O287">
            <v>2243875.4013685253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512</v>
          </cell>
          <cell r="AE287" t="str">
            <v>JBG</v>
          </cell>
          <cell r="AF287" t="str">
            <v>512.JBG</v>
          </cell>
        </row>
        <row r="288">
          <cell r="A288">
            <v>288</v>
          </cell>
          <cell r="F288">
            <v>6185506.6925672069</v>
          </cell>
          <cell r="G288">
            <v>6185506.6925672069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N288">
            <v>3675392.2895924672</v>
          </cell>
          <cell r="O288">
            <v>2510114.4029747397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512</v>
          </cell>
          <cell r="AE288" t="str">
            <v>NA</v>
          </cell>
          <cell r="AF288" t="str">
            <v>512.NA1</v>
          </cell>
        </row>
        <row r="289">
          <cell r="A289">
            <v>289</v>
          </cell>
          <cell r="AD289">
            <v>512</v>
          </cell>
          <cell r="AE289" t="str">
            <v>NA</v>
          </cell>
          <cell r="AF289" t="str">
            <v>512.NA2</v>
          </cell>
        </row>
        <row r="290">
          <cell r="A290">
            <v>290</v>
          </cell>
          <cell r="B290">
            <v>513</v>
          </cell>
          <cell r="C290" t="str">
            <v>Maintenance of Electric Plant</v>
          </cell>
          <cell r="AD290">
            <v>513</v>
          </cell>
          <cell r="AE290" t="str">
            <v>NA</v>
          </cell>
          <cell r="AF290" t="str">
            <v>513.NA</v>
          </cell>
        </row>
        <row r="291">
          <cell r="A291">
            <v>291</v>
          </cell>
          <cell r="D291" t="str">
            <v>CAGW</v>
          </cell>
          <cell r="E291" t="str">
            <v>P</v>
          </cell>
          <cell r="F291">
            <v>8083.2527631305447</v>
          </cell>
          <cell r="G291">
            <v>8083.2527631305447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0.59419421435740905</v>
          </cell>
          <cell r="N291">
            <v>4803.0220250407101</v>
          </cell>
          <cell r="O291">
            <v>3280.2307380898351</v>
          </cell>
          <cell r="Q291">
            <v>0</v>
          </cell>
          <cell r="R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513</v>
          </cell>
          <cell r="AE291" t="str">
            <v>CAGW</v>
          </cell>
          <cell r="AF291" t="str">
            <v>513.CAGW</v>
          </cell>
        </row>
        <row r="292">
          <cell r="A292">
            <v>292</v>
          </cell>
          <cell r="D292" t="str">
            <v>JBG</v>
          </cell>
          <cell r="E292" t="str">
            <v>P</v>
          </cell>
          <cell r="F292">
            <v>1718173.1561006848</v>
          </cell>
          <cell r="G292">
            <v>1718173.1561006848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0.59419421435740905</v>
          </cell>
          <cell r="N292">
            <v>1020928.5486192363</v>
          </cell>
          <cell r="O292">
            <v>697244.60748144845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513</v>
          </cell>
          <cell r="AE292" t="str">
            <v>JBG</v>
          </cell>
          <cell r="AF292" t="str">
            <v>513.JBG</v>
          </cell>
        </row>
        <row r="293">
          <cell r="A293">
            <v>293</v>
          </cell>
          <cell r="F293">
            <v>1726256.4088638152</v>
          </cell>
          <cell r="G293">
            <v>1726256.4088638152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N293">
            <v>1025731.570644277</v>
          </cell>
          <cell r="O293">
            <v>700524.83821953833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513</v>
          </cell>
          <cell r="AE293" t="str">
            <v>NA</v>
          </cell>
          <cell r="AF293" t="str">
            <v>513.NA1</v>
          </cell>
        </row>
        <row r="294">
          <cell r="A294">
            <v>294</v>
          </cell>
          <cell r="AD294">
            <v>513</v>
          </cell>
          <cell r="AE294" t="str">
            <v>NA</v>
          </cell>
          <cell r="AF294" t="str">
            <v>513.NA2</v>
          </cell>
        </row>
        <row r="295">
          <cell r="A295">
            <v>295</v>
          </cell>
          <cell r="B295">
            <v>514</v>
          </cell>
          <cell r="C295" t="str">
            <v>Maintenance of Misc. Steam Plant</v>
          </cell>
          <cell r="AD295">
            <v>514</v>
          </cell>
          <cell r="AE295" t="str">
            <v>NA</v>
          </cell>
          <cell r="AF295" t="str">
            <v>514.NA</v>
          </cell>
        </row>
        <row r="296">
          <cell r="A296">
            <v>296</v>
          </cell>
          <cell r="D296" t="str">
            <v>CAGW</v>
          </cell>
          <cell r="E296" t="str">
            <v>P</v>
          </cell>
          <cell r="F296">
            <v>63789.655128799524</v>
          </cell>
          <cell r="G296">
            <v>63789.655128799524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0.59419421435740905</v>
          </cell>
          <cell r="N296">
            <v>37903.444013387103</v>
          </cell>
          <cell r="O296">
            <v>25886.211115412421</v>
          </cell>
          <cell r="Q296">
            <v>0</v>
          </cell>
          <cell r="R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514</v>
          </cell>
          <cell r="AE296" t="str">
            <v>CAGW</v>
          </cell>
          <cell r="AF296" t="str">
            <v>514.CAGW</v>
          </cell>
        </row>
        <row r="297">
          <cell r="A297">
            <v>297</v>
          </cell>
          <cell r="D297" t="str">
            <v>JBG</v>
          </cell>
          <cell r="E297" t="str">
            <v>P</v>
          </cell>
          <cell r="F297">
            <v>452043.69433969475</v>
          </cell>
          <cell r="G297">
            <v>452043.69433969475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0.59419421435740905</v>
          </cell>
          <cell r="N297">
            <v>268601.74781339569</v>
          </cell>
          <cell r="O297">
            <v>183441.94652629909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514</v>
          </cell>
          <cell r="AE297" t="str">
            <v>JBG</v>
          </cell>
          <cell r="AF297" t="str">
            <v>514.JBG</v>
          </cell>
        </row>
        <row r="298">
          <cell r="A298">
            <v>298</v>
          </cell>
          <cell r="F298">
            <v>515833.3494684943</v>
          </cell>
          <cell r="G298">
            <v>515833.3494684943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N298">
            <v>306505.19182678277</v>
          </cell>
          <cell r="O298">
            <v>209328.1576417115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514</v>
          </cell>
          <cell r="AE298" t="str">
            <v>NA</v>
          </cell>
          <cell r="AF298" t="str">
            <v>514.NA1</v>
          </cell>
        </row>
        <row r="299">
          <cell r="A299">
            <v>299</v>
          </cell>
          <cell r="AD299">
            <v>514</v>
          </cell>
          <cell r="AE299" t="str">
            <v>NA</v>
          </cell>
          <cell r="AF299" t="str">
            <v>514.NA2</v>
          </cell>
        </row>
        <row r="300">
          <cell r="A300">
            <v>300</v>
          </cell>
          <cell r="B300" t="str">
            <v>Total Steam Power Generation</v>
          </cell>
          <cell r="F300">
            <v>67558959.042696953</v>
          </cell>
          <cell r="G300">
            <v>67558959.042696953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8449690.6129829492</v>
          </cell>
          <cell r="O300">
            <v>59109268.429714002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 t="str">
            <v>Total Steam Power Generation</v>
          </cell>
          <cell r="AE300" t="str">
            <v>NA</v>
          </cell>
          <cell r="AF300" t="str">
            <v>Total Steam Power Generation.NA</v>
          </cell>
        </row>
        <row r="301">
          <cell r="A301">
            <v>301</v>
          </cell>
          <cell r="AD301" t="str">
            <v>Total Steam Power Generation</v>
          </cell>
          <cell r="AE301" t="str">
            <v>NA</v>
          </cell>
          <cell r="AF301" t="str">
            <v>Total Steam Power Generation.NA1</v>
          </cell>
        </row>
        <row r="302">
          <cell r="A302">
            <v>302</v>
          </cell>
          <cell r="AD302" t="str">
            <v>Total Steam Power Generation</v>
          </cell>
          <cell r="AE302" t="str">
            <v>NA</v>
          </cell>
          <cell r="AF302" t="str">
            <v>Total Steam Power Generation.NA2</v>
          </cell>
        </row>
        <row r="303">
          <cell r="A303">
            <v>303</v>
          </cell>
          <cell r="B303">
            <v>517</v>
          </cell>
          <cell r="C303" t="str">
            <v>Operation Super &amp; Engineering</v>
          </cell>
          <cell r="AD303">
            <v>517</v>
          </cell>
          <cell r="AE303" t="str">
            <v>NA</v>
          </cell>
          <cell r="AF303" t="str">
            <v>517.NA</v>
          </cell>
        </row>
        <row r="304">
          <cell r="A304">
            <v>304</v>
          </cell>
          <cell r="D304" t="str">
            <v>SG</v>
          </cell>
          <cell r="E304" t="str">
            <v>P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0.59419421435740905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517</v>
          </cell>
          <cell r="AE304" t="str">
            <v>SG</v>
          </cell>
          <cell r="AF304" t="str">
            <v>517.SG</v>
          </cell>
        </row>
        <row r="305">
          <cell r="A305">
            <v>305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517</v>
          </cell>
          <cell r="AE305" t="str">
            <v>NA</v>
          </cell>
          <cell r="AF305" t="str">
            <v>517.NA1</v>
          </cell>
        </row>
        <row r="306">
          <cell r="A306">
            <v>306</v>
          </cell>
          <cell r="AD306">
            <v>517</v>
          </cell>
          <cell r="AE306" t="str">
            <v>NA</v>
          </cell>
          <cell r="AF306" t="str">
            <v>517.NA2</v>
          </cell>
        </row>
        <row r="307">
          <cell r="A307">
            <v>307</v>
          </cell>
          <cell r="B307">
            <v>518</v>
          </cell>
          <cell r="C307" t="str">
            <v>Nuclear Fuel Expense</v>
          </cell>
          <cell r="AD307">
            <v>518</v>
          </cell>
          <cell r="AE307" t="str">
            <v>NA</v>
          </cell>
          <cell r="AF307" t="str">
            <v>518.NA</v>
          </cell>
        </row>
        <row r="308">
          <cell r="A308">
            <v>308</v>
          </cell>
          <cell r="D308" t="str">
            <v>SE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0.59419421435740905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518</v>
          </cell>
          <cell r="AE308" t="str">
            <v>SE</v>
          </cell>
          <cell r="AF308" t="str">
            <v>518.SE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518</v>
          </cell>
          <cell r="AE309" t="str">
            <v>NA</v>
          </cell>
          <cell r="AF309" t="str">
            <v>518.NA1</v>
          </cell>
        </row>
        <row r="310">
          <cell r="A310">
            <v>310</v>
          </cell>
          <cell r="AD310">
            <v>518</v>
          </cell>
          <cell r="AE310" t="str">
            <v>NA</v>
          </cell>
          <cell r="AF310" t="str">
            <v>518.NA2</v>
          </cell>
        </row>
        <row r="311">
          <cell r="A311">
            <v>311</v>
          </cell>
          <cell r="AD311">
            <v>518</v>
          </cell>
          <cell r="AE311" t="str">
            <v>NA</v>
          </cell>
          <cell r="AF311" t="str">
            <v>518.NA3</v>
          </cell>
        </row>
        <row r="312">
          <cell r="A312">
            <v>312</v>
          </cell>
          <cell r="B312">
            <v>519</v>
          </cell>
          <cell r="C312" t="str">
            <v>Coolants and Water</v>
          </cell>
          <cell r="AD312">
            <v>519</v>
          </cell>
          <cell r="AE312" t="str">
            <v>NA</v>
          </cell>
          <cell r="AF312" t="str">
            <v>519.NA</v>
          </cell>
        </row>
        <row r="313">
          <cell r="A313">
            <v>313</v>
          </cell>
          <cell r="D313" t="str">
            <v>SG</v>
          </cell>
          <cell r="E313" t="str">
            <v>P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0.59419421435740905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519</v>
          </cell>
          <cell r="AE313" t="str">
            <v>SG</v>
          </cell>
          <cell r="AF313" t="str">
            <v>519.SG</v>
          </cell>
        </row>
        <row r="314">
          <cell r="A314">
            <v>314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519</v>
          </cell>
          <cell r="AE314" t="str">
            <v>NA</v>
          </cell>
          <cell r="AF314" t="str">
            <v>519.NA1</v>
          </cell>
        </row>
        <row r="315">
          <cell r="A315">
            <v>315</v>
          </cell>
          <cell r="AD315">
            <v>519</v>
          </cell>
          <cell r="AE315" t="str">
            <v>NA</v>
          </cell>
          <cell r="AF315" t="str">
            <v>519.NA2</v>
          </cell>
        </row>
        <row r="316">
          <cell r="A316">
            <v>316</v>
          </cell>
          <cell r="B316">
            <v>520</v>
          </cell>
          <cell r="C316" t="str">
            <v>Steam Expenses</v>
          </cell>
          <cell r="AD316">
            <v>520</v>
          </cell>
          <cell r="AE316" t="str">
            <v>NA</v>
          </cell>
          <cell r="AF316" t="str">
            <v>520.NA</v>
          </cell>
        </row>
        <row r="317">
          <cell r="A317">
            <v>317</v>
          </cell>
          <cell r="D317" t="str">
            <v>SG</v>
          </cell>
          <cell r="E317" t="str">
            <v>P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0.59419421435740905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520</v>
          </cell>
          <cell r="AE317" t="str">
            <v>SG</v>
          </cell>
          <cell r="AF317" t="str">
            <v>520.SG</v>
          </cell>
        </row>
        <row r="318">
          <cell r="A318">
            <v>318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520</v>
          </cell>
          <cell r="AE318" t="str">
            <v>NA</v>
          </cell>
          <cell r="AF318" t="str">
            <v>520.NA1</v>
          </cell>
        </row>
        <row r="319">
          <cell r="A319">
            <v>319</v>
          </cell>
          <cell r="AD319">
            <v>520</v>
          </cell>
          <cell r="AE319" t="str">
            <v>NA</v>
          </cell>
          <cell r="AF319" t="str">
            <v>520.NA2</v>
          </cell>
        </row>
        <row r="320">
          <cell r="A320">
            <v>320</v>
          </cell>
          <cell r="B320">
            <v>523</v>
          </cell>
          <cell r="C320" t="str">
            <v>Electric Expenses</v>
          </cell>
          <cell r="AD320">
            <v>523</v>
          </cell>
          <cell r="AE320" t="str">
            <v>NA</v>
          </cell>
          <cell r="AF320" t="str">
            <v>523.NA</v>
          </cell>
        </row>
        <row r="321">
          <cell r="A321">
            <v>321</v>
          </cell>
          <cell r="D321" t="str">
            <v>SG</v>
          </cell>
          <cell r="E321" t="str">
            <v>P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0.59419421435740905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523</v>
          </cell>
          <cell r="AE321" t="str">
            <v>SG</v>
          </cell>
          <cell r="AF321" t="str">
            <v>523.SG</v>
          </cell>
        </row>
        <row r="322">
          <cell r="A322">
            <v>322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523</v>
          </cell>
          <cell r="AE322" t="str">
            <v>NA</v>
          </cell>
          <cell r="AF322" t="str">
            <v>523.NA1</v>
          </cell>
        </row>
        <row r="323">
          <cell r="A323">
            <v>323</v>
          </cell>
          <cell r="AD323">
            <v>523</v>
          </cell>
          <cell r="AE323" t="str">
            <v>NA</v>
          </cell>
          <cell r="AF323" t="str">
            <v>523.NA2</v>
          </cell>
        </row>
        <row r="324">
          <cell r="A324">
            <v>324</v>
          </cell>
          <cell r="B324">
            <v>524</v>
          </cell>
          <cell r="C324" t="str">
            <v>Misc. Nuclear Expenses</v>
          </cell>
          <cell r="AD324">
            <v>524</v>
          </cell>
          <cell r="AE324" t="str">
            <v>NA</v>
          </cell>
          <cell r="AF324" t="str">
            <v>524.NA</v>
          </cell>
        </row>
        <row r="325">
          <cell r="A325">
            <v>325</v>
          </cell>
          <cell r="D325" t="str">
            <v>SG</v>
          </cell>
          <cell r="E325" t="str">
            <v>P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0.59419421435740905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524</v>
          </cell>
          <cell r="AE325" t="str">
            <v>SG</v>
          </cell>
          <cell r="AF325" t="str">
            <v>524.SG</v>
          </cell>
        </row>
        <row r="326">
          <cell r="A326">
            <v>326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524</v>
          </cell>
          <cell r="AE326" t="str">
            <v>NA</v>
          </cell>
          <cell r="AF326" t="str">
            <v>524.NA1</v>
          </cell>
        </row>
        <row r="327">
          <cell r="A327">
            <v>327</v>
          </cell>
          <cell r="AD327">
            <v>524</v>
          </cell>
          <cell r="AE327" t="str">
            <v>NA</v>
          </cell>
          <cell r="AF327" t="str">
            <v>524.NA2</v>
          </cell>
        </row>
        <row r="328">
          <cell r="A328">
            <v>328</v>
          </cell>
          <cell r="B328">
            <v>528</v>
          </cell>
          <cell r="C328" t="str">
            <v>Maintenance Super &amp; Engineering</v>
          </cell>
          <cell r="AD328">
            <v>528</v>
          </cell>
          <cell r="AE328" t="str">
            <v>NA</v>
          </cell>
          <cell r="AF328" t="str">
            <v>528.NA</v>
          </cell>
        </row>
        <row r="329">
          <cell r="A329">
            <v>329</v>
          </cell>
          <cell r="D329" t="str">
            <v>SG</v>
          </cell>
          <cell r="E329" t="str">
            <v>P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0.59419421435740905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528</v>
          </cell>
          <cell r="AE329" t="str">
            <v>SG</v>
          </cell>
          <cell r="AF329" t="str">
            <v>528.SG</v>
          </cell>
        </row>
        <row r="330">
          <cell r="A330">
            <v>330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528</v>
          </cell>
          <cell r="AE330" t="str">
            <v>NA</v>
          </cell>
          <cell r="AF330" t="str">
            <v>528.NA1</v>
          </cell>
        </row>
        <row r="331">
          <cell r="A331">
            <v>331</v>
          </cell>
          <cell r="AD331">
            <v>528</v>
          </cell>
          <cell r="AE331" t="str">
            <v>NA</v>
          </cell>
          <cell r="AF331" t="str">
            <v>528.NA2</v>
          </cell>
        </row>
        <row r="332">
          <cell r="A332">
            <v>332</v>
          </cell>
          <cell r="B332">
            <v>529</v>
          </cell>
          <cell r="C332" t="str">
            <v>Maintenance of Structures</v>
          </cell>
          <cell r="AD332">
            <v>529</v>
          </cell>
          <cell r="AE332" t="str">
            <v>NA</v>
          </cell>
          <cell r="AF332" t="str">
            <v>529.NA</v>
          </cell>
        </row>
        <row r="333">
          <cell r="A333">
            <v>333</v>
          </cell>
          <cell r="D333" t="str">
            <v>SG</v>
          </cell>
          <cell r="E333" t="str">
            <v>P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0.59419421435740905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529</v>
          </cell>
          <cell r="AE333" t="str">
            <v>SG</v>
          </cell>
          <cell r="AF333" t="str">
            <v>529.SG</v>
          </cell>
        </row>
        <row r="334">
          <cell r="A334">
            <v>334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529</v>
          </cell>
          <cell r="AE334" t="str">
            <v>NA</v>
          </cell>
          <cell r="AF334" t="str">
            <v>529.NA1</v>
          </cell>
        </row>
        <row r="335">
          <cell r="A335">
            <v>335</v>
          </cell>
          <cell r="AD335">
            <v>529</v>
          </cell>
          <cell r="AE335" t="str">
            <v>NA</v>
          </cell>
          <cell r="AF335" t="str">
            <v>529.NA2</v>
          </cell>
        </row>
        <row r="336">
          <cell r="A336">
            <v>336</v>
          </cell>
          <cell r="B336">
            <v>530</v>
          </cell>
          <cell r="C336" t="str">
            <v>Maintenance of Reactor Plant</v>
          </cell>
          <cell r="AD336">
            <v>530</v>
          </cell>
          <cell r="AE336" t="str">
            <v>NA</v>
          </cell>
          <cell r="AF336" t="str">
            <v>530.NA</v>
          </cell>
        </row>
        <row r="337">
          <cell r="A337">
            <v>337</v>
          </cell>
          <cell r="D337" t="str">
            <v>SG</v>
          </cell>
          <cell r="E337" t="str">
            <v>P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0.59419421435740905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530</v>
          </cell>
          <cell r="AE337" t="str">
            <v>SG</v>
          </cell>
          <cell r="AF337" t="str">
            <v>530.SG</v>
          </cell>
        </row>
        <row r="338">
          <cell r="A338">
            <v>338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D338">
            <v>530</v>
          </cell>
          <cell r="AE338" t="str">
            <v>NA</v>
          </cell>
          <cell r="AF338" t="str">
            <v>530.NA1</v>
          </cell>
        </row>
        <row r="339">
          <cell r="A339">
            <v>339</v>
          </cell>
          <cell r="AD339">
            <v>530</v>
          </cell>
          <cell r="AE339" t="str">
            <v>NA</v>
          </cell>
          <cell r="AF339" t="str">
            <v>530.NA2</v>
          </cell>
        </row>
        <row r="340">
          <cell r="A340">
            <v>340</v>
          </cell>
          <cell r="B340">
            <v>531</v>
          </cell>
          <cell r="C340" t="str">
            <v>Maintenance of Electric Plant</v>
          </cell>
          <cell r="AD340">
            <v>531</v>
          </cell>
          <cell r="AE340" t="str">
            <v>NA</v>
          </cell>
          <cell r="AF340" t="str">
            <v>531.NA</v>
          </cell>
        </row>
        <row r="341">
          <cell r="A341">
            <v>341</v>
          </cell>
          <cell r="D341" t="str">
            <v>SG</v>
          </cell>
          <cell r="E341" t="str">
            <v>P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0.59419421435740905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531</v>
          </cell>
          <cell r="AE341" t="str">
            <v>SG</v>
          </cell>
          <cell r="AF341" t="str">
            <v>531.SG</v>
          </cell>
        </row>
        <row r="342">
          <cell r="A342">
            <v>342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D342">
            <v>531</v>
          </cell>
          <cell r="AE342" t="str">
            <v>NA</v>
          </cell>
          <cell r="AF342" t="str">
            <v>531.NA1</v>
          </cell>
        </row>
        <row r="343">
          <cell r="A343">
            <v>343</v>
          </cell>
          <cell r="AD343">
            <v>531</v>
          </cell>
          <cell r="AE343" t="str">
            <v>NA</v>
          </cell>
          <cell r="AF343" t="str">
            <v>531.NA2</v>
          </cell>
        </row>
        <row r="344">
          <cell r="A344">
            <v>344</v>
          </cell>
          <cell r="B344">
            <v>532</v>
          </cell>
          <cell r="C344" t="str">
            <v>Maintenance of Misc Nuclear</v>
          </cell>
          <cell r="AD344">
            <v>532</v>
          </cell>
          <cell r="AE344" t="str">
            <v>NA</v>
          </cell>
          <cell r="AF344" t="str">
            <v>532.NA</v>
          </cell>
        </row>
        <row r="345">
          <cell r="A345">
            <v>345</v>
          </cell>
          <cell r="D345" t="str">
            <v>SG</v>
          </cell>
          <cell r="E345" t="str">
            <v>P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0.59419421435740905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D345">
            <v>532</v>
          </cell>
          <cell r="AE345" t="str">
            <v>SG</v>
          </cell>
          <cell r="AF345" t="str">
            <v>532.SG</v>
          </cell>
        </row>
        <row r="346">
          <cell r="A346">
            <v>346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532</v>
          </cell>
          <cell r="AE346" t="str">
            <v>NA</v>
          </cell>
          <cell r="AF346" t="str">
            <v>532.NA1</v>
          </cell>
        </row>
        <row r="347">
          <cell r="A347">
            <v>347</v>
          </cell>
          <cell r="AD347">
            <v>532</v>
          </cell>
          <cell r="AE347" t="str">
            <v>NA</v>
          </cell>
          <cell r="AF347" t="str">
            <v>532.NA2</v>
          </cell>
        </row>
        <row r="348">
          <cell r="A348">
            <v>348</v>
          </cell>
          <cell r="B348" t="str">
            <v>Total Nuclear Power Generation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 t="str">
            <v>Total Nuclear Power Generation</v>
          </cell>
          <cell r="AE348" t="str">
            <v>NA</v>
          </cell>
          <cell r="AF348" t="str">
            <v>Total Nuclear Power Generation.NA</v>
          </cell>
        </row>
        <row r="349">
          <cell r="A349">
            <v>349</v>
          </cell>
          <cell r="AD349" t="str">
            <v>Total Nuclear Power Generation</v>
          </cell>
          <cell r="AE349" t="str">
            <v>NA</v>
          </cell>
          <cell r="AF349" t="str">
            <v>Total Nuclear Power Generation.NA1</v>
          </cell>
        </row>
        <row r="350">
          <cell r="A350">
            <v>350</v>
          </cell>
          <cell r="AD350" t="str">
            <v>Total Nuclear Power Generation</v>
          </cell>
          <cell r="AE350" t="str">
            <v>NA</v>
          </cell>
          <cell r="AF350" t="str">
            <v>Total Nuclear Power Generation.NA2</v>
          </cell>
        </row>
        <row r="351">
          <cell r="A351">
            <v>351</v>
          </cell>
        </row>
        <row r="352">
          <cell r="A352">
            <v>352</v>
          </cell>
          <cell r="B352">
            <v>535</v>
          </cell>
          <cell r="C352" t="str">
            <v>Operation Super &amp; Engineering</v>
          </cell>
          <cell r="AD352">
            <v>535</v>
          </cell>
          <cell r="AE352" t="str">
            <v>NA</v>
          </cell>
          <cell r="AF352" t="str">
            <v>535.NA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16651.631132495226</v>
          </cell>
          <cell r="G353">
            <v>16651.631132495226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0.59419421435740905</v>
          </cell>
          <cell r="N353">
            <v>9894.3028785423739</v>
          </cell>
          <cell r="O353">
            <v>6757.3282539528518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535</v>
          </cell>
          <cell r="AE353" t="str">
            <v>SG</v>
          </cell>
          <cell r="AF353" t="str">
            <v>535.SG</v>
          </cell>
        </row>
        <row r="354">
          <cell r="A354">
            <v>354</v>
          </cell>
          <cell r="D354" t="str">
            <v>CAGW</v>
          </cell>
          <cell r="E354" t="str">
            <v>P</v>
          </cell>
          <cell r="F354">
            <v>1853920.2172488305</v>
          </cell>
          <cell r="G354">
            <v>1853920.2172488305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0.59419421435740905</v>
          </cell>
          <cell r="N354">
            <v>1101588.6669694858</v>
          </cell>
          <cell r="O354">
            <v>752331.55027934455</v>
          </cell>
          <cell r="Q354">
            <v>0</v>
          </cell>
          <cell r="R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535</v>
          </cell>
          <cell r="AE354" t="str">
            <v>CAGW</v>
          </cell>
          <cell r="AF354" t="str">
            <v>535.CAGW</v>
          </cell>
        </row>
        <row r="355">
          <cell r="A355">
            <v>355</v>
          </cell>
          <cell r="F355">
            <v>1870571.8483813256</v>
          </cell>
          <cell r="G355">
            <v>1870571.8483813256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N355">
            <v>1111482.9698480282</v>
          </cell>
          <cell r="O355">
            <v>759088.87853329745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D355">
            <v>535</v>
          </cell>
          <cell r="AE355" t="str">
            <v>NA</v>
          </cell>
          <cell r="AF355" t="str">
            <v>535.NA1</v>
          </cell>
        </row>
        <row r="356">
          <cell r="A356">
            <v>356</v>
          </cell>
          <cell r="AD356">
            <v>535</v>
          </cell>
          <cell r="AE356" t="str">
            <v>NA</v>
          </cell>
          <cell r="AF356" t="str">
            <v>535.NA2</v>
          </cell>
        </row>
        <row r="357">
          <cell r="A357">
            <v>357</v>
          </cell>
          <cell r="B357">
            <v>536</v>
          </cell>
          <cell r="C357" t="str">
            <v>Water For Power</v>
          </cell>
          <cell r="AD357">
            <v>536</v>
          </cell>
          <cell r="AE357" t="str">
            <v>NA</v>
          </cell>
          <cell r="AF357" t="str">
            <v>536.NA</v>
          </cell>
        </row>
        <row r="358">
          <cell r="A358">
            <v>358</v>
          </cell>
          <cell r="D358" t="str">
            <v>CAGW1</v>
          </cell>
          <cell r="E358" t="str">
            <v>P</v>
          </cell>
          <cell r="F358">
            <v>8468.316690147356</v>
          </cell>
          <cell r="G358">
            <v>8468.316690147356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0.59419421435740905</v>
          </cell>
          <cell r="N358">
            <v>5031.8247826318429</v>
          </cell>
          <cell r="O358">
            <v>3436.491907515513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536</v>
          </cell>
          <cell r="AE358" t="str">
            <v>CAGW1</v>
          </cell>
          <cell r="AF358" t="str">
            <v>536.CAGW1</v>
          </cell>
        </row>
        <row r="359">
          <cell r="A359">
            <v>359</v>
          </cell>
          <cell r="F359">
            <v>8468.316690147356</v>
          </cell>
          <cell r="G359">
            <v>8468.316690147356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5031.8247826318429</v>
          </cell>
          <cell r="O359">
            <v>3436.491907515513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536</v>
          </cell>
          <cell r="AE359" t="str">
            <v>NA</v>
          </cell>
          <cell r="AF359" t="str">
            <v>536.NA1</v>
          </cell>
        </row>
        <row r="360">
          <cell r="A360">
            <v>360</v>
          </cell>
          <cell r="AD360">
            <v>536</v>
          </cell>
          <cell r="AE360" t="str">
            <v>NA</v>
          </cell>
          <cell r="AF360" t="str">
            <v>536.NA2</v>
          </cell>
        </row>
        <row r="361">
          <cell r="A361">
            <v>361</v>
          </cell>
          <cell r="B361">
            <v>537</v>
          </cell>
          <cell r="C361" t="str">
            <v>Hydraulic Expenses</v>
          </cell>
          <cell r="AD361">
            <v>537</v>
          </cell>
          <cell r="AE361" t="str">
            <v>NA</v>
          </cell>
          <cell r="AF361" t="str">
            <v>537.NA</v>
          </cell>
        </row>
        <row r="362">
          <cell r="A362">
            <v>362</v>
          </cell>
          <cell r="D362" t="str">
            <v>CAGW1</v>
          </cell>
          <cell r="E362" t="str">
            <v>P</v>
          </cell>
          <cell r="F362">
            <v>865099.97768495337</v>
          </cell>
          <cell r="G362">
            <v>865099.97768495337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0.59419421435740905</v>
          </cell>
          <cell r="N362">
            <v>514037.40158112295</v>
          </cell>
          <cell r="O362">
            <v>351062.57610383042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537</v>
          </cell>
          <cell r="AE362" t="str">
            <v>CAGW1</v>
          </cell>
          <cell r="AF362" t="str">
            <v>537.CAGW1</v>
          </cell>
        </row>
        <row r="363">
          <cell r="A363">
            <v>363</v>
          </cell>
          <cell r="F363">
            <v>865099.97768495337</v>
          </cell>
          <cell r="G363">
            <v>865099.97768495337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514037.40158112295</v>
          </cell>
          <cell r="O363">
            <v>351062.57610383042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537</v>
          </cell>
          <cell r="AE363" t="str">
            <v>NA</v>
          </cell>
          <cell r="AF363" t="str">
            <v>537.NA1</v>
          </cell>
        </row>
        <row r="364">
          <cell r="A364">
            <v>364</v>
          </cell>
          <cell r="AD364">
            <v>537</v>
          </cell>
          <cell r="AE364" t="str">
            <v>NA</v>
          </cell>
          <cell r="AF364" t="str">
            <v>537.NA2</v>
          </cell>
        </row>
        <row r="365">
          <cell r="A365">
            <v>365</v>
          </cell>
          <cell r="B365">
            <v>538</v>
          </cell>
          <cell r="C365" t="str">
            <v>Electric Expenses</v>
          </cell>
          <cell r="AD365">
            <v>538</v>
          </cell>
          <cell r="AE365" t="str">
            <v>NA</v>
          </cell>
          <cell r="AF365" t="str">
            <v>538.NA</v>
          </cell>
        </row>
        <row r="366">
          <cell r="A366">
            <v>366</v>
          </cell>
          <cell r="D366" t="str">
            <v>CAGE</v>
          </cell>
          <cell r="E366" t="str">
            <v>P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0.59419421435740905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538</v>
          </cell>
          <cell r="AE366" t="str">
            <v>CAGE</v>
          </cell>
          <cell r="AF366" t="str">
            <v>538.CAGE</v>
          </cell>
        </row>
        <row r="367">
          <cell r="A367">
            <v>367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538</v>
          </cell>
          <cell r="AE367" t="str">
            <v>NA</v>
          </cell>
          <cell r="AF367" t="str">
            <v>538.NA1</v>
          </cell>
        </row>
        <row r="368">
          <cell r="A368">
            <v>368</v>
          </cell>
          <cell r="AD368">
            <v>538</v>
          </cell>
          <cell r="AE368" t="str">
            <v>NA</v>
          </cell>
          <cell r="AF368" t="str">
            <v>538.NA2</v>
          </cell>
        </row>
        <row r="369">
          <cell r="A369">
            <v>369</v>
          </cell>
          <cell r="B369">
            <v>539</v>
          </cell>
          <cell r="C369" t="str">
            <v>Misc. Hydro Expenses</v>
          </cell>
          <cell r="AD369">
            <v>539</v>
          </cell>
          <cell r="AE369" t="str">
            <v>NA</v>
          </cell>
          <cell r="AF369" t="str">
            <v>539.NA</v>
          </cell>
        </row>
        <row r="370">
          <cell r="A370">
            <v>370</v>
          </cell>
          <cell r="D370" t="str">
            <v>CAGW1</v>
          </cell>
          <cell r="E370" t="str">
            <v>P</v>
          </cell>
          <cell r="F370">
            <v>2595248.096006982</v>
          </cell>
          <cell r="G370">
            <v>2595248.096006982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0.59419421435740905</v>
          </cell>
          <cell r="N370">
            <v>1542081.4034694303</v>
          </cell>
          <cell r="O370">
            <v>1053166.6925375517</v>
          </cell>
          <cell r="Q370">
            <v>0</v>
          </cell>
          <cell r="R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D370">
            <v>539</v>
          </cell>
          <cell r="AE370" t="str">
            <v>CAGW1</v>
          </cell>
          <cell r="AF370" t="str">
            <v>539.CAGW1</v>
          </cell>
        </row>
        <row r="371">
          <cell r="A371">
            <v>371</v>
          </cell>
          <cell r="D371" t="str">
            <v>CAEW</v>
          </cell>
          <cell r="E371" t="str">
            <v>P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0.59419421435740905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539</v>
          </cell>
          <cell r="AE371" t="str">
            <v>CAEW</v>
          </cell>
          <cell r="AF371" t="str">
            <v>539.CAEW</v>
          </cell>
        </row>
        <row r="372">
          <cell r="A372">
            <v>372</v>
          </cell>
          <cell r="F372">
            <v>2595248.096006982</v>
          </cell>
          <cell r="G372">
            <v>2595248.096006982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N372">
            <v>1542081.4034694303</v>
          </cell>
          <cell r="O372">
            <v>1053166.6925375517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539</v>
          </cell>
          <cell r="AE372" t="str">
            <v>NA</v>
          </cell>
          <cell r="AF372" t="str">
            <v>539.NA1</v>
          </cell>
        </row>
        <row r="373">
          <cell r="A373">
            <v>373</v>
          </cell>
          <cell r="AD373">
            <v>539</v>
          </cell>
          <cell r="AE373" t="str">
            <v>NA</v>
          </cell>
          <cell r="AF373" t="str">
            <v>539.NA2</v>
          </cell>
        </row>
        <row r="374">
          <cell r="A374">
            <v>374</v>
          </cell>
          <cell r="B374">
            <v>540</v>
          </cell>
          <cell r="C374" t="str">
            <v>Rents (Hydro Generation)</v>
          </cell>
          <cell r="AD374">
            <v>540</v>
          </cell>
          <cell r="AE374" t="str">
            <v>NA</v>
          </cell>
          <cell r="AF374" t="str">
            <v>540.NA</v>
          </cell>
        </row>
        <row r="375">
          <cell r="A375">
            <v>375</v>
          </cell>
          <cell r="D375" t="str">
            <v>CAGW1</v>
          </cell>
          <cell r="E375" t="str">
            <v>P</v>
          </cell>
          <cell r="F375">
            <v>267883.95734718099</v>
          </cell>
          <cell r="G375">
            <v>267883.95734718099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0.59419421435740905</v>
          </cell>
          <cell r="N375">
            <v>159175.09757486187</v>
          </cell>
          <cell r="O375">
            <v>108708.85977231911</v>
          </cell>
          <cell r="Q375">
            <v>0</v>
          </cell>
          <cell r="R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D375">
            <v>540</v>
          </cell>
          <cell r="AE375" t="str">
            <v>CAGW1</v>
          </cell>
          <cell r="AF375" t="str">
            <v>540.CAGW1</v>
          </cell>
        </row>
        <row r="376">
          <cell r="A376">
            <v>376</v>
          </cell>
          <cell r="F376">
            <v>267883.95734718099</v>
          </cell>
          <cell r="G376">
            <v>267883.95734718099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N376">
            <v>159175.09757486187</v>
          </cell>
          <cell r="O376">
            <v>108708.85977231911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540</v>
          </cell>
          <cell r="AE376" t="str">
            <v>NA</v>
          </cell>
          <cell r="AF376" t="str">
            <v>540.NA1</v>
          </cell>
        </row>
        <row r="377">
          <cell r="A377">
            <v>377</v>
          </cell>
          <cell r="AD377">
            <v>540</v>
          </cell>
          <cell r="AE377" t="str">
            <v>NA</v>
          </cell>
          <cell r="AF377" t="str">
            <v>540.NA2</v>
          </cell>
        </row>
        <row r="378">
          <cell r="A378">
            <v>378</v>
          </cell>
          <cell r="B378">
            <v>541</v>
          </cell>
          <cell r="C378" t="str">
            <v>Maint Supervision &amp; Engineering</v>
          </cell>
          <cell r="AD378">
            <v>541</v>
          </cell>
          <cell r="AE378" t="str">
            <v>NA</v>
          </cell>
          <cell r="AF378" t="str">
            <v>541.NA</v>
          </cell>
        </row>
        <row r="379">
          <cell r="A379">
            <v>379</v>
          </cell>
          <cell r="D379" t="str">
            <v>CAGW1</v>
          </cell>
          <cell r="E379" t="str">
            <v>P</v>
          </cell>
          <cell r="F379">
            <v>101.38691332490728</v>
          </cell>
          <cell r="G379">
            <v>101.38691332490728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0.59419421435740905</v>
          </cell>
          <cell r="N379">
            <v>60.24351730921601</v>
          </cell>
          <cell r="O379">
            <v>41.143396015691273</v>
          </cell>
          <cell r="Q379">
            <v>0</v>
          </cell>
          <cell r="R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D379">
            <v>541</v>
          </cell>
          <cell r="AE379" t="str">
            <v>CAGW1</v>
          </cell>
          <cell r="AF379" t="str">
            <v>541.CAGW1</v>
          </cell>
        </row>
        <row r="380">
          <cell r="A380">
            <v>380</v>
          </cell>
          <cell r="F380">
            <v>101.38691332490728</v>
          </cell>
          <cell r="G380">
            <v>101.38691332490728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N380">
            <v>60.24351730921601</v>
          </cell>
          <cell r="O380">
            <v>41.143396015691273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541</v>
          </cell>
          <cell r="AE380" t="str">
            <v>NA</v>
          </cell>
          <cell r="AF380" t="str">
            <v>541.NA1</v>
          </cell>
        </row>
        <row r="381">
          <cell r="A381">
            <v>381</v>
          </cell>
          <cell r="AD381">
            <v>541</v>
          </cell>
          <cell r="AE381" t="str">
            <v>NA</v>
          </cell>
          <cell r="AF381" t="str">
            <v>541.NA2</v>
          </cell>
        </row>
        <row r="382">
          <cell r="A382">
            <v>382</v>
          </cell>
          <cell r="B382">
            <v>542</v>
          </cell>
          <cell r="C382" t="str">
            <v>Maintenance of Structures</v>
          </cell>
          <cell r="AD382">
            <v>542</v>
          </cell>
          <cell r="AE382" t="str">
            <v>NA</v>
          </cell>
          <cell r="AF382" t="str">
            <v>542.NA</v>
          </cell>
        </row>
        <row r="383">
          <cell r="A383">
            <v>383</v>
          </cell>
          <cell r="D383" t="str">
            <v>CAGW1</v>
          </cell>
          <cell r="E383" t="str">
            <v>P</v>
          </cell>
          <cell r="F383">
            <v>105174.33207684927</v>
          </cell>
          <cell r="G383">
            <v>105174.33207684927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0.59419421435740905</v>
          </cell>
          <cell r="N383">
            <v>62493.979618968697</v>
          </cell>
          <cell r="O383">
            <v>42680.352457880574</v>
          </cell>
          <cell r="Q383">
            <v>0</v>
          </cell>
          <cell r="R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D383">
            <v>542</v>
          </cell>
          <cell r="AE383" t="str">
            <v>CAGW1</v>
          </cell>
          <cell r="AF383" t="str">
            <v>542.CAGW1</v>
          </cell>
        </row>
        <row r="384">
          <cell r="A384">
            <v>384</v>
          </cell>
          <cell r="F384">
            <v>105174.33207684927</v>
          </cell>
          <cell r="G384">
            <v>105174.33207684927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N384">
            <v>62493.979618968697</v>
          </cell>
          <cell r="O384">
            <v>42680.352457880574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D384">
            <v>542</v>
          </cell>
          <cell r="AE384" t="str">
            <v>NA</v>
          </cell>
          <cell r="AF384" t="str">
            <v>542.NA1</v>
          </cell>
        </row>
        <row r="385">
          <cell r="A385">
            <v>385</v>
          </cell>
          <cell r="AD385">
            <v>542</v>
          </cell>
          <cell r="AE385" t="str">
            <v>NA</v>
          </cell>
          <cell r="AF385" t="str">
            <v>542.NA2</v>
          </cell>
        </row>
        <row r="386">
          <cell r="A386">
            <v>386</v>
          </cell>
          <cell r="B386">
            <v>543</v>
          </cell>
          <cell r="C386" t="str">
            <v>Maintenance of Dams &amp; Waterways</v>
          </cell>
          <cell r="AD386">
            <v>543</v>
          </cell>
          <cell r="AE386" t="str">
            <v>NA</v>
          </cell>
          <cell r="AF386" t="str">
            <v>543.NA</v>
          </cell>
        </row>
        <row r="387">
          <cell r="A387">
            <v>387</v>
          </cell>
          <cell r="D387" t="str">
            <v>CAGW1</v>
          </cell>
          <cell r="E387" t="str">
            <v>P</v>
          </cell>
          <cell r="F387">
            <v>202478.20616273291</v>
          </cell>
          <cell r="G387">
            <v>202478.20616273291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0.59419421435740905</v>
          </cell>
          <cell r="N387">
            <v>120311.37863536258</v>
          </cell>
          <cell r="O387">
            <v>82166.827527370333</v>
          </cell>
          <cell r="Q387">
            <v>0</v>
          </cell>
          <cell r="R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CAGW1</v>
          </cell>
          <cell r="AF387" t="str">
            <v>543.CAGW1</v>
          </cell>
        </row>
        <row r="388">
          <cell r="A388">
            <v>388</v>
          </cell>
          <cell r="F388">
            <v>202478.20616273291</v>
          </cell>
          <cell r="G388">
            <v>202478.20616273291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N388">
            <v>120311.37863536258</v>
          </cell>
          <cell r="O388">
            <v>82166.827527370333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D388">
            <v>543</v>
          </cell>
          <cell r="AE388" t="str">
            <v>NA</v>
          </cell>
          <cell r="AF388" t="str">
            <v>543.NA1</v>
          </cell>
        </row>
        <row r="389">
          <cell r="A389">
            <v>389</v>
          </cell>
          <cell r="AD389">
            <v>543</v>
          </cell>
          <cell r="AE389" t="str">
            <v>NA</v>
          </cell>
          <cell r="AF389" t="str">
            <v>543.NA2</v>
          </cell>
        </row>
        <row r="390">
          <cell r="A390">
            <v>390</v>
          </cell>
          <cell r="B390">
            <v>544</v>
          </cell>
          <cell r="C390" t="str">
            <v>Maintenance of Electric Plant</v>
          </cell>
          <cell r="AD390">
            <v>544</v>
          </cell>
          <cell r="AE390" t="str">
            <v>NA</v>
          </cell>
          <cell r="AF390" t="str">
            <v>544.NA</v>
          </cell>
        </row>
        <row r="391">
          <cell r="A391">
            <v>391</v>
          </cell>
          <cell r="D391" t="str">
            <v>CAGW1</v>
          </cell>
          <cell r="E391" t="str">
            <v>P</v>
          </cell>
          <cell r="F391">
            <v>365811.46624671348</v>
          </cell>
          <cell r="G391">
            <v>365811.46624671348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0.59419421435740905</v>
          </cell>
          <cell r="N391">
            <v>217363.05678939776</v>
          </cell>
          <cell r="O391">
            <v>148448.40945731572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CAGW1</v>
          </cell>
          <cell r="AF391" t="str">
            <v>544.CAGW1</v>
          </cell>
        </row>
        <row r="392">
          <cell r="A392">
            <v>392</v>
          </cell>
          <cell r="F392">
            <v>365811.46624671348</v>
          </cell>
          <cell r="G392">
            <v>365811.46624671348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217363.05678939776</v>
          </cell>
          <cell r="O392">
            <v>148448.40945731572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3390356.2888943506</v>
          </cell>
          <cell r="G395">
            <v>3390356.2888943506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0.59419421435740905</v>
          </cell>
          <cell r="N395">
            <v>2014530.0914712795</v>
          </cell>
          <cell r="O395">
            <v>1375826.1974230711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CAGW1</v>
          </cell>
          <cell r="E396" t="str">
            <v>P</v>
          </cell>
          <cell r="F396">
            <v>-6264185.9563777149</v>
          </cell>
          <cell r="G396">
            <v>-6264185.9563777149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0.59419421435740905</v>
          </cell>
          <cell r="N396">
            <v>-3722143.0529385712</v>
          </cell>
          <cell r="O396">
            <v>-2542042.9034391437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CAGW1</v>
          </cell>
          <cell r="AF396" t="str">
            <v>545.CAGW1</v>
          </cell>
        </row>
        <row r="397">
          <cell r="A397">
            <v>397</v>
          </cell>
          <cell r="F397">
            <v>-2873829.6674833642</v>
          </cell>
          <cell r="G397">
            <v>-2873829.6674833642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-1707612.9614672917</v>
          </cell>
          <cell r="O397">
            <v>-1166216.7060160725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3407007.9200268462</v>
          </cell>
          <cell r="G399">
            <v>3407007.9200268462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2024424.3943498223</v>
          </cell>
          <cell r="O399">
            <v>1382583.5256770239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CAGW</v>
          </cell>
          <cell r="E403" t="str">
            <v>P</v>
          </cell>
          <cell r="F403">
            <v>25818.153311731756</v>
          </cell>
          <cell r="G403">
            <v>25818.153311731756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0.59419421435740905</v>
          </cell>
          <cell r="N403">
            <v>15340.99732322359</v>
          </cell>
          <cell r="O403">
            <v>10477.155988508166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CAGW</v>
          </cell>
          <cell r="AF403" t="str">
            <v>546.CAGW</v>
          </cell>
        </row>
        <row r="404">
          <cell r="A404">
            <v>404</v>
          </cell>
          <cell r="F404">
            <v>25818.153311731756</v>
          </cell>
          <cell r="G404">
            <v>25818.153311731756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15340.99732322359</v>
          </cell>
          <cell r="O404">
            <v>10477.155988508166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>
            <v>547</v>
          </cell>
          <cell r="C406" t="str">
            <v>Fuel</v>
          </cell>
          <cell r="AD406">
            <v>547</v>
          </cell>
          <cell r="AE406" t="str">
            <v>NA</v>
          </cell>
          <cell r="AF406" t="str">
            <v>547.NA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>
            <v>547</v>
          </cell>
          <cell r="AE407" t="str">
            <v>SE</v>
          </cell>
          <cell r="AF407" t="str">
            <v>547.SE</v>
          </cell>
        </row>
        <row r="408">
          <cell r="A408">
            <v>408</v>
          </cell>
          <cell r="D408" t="str">
            <v>CAEW/CAEE</v>
          </cell>
          <cell r="E408" t="str">
            <v>P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>
            <v>547</v>
          </cell>
          <cell r="AE408" t="str">
            <v>CAEW/CAEE</v>
          </cell>
          <cell r="AF408" t="str">
            <v>547.CAEW/CAEE</v>
          </cell>
        </row>
        <row r="409">
          <cell r="A409">
            <v>409</v>
          </cell>
          <cell r="AD409">
            <v>547</v>
          </cell>
          <cell r="AE409" t="str">
            <v>NA</v>
          </cell>
          <cell r="AF409" t="str">
            <v>547.NA1</v>
          </cell>
        </row>
        <row r="410">
          <cell r="A410">
            <v>410</v>
          </cell>
          <cell r="AD410">
            <v>547</v>
          </cell>
          <cell r="AE410" t="str">
            <v>NA</v>
          </cell>
          <cell r="AF410" t="str">
            <v>547.NA2</v>
          </cell>
        </row>
        <row r="411">
          <cell r="A411">
            <v>411</v>
          </cell>
          <cell r="B411" t="str">
            <v>547NPC</v>
          </cell>
          <cell r="C411" t="str">
            <v>Fuel-NPC</v>
          </cell>
          <cell r="D411" t="str">
            <v>CAEW</v>
          </cell>
          <cell r="E411" t="str">
            <v>P</v>
          </cell>
          <cell r="F411">
            <v>13423408.205649056</v>
          </cell>
          <cell r="G411">
            <v>13423408.205649056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13423408.205649056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D411" t="str">
            <v>547NPC</v>
          </cell>
          <cell r="AE411" t="str">
            <v>CAEW</v>
          </cell>
          <cell r="AF411" t="str">
            <v>547NPC.CAEW</v>
          </cell>
        </row>
        <row r="412">
          <cell r="A412">
            <v>412</v>
          </cell>
          <cell r="D412" t="str">
            <v>S</v>
          </cell>
          <cell r="E412" t="str">
            <v>P</v>
          </cell>
          <cell r="F412">
            <v>4149428.5777009227</v>
          </cell>
          <cell r="G412">
            <v>4149428.5777009227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4149428.5777009227</v>
          </cell>
          <cell r="AD412" t="str">
            <v>547NPC</v>
          </cell>
          <cell r="AE412" t="str">
            <v>S</v>
          </cell>
          <cell r="AF412" t="str">
            <v>547NPC.S</v>
          </cell>
        </row>
        <row r="413">
          <cell r="A413">
            <v>413</v>
          </cell>
          <cell r="F413">
            <v>17572836.78334998</v>
          </cell>
          <cell r="G413">
            <v>17572836.78334998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N413">
            <v>0</v>
          </cell>
          <cell r="O413">
            <v>17572836.78334998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 t="str">
            <v>547NPC</v>
          </cell>
          <cell r="AE413" t="str">
            <v>NA</v>
          </cell>
          <cell r="AF413" t="str">
            <v>547NPC.NA</v>
          </cell>
        </row>
        <row r="414">
          <cell r="A414">
            <v>414</v>
          </cell>
          <cell r="AD414" t="str">
            <v>547NPC</v>
          </cell>
          <cell r="AE414" t="str">
            <v>NA</v>
          </cell>
          <cell r="AF414" t="str">
            <v>547NPC.NA1</v>
          </cell>
        </row>
        <row r="415">
          <cell r="A415">
            <v>415</v>
          </cell>
          <cell r="AD415" t="str">
            <v>547NPC</v>
          </cell>
          <cell r="AE415" t="str">
            <v>NA</v>
          </cell>
          <cell r="AF415" t="str">
            <v>547NPC.NA2</v>
          </cell>
        </row>
        <row r="416">
          <cell r="A416">
            <v>416</v>
          </cell>
          <cell r="B416">
            <v>548</v>
          </cell>
          <cell r="C416" t="str">
            <v>Generation Expense</v>
          </cell>
          <cell r="AD416">
            <v>548</v>
          </cell>
          <cell r="AE416" t="str">
            <v>NA</v>
          </cell>
          <cell r="AF416" t="str">
            <v>548.NA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6923.0061980065711</v>
          </cell>
          <cell r="G417">
            <v>6923.0061980065711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0.59419421435740905</v>
          </cell>
          <cell r="N417">
            <v>4113.6102288159882</v>
          </cell>
          <cell r="O417">
            <v>2809.3959691905834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548</v>
          </cell>
          <cell r="AE417" t="str">
            <v>SG</v>
          </cell>
          <cell r="AF417" t="str">
            <v>548.SG</v>
          </cell>
        </row>
        <row r="418">
          <cell r="A418">
            <v>418</v>
          </cell>
          <cell r="D418" t="str">
            <v>CAEW</v>
          </cell>
          <cell r="E418" t="str">
            <v>P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0.59419421435740905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548</v>
          </cell>
          <cell r="AE418" t="str">
            <v>CAEW</v>
          </cell>
          <cell r="AF418" t="str">
            <v>548.CAEW</v>
          </cell>
        </row>
        <row r="419">
          <cell r="A419">
            <v>419</v>
          </cell>
          <cell r="D419" t="str">
            <v>CAGW</v>
          </cell>
          <cell r="E419" t="str">
            <v>P</v>
          </cell>
          <cell r="F419">
            <v>2020187.5757936926</v>
          </cell>
          <cell r="G419">
            <v>2020187.5757936926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0.59419421435740905</v>
          </cell>
          <cell r="N419">
            <v>1200383.7694533318</v>
          </cell>
          <cell r="O419">
            <v>819803.80634036066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548</v>
          </cell>
          <cell r="AE419" t="str">
            <v>CAGW</v>
          </cell>
          <cell r="AF419" t="str">
            <v>548.CAGW</v>
          </cell>
        </row>
        <row r="420">
          <cell r="A420">
            <v>420</v>
          </cell>
          <cell r="F420">
            <v>2027110.5819916993</v>
          </cell>
          <cell r="G420">
            <v>2027110.5819916993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N420">
            <v>1204497.3796821479</v>
          </cell>
          <cell r="O420">
            <v>822613.2023095513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D420">
            <v>548</v>
          </cell>
          <cell r="AE420" t="str">
            <v>NA</v>
          </cell>
          <cell r="AF420" t="str">
            <v>548.NA1</v>
          </cell>
        </row>
        <row r="421">
          <cell r="A421">
            <v>421</v>
          </cell>
          <cell r="AD421">
            <v>548</v>
          </cell>
          <cell r="AE421" t="str">
            <v>NA</v>
          </cell>
          <cell r="AF421" t="str">
            <v>548.NA2</v>
          </cell>
        </row>
        <row r="422">
          <cell r="A422">
            <v>422</v>
          </cell>
          <cell r="B422">
            <v>549</v>
          </cell>
          <cell r="C422" t="str">
            <v>Miscellaneous Other</v>
          </cell>
          <cell r="AD422">
            <v>549</v>
          </cell>
          <cell r="AE422" t="str">
            <v>NA</v>
          </cell>
          <cell r="AF422" t="str">
            <v>549.NA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2896505.8211208005</v>
          </cell>
          <cell r="G423">
            <v>2896505.8211208005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0.59419421435740905</v>
          </cell>
          <cell r="N423">
            <v>1721087.000762536</v>
          </cell>
          <cell r="O423">
            <v>1175418.8203582645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549</v>
          </cell>
          <cell r="AE423" t="str">
            <v>SG</v>
          </cell>
          <cell r="AF423" t="str">
            <v>549.SG</v>
          </cell>
        </row>
        <row r="424">
          <cell r="A424">
            <v>424</v>
          </cell>
          <cell r="D424" t="str">
            <v>CAGW</v>
          </cell>
          <cell r="E424" t="str">
            <v>P</v>
          </cell>
          <cell r="F424">
            <v>-950944.765964702</v>
          </cell>
          <cell r="G424">
            <v>-950944.765964702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0.59419421435740905</v>
          </cell>
          <cell r="N424">
            <v>-565045.87810968631</v>
          </cell>
          <cell r="O424">
            <v>-385898.8878550157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549</v>
          </cell>
          <cell r="AE424" t="str">
            <v>CAGW</v>
          </cell>
          <cell r="AF424" t="str">
            <v>549.CAGW</v>
          </cell>
        </row>
        <row r="425">
          <cell r="A425">
            <v>425</v>
          </cell>
          <cell r="F425">
            <v>1945561.0551560984</v>
          </cell>
          <cell r="G425">
            <v>1945561.0551560984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1156041.1226528496</v>
          </cell>
          <cell r="O425">
            <v>789519.9325032488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549</v>
          </cell>
          <cell r="AE425" t="str">
            <v>NA</v>
          </cell>
          <cell r="AF425" t="str">
            <v>549.NA1</v>
          </cell>
        </row>
        <row r="426">
          <cell r="A426">
            <v>426</v>
          </cell>
          <cell r="AD426">
            <v>549</v>
          </cell>
          <cell r="AE426" t="str">
            <v>NA</v>
          </cell>
          <cell r="AF426" t="str">
            <v>549.NA2</v>
          </cell>
        </row>
        <row r="427">
          <cell r="A427">
            <v>427</v>
          </cell>
          <cell r="AD427">
            <v>549</v>
          </cell>
          <cell r="AE427" t="str">
            <v>NA</v>
          </cell>
          <cell r="AF427" t="str">
            <v>549.NA3</v>
          </cell>
        </row>
        <row r="428">
          <cell r="A428">
            <v>428</v>
          </cell>
          <cell r="B428">
            <v>550</v>
          </cell>
          <cell r="C428" t="str">
            <v>Maint Supervision &amp; Engineering</v>
          </cell>
          <cell r="AD428">
            <v>550</v>
          </cell>
          <cell r="AE428" t="str">
            <v>NA</v>
          </cell>
          <cell r="AF428" t="str">
            <v>550.NA</v>
          </cell>
        </row>
        <row r="429">
          <cell r="A429">
            <v>429</v>
          </cell>
          <cell r="D429" t="str">
            <v>CAGW</v>
          </cell>
          <cell r="E429" t="str">
            <v>P</v>
          </cell>
          <cell r="F429">
            <v>401872.71645352751</v>
          </cell>
          <cell r="G429">
            <v>401872.71645352751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0.59419421435740905</v>
          </cell>
          <cell r="N429">
            <v>238790.44302478159</v>
          </cell>
          <cell r="O429">
            <v>163082.27342874592</v>
          </cell>
          <cell r="Q429">
            <v>0</v>
          </cell>
          <cell r="R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550</v>
          </cell>
          <cell r="AE429" t="str">
            <v>CAGW</v>
          </cell>
          <cell r="AF429" t="str">
            <v>550.CAGW</v>
          </cell>
        </row>
        <row r="430">
          <cell r="A430">
            <v>430</v>
          </cell>
          <cell r="D430" t="str">
            <v>SG</v>
          </cell>
          <cell r="E430" t="str">
            <v>P</v>
          </cell>
          <cell r="F430">
            <v>3085.2900587078143</v>
          </cell>
          <cell r="G430">
            <v>3085.2900587078143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0.59419421435740905</v>
          </cell>
          <cell r="N430">
            <v>1833.2615024986142</v>
          </cell>
          <cell r="O430">
            <v>1252.0285562092001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D430">
            <v>550</v>
          </cell>
          <cell r="AE430" t="str">
            <v>SG</v>
          </cell>
          <cell r="AF430" t="str">
            <v>550.SG</v>
          </cell>
        </row>
        <row r="431">
          <cell r="A431">
            <v>431</v>
          </cell>
          <cell r="F431">
            <v>404958.00651223533</v>
          </cell>
          <cell r="G431">
            <v>404958.00651223533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N431">
            <v>240623.70452728021</v>
          </cell>
          <cell r="O431">
            <v>164334.30198495512</v>
          </cell>
          <cell r="Q431">
            <v>0</v>
          </cell>
          <cell r="R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D431">
            <v>550</v>
          </cell>
          <cell r="AE431" t="str">
            <v>NA</v>
          </cell>
          <cell r="AF431" t="str">
            <v>550.NA1</v>
          </cell>
        </row>
        <row r="432">
          <cell r="A432">
            <v>432</v>
          </cell>
          <cell r="AD432">
            <v>550</v>
          </cell>
          <cell r="AE432" t="str">
            <v>NA</v>
          </cell>
          <cell r="AF432" t="str">
            <v>550.NA2</v>
          </cell>
        </row>
        <row r="433">
          <cell r="A433">
            <v>433</v>
          </cell>
          <cell r="B433">
            <v>552</v>
          </cell>
          <cell r="C433" t="str">
            <v>Maintenance of Structures</v>
          </cell>
          <cell r="AD433">
            <v>552</v>
          </cell>
          <cell r="AE433" t="str">
            <v>NA</v>
          </cell>
          <cell r="AF433" t="str">
            <v>552.NA</v>
          </cell>
        </row>
        <row r="434">
          <cell r="A434">
            <v>434</v>
          </cell>
          <cell r="D434" t="str">
            <v>SG</v>
          </cell>
          <cell r="E434" t="str">
            <v>P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0.59419421435740905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SG</v>
          </cell>
          <cell r="AF434" t="str">
            <v>552.SG</v>
          </cell>
        </row>
        <row r="435">
          <cell r="A435">
            <v>435</v>
          </cell>
          <cell r="D435" t="str">
            <v>CAGW</v>
          </cell>
          <cell r="E435" t="str">
            <v>P</v>
          </cell>
          <cell r="F435">
            <v>5594.7308903961048</v>
          </cell>
          <cell r="G435">
            <v>5594.7308903961048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0.59419421435740905</v>
          </cell>
          <cell r="N435">
            <v>3324.3567259600409</v>
          </cell>
          <cell r="O435">
            <v>2270.3741644360639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D435">
            <v>552</v>
          </cell>
          <cell r="AE435" t="str">
            <v>CAGW</v>
          </cell>
          <cell r="AF435" t="str">
            <v>552.CAGW</v>
          </cell>
        </row>
        <row r="436">
          <cell r="A436">
            <v>436</v>
          </cell>
          <cell r="F436">
            <v>5594.7308903961048</v>
          </cell>
          <cell r="G436">
            <v>5594.7308903961048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N436">
            <v>3324.3567259600409</v>
          </cell>
          <cell r="O436">
            <v>2270.3741644360639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D436">
            <v>552</v>
          </cell>
          <cell r="AE436" t="str">
            <v>NA</v>
          </cell>
          <cell r="AF436" t="str">
            <v>552.NA1</v>
          </cell>
        </row>
        <row r="437">
          <cell r="A437">
            <v>437</v>
          </cell>
          <cell r="AD437">
            <v>552</v>
          </cell>
          <cell r="AE437" t="str">
            <v>NA</v>
          </cell>
          <cell r="AF437" t="str">
            <v>552.NA2</v>
          </cell>
        </row>
        <row r="438">
          <cell r="A438">
            <v>438</v>
          </cell>
          <cell r="AD438">
            <v>552</v>
          </cell>
          <cell r="AE438" t="str">
            <v>NA</v>
          </cell>
          <cell r="AF438" t="str">
            <v>552.NA3</v>
          </cell>
        </row>
        <row r="439">
          <cell r="A439">
            <v>439</v>
          </cell>
          <cell r="B439">
            <v>553</v>
          </cell>
          <cell r="C439" t="str">
            <v>Maint of Generation &amp; Electric Plant</v>
          </cell>
          <cell r="AD439">
            <v>553</v>
          </cell>
          <cell r="AE439" t="str">
            <v>NA</v>
          </cell>
          <cell r="AF439" t="str">
            <v>553.NA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0.59419421435740905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</v>
          </cell>
        </row>
        <row r="441">
          <cell r="A441">
            <v>441</v>
          </cell>
          <cell r="D441" t="str">
            <v>CAGW</v>
          </cell>
          <cell r="E441" t="str">
            <v>P</v>
          </cell>
          <cell r="F441">
            <v>1082394.6606789485</v>
          </cell>
          <cell r="G441">
            <v>1082394.6606789485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0.59419421435740905</v>
          </cell>
          <cell r="N441">
            <v>643152.64502678218</v>
          </cell>
          <cell r="O441">
            <v>439242.01565216633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CAGW</v>
          </cell>
          <cell r="AF441" t="str">
            <v>553.CAGW</v>
          </cell>
        </row>
        <row r="442">
          <cell r="A442">
            <v>442</v>
          </cell>
          <cell r="F442">
            <v>1082394.6606789485</v>
          </cell>
          <cell r="G442">
            <v>1082394.6606789485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N442">
            <v>643152.64502678218</v>
          </cell>
          <cell r="O442">
            <v>439242.01565216633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D442">
            <v>553</v>
          </cell>
          <cell r="AE442" t="str">
            <v>NA</v>
          </cell>
          <cell r="AF442" t="str">
            <v>553.NA1</v>
          </cell>
        </row>
        <row r="443">
          <cell r="A443">
            <v>443</v>
          </cell>
          <cell r="AD443">
            <v>553</v>
          </cell>
          <cell r="AE443" t="str">
            <v>NA</v>
          </cell>
          <cell r="AF443" t="str">
            <v>553.NA2</v>
          </cell>
        </row>
        <row r="444">
          <cell r="A444">
            <v>444</v>
          </cell>
          <cell r="B444">
            <v>554</v>
          </cell>
          <cell r="C444" t="str">
            <v>Maintenance of Misc. Other</v>
          </cell>
          <cell r="AD444">
            <v>554</v>
          </cell>
          <cell r="AE444" t="str">
            <v>NA</v>
          </cell>
          <cell r="AF444" t="str">
            <v>554.NA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0.59419421435740905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</v>
          </cell>
        </row>
        <row r="446">
          <cell r="A446">
            <v>446</v>
          </cell>
          <cell r="D446" t="str">
            <v>CAGW</v>
          </cell>
          <cell r="E446" t="str">
            <v>P</v>
          </cell>
          <cell r="F446">
            <v>50217.325696208485</v>
          </cell>
          <cell r="G446">
            <v>50217.325696208485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0.59419421435740905</v>
          </cell>
          <cell r="N446">
            <v>29838.844389188729</v>
          </cell>
          <cell r="O446">
            <v>20378.481307019756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CAGW</v>
          </cell>
          <cell r="AF446" t="str">
            <v>554.CAGW</v>
          </cell>
        </row>
        <row r="447">
          <cell r="A447">
            <v>447</v>
          </cell>
          <cell r="F447">
            <v>50217.325696208485</v>
          </cell>
          <cell r="G447">
            <v>50217.325696208485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29838.844389188729</v>
          </cell>
          <cell r="O447">
            <v>20378.481307019756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23114491.297587298</v>
          </cell>
          <cell r="G449">
            <v>23114491.297587298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3292819.0503274323</v>
          </cell>
          <cell r="O449">
            <v>19821672.247259863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>
            <v>555</v>
          </cell>
          <cell r="C451" t="str">
            <v>Purchased Power</v>
          </cell>
          <cell r="D451" t="str">
            <v>S</v>
          </cell>
          <cell r="E451" t="str">
            <v>P</v>
          </cell>
          <cell r="F451">
            <v>1401130.1499999997</v>
          </cell>
          <cell r="G451">
            <v>1401130.1499999997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1401130.1499999997</v>
          </cell>
          <cell r="Q451">
            <v>0</v>
          </cell>
          <cell r="R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D451">
            <v>555</v>
          </cell>
          <cell r="AE451" t="str">
            <v>S</v>
          </cell>
          <cell r="AF451" t="str">
            <v>555.S</v>
          </cell>
        </row>
        <row r="452">
          <cell r="A452">
            <v>452</v>
          </cell>
          <cell r="D452" t="str">
            <v>SG</v>
          </cell>
          <cell r="E452" t="str">
            <v>P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>
            <v>555</v>
          </cell>
          <cell r="AE452" t="str">
            <v>SG</v>
          </cell>
          <cell r="AF452" t="str">
            <v>555.SG</v>
          </cell>
        </row>
        <row r="453">
          <cell r="A453">
            <v>453</v>
          </cell>
          <cell r="D453" t="str">
            <v>SE</v>
          </cell>
          <cell r="E453" t="str">
            <v>P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>
            <v>555</v>
          </cell>
          <cell r="AE453" t="str">
            <v>SE</v>
          </cell>
          <cell r="AF453" t="str">
            <v>555.SE</v>
          </cell>
        </row>
        <row r="454">
          <cell r="A454">
            <v>454</v>
          </cell>
          <cell r="AD454">
            <v>555</v>
          </cell>
          <cell r="AE454" t="str">
            <v>NA</v>
          </cell>
          <cell r="AF454" t="str">
            <v>555.NA</v>
          </cell>
        </row>
        <row r="455">
          <cell r="A455">
            <v>455</v>
          </cell>
          <cell r="AD455">
            <v>555</v>
          </cell>
          <cell r="AE455" t="str">
            <v>NA</v>
          </cell>
          <cell r="AF455" t="str">
            <v>555.NA1</v>
          </cell>
        </row>
        <row r="456">
          <cell r="A456">
            <v>456</v>
          </cell>
          <cell r="B456" t="str">
            <v>555NPC</v>
          </cell>
          <cell r="C456" t="str">
            <v>Purchased Power-NPC</v>
          </cell>
          <cell r="D456" t="str">
            <v>CAGW1</v>
          </cell>
          <cell r="E456" t="str">
            <v>P</v>
          </cell>
          <cell r="F456">
            <v>35111422.157744899</v>
          </cell>
          <cell r="G456">
            <v>35111422.157744899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  <cell r="O456">
            <v>35111422.157744899</v>
          </cell>
          <cell r="Q456">
            <v>0</v>
          </cell>
          <cell r="R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CAGW1</v>
          </cell>
          <cell r="AF456" t="str">
            <v>555NPC.CAGW1</v>
          </cell>
        </row>
        <row r="457">
          <cell r="A457">
            <v>457</v>
          </cell>
          <cell r="D457" t="str">
            <v>CAEW</v>
          </cell>
          <cell r="E457" t="str">
            <v>P</v>
          </cell>
          <cell r="F457">
            <v>232282.93330751164</v>
          </cell>
          <cell r="G457">
            <v>232282.93330751164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  <cell r="O457">
            <v>232282.93330751164</v>
          </cell>
          <cell r="Q457">
            <v>0</v>
          </cell>
          <cell r="R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CAEW</v>
          </cell>
          <cell r="AF457" t="str">
            <v>555NPC.CAEW</v>
          </cell>
        </row>
        <row r="458">
          <cell r="A458">
            <v>458</v>
          </cell>
          <cell r="D458" t="str">
            <v>DGP</v>
          </cell>
          <cell r="E458" t="str">
            <v>P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  <cell r="N458">
            <v>0</v>
          </cell>
          <cell r="O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D458" t="str">
            <v>555NPC</v>
          </cell>
          <cell r="AE458" t="str">
            <v>DGP</v>
          </cell>
          <cell r="AF458" t="str">
            <v>555NPC.DGP</v>
          </cell>
        </row>
        <row r="459">
          <cell r="A459">
            <v>459</v>
          </cell>
          <cell r="D459" t="str">
            <v>S</v>
          </cell>
          <cell r="E459" t="str">
            <v>P</v>
          </cell>
          <cell r="F459">
            <v>-11501081.914558964</v>
          </cell>
          <cell r="G459">
            <v>-11501081.914558964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0</v>
          </cell>
          <cell r="O459">
            <v>-11501081.914558964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S</v>
          </cell>
          <cell r="AF459" t="str">
            <v>555NPC.S</v>
          </cell>
        </row>
        <row r="460">
          <cell r="A460">
            <v>460</v>
          </cell>
          <cell r="F460">
            <v>25243753.32649345</v>
          </cell>
          <cell r="G460">
            <v>25243753.32649345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N460">
            <v>0</v>
          </cell>
          <cell r="O460">
            <v>25243753.32649345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</v>
          </cell>
        </row>
        <row r="461">
          <cell r="A461">
            <v>461</v>
          </cell>
          <cell r="AD461" t="str">
            <v>555NPC</v>
          </cell>
          <cell r="AE461" t="str">
            <v>NA</v>
          </cell>
          <cell r="AF461" t="str">
            <v>555NPC.NA1</v>
          </cell>
        </row>
        <row r="462">
          <cell r="A462">
            <v>462</v>
          </cell>
          <cell r="B462">
            <v>556</v>
          </cell>
          <cell r="C462" t="str">
            <v>System Control &amp; Load Dispatch</v>
          </cell>
          <cell r="AD462">
            <v>556</v>
          </cell>
          <cell r="AE462" t="str">
            <v>NA</v>
          </cell>
          <cell r="AF462" t="str">
            <v>556.NA</v>
          </cell>
        </row>
        <row r="463">
          <cell r="A463">
            <v>463</v>
          </cell>
          <cell r="D463" t="str">
            <v>SG</v>
          </cell>
          <cell r="E463" t="str">
            <v>P</v>
          </cell>
          <cell r="F463">
            <v>71077.652186770865</v>
          </cell>
          <cell r="G463">
            <v>71077.652186770865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0.59419421435740905</v>
          </cell>
          <cell r="N463">
            <v>42233.929699487489</v>
          </cell>
          <cell r="O463">
            <v>28843.722487283372</v>
          </cell>
          <cell r="Q463">
            <v>0</v>
          </cell>
          <cell r="R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D463">
            <v>556</v>
          </cell>
          <cell r="AE463" t="str">
            <v>SG</v>
          </cell>
          <cell r="AF463" t="str">
            <v>556.SG</v>
          </cell>
        </row>
        <row r="464">
          <cell r="A464">
            <v>464</v>
          </cell>
          <cell r="F464">
            <v>71077.652186770865</v>
          </cell>
          <cell r="G464">
            <v>71077.652186770865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N464">
            <v>42233.929699487489</v>
          </cell>
          <cell r="O464">
            <v>28843.722487283372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D464">
            <v>556</v>
          </cell>
          <cell r="AE464" t="str">
            <v>NA</v>
          </cell>
          <cell r="AF464" t="str">
            <v>556.NA1</v>
          </cell>
        </row>
        <row r="465">
          <cell r="A465">
            <v>465</v>
          </cell>
          <cell r="B465">
            <v>557</v>
          </cell>
          <cell r="C465" t="str">
            <v>Other Expenses</v>
          </cell>
          <cell r="AD465">
            <v>557</v>
          </cell>
          <cell r="AE465" t="str">
            <v>NA</v>
          </cell>
          <cell r="AF465" t="str">
            <v>557.NA</v>
          </cell>
        </row>
        <row r="466">
          <cell r="A466">
            <v>466</v>
          </cell>
          <cell r="D466" t="str">
            <v>S</v>
          </cell>
          <cell r="E466" t="str">
            <v>P</v>
          </cell>
          <cell r="F466">
            <v>6754.3600000000006</v>
          </cell>
          <cell r="G466">
            <v>6754.3600000000006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0.59419421435740905</v>
          </cell>
          <cell r="N466">
            <v>4013.4016336871096</v>
          </cell>
          <cell r="O466">
            <v>2740.958366312891</v>
          </cell>
          <cell r="Q466">
            <v>0</v>
          </cell>
          <cell r="R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557</v>
          </cell>
          <cell r="AE466" t="str">
            <v>S</v>
          </cell>
          <cell r="AF466" t="str">
            <v>557.S</v>
          </cell>
        </row>
        <row r="467">
          <cell r="A467">
            <v>467</v>
          </cell>
          <cell r="D467" t="str">
            <v>SG</v>
          </cell>
          <cell r="E467" t="str">
            <v>P</v>
          </cell>
          <cell r="F467">
            <v>2155998.0981856342</v>
          </cell>
          <cell r="G467">
            <v>2155998.0981856342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0.59419421435740905</v>
          </cell>
          <cell r="N467">
            <v>1281081.596107481</v>
          </cell>
          <cell r="O467">
            <v>874916.50207815331</v>
          </cell>
          <cell r="Q467">
            <v>0</v>
          </cell>
          <cell r="R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D467">
            <v>557</v>
          </cell>
          <cell r="AE467" t="str">
            <v>SG</v>
          </cell>
          <cell r="AF467" t="str">
            <v>557.SG</v>
          </cell>
        </row>
        <row r="468">
          <cell r="A468">
            <v>468</v>
          </cell>
          <cell r="D468" t="str">
            <v>JBG</v>
          </cell>
          <cell r="E468" t="str">
            <v>P</v>
          </cell>
          <cell r="F468">
            <v>406519.36275595101</v>
          </cell>
          <cell r="G468">
            <v>406519.36275595101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0.59419421435740905</v>
          </cell>
          <cell r="N468">
            <v>241551.45337384689</v>
          </cell>
          <cell r="O468">
            <v>164967.90938210412</v>
          </cell>
          <cell r="Q468">
            <v>0</v>
          </cell>
          <cell r="R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D468">
            <v>557</v>
          </cell>
          <cell r="AE468" t="str">
            <v>JBG</v>
          </cell>
          <cell r="AF468" t="str">
            <v>557.JBG</v>
          </cell>
        </row>
        <row r="469">
          <cell r="A469">
            <v>469</v>
          </cell>
          <cell r="D469" t="str">
            <v>SO</v>
          </cell>
          <cell r="E469" t="str">
            <v>P</v>
          </cell>
          <cell r="F469">
            <v>5289.7725308105873</v>
          </cell>
          <cell r="G469">
            <v>5289.7725308105873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0.59419421435740905</v>
          </cell>
          <cell r="N469">
            <v>3143.1522330744001</v>
          </cell>
          <cell r="O469">
            <v>2146.6202977361872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SO</v>
          </cell>
          <cell r="AF469" t="str">
            <v>557.SO</v>
          </cell>
        </row>
        <row r="470">
          <cell r="A470">
            <v>470</v>
          </cell>
          <cell r="D470" t="str">
            <v>CAGW</v>
          </cell>
          <cell r="E470" t="str">
            <v>P</v>
          </cell>
          <cell r="F470">
            <v>225007.7212680045</v>
          </cell>
          <cell r="G470">
            <v>225007.7212680045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0.59419421435740905</v>
          </cell>
          <cell r="N470">
            <v>133698.28616319282</v>
          </cell>
          <cell r="O470">
            <v>91309.435104811695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CAGW</v>
          </cell>
          <cell r="AF470" t="str">
            <v>557.CAGW</v>
          </cell>
        </row>
        <row r="471">
          <cell r="A471">
            <v>471</v>
          </cell>
          <cell r="D471" t="str">
            <v>JBE</v>
          </cell>
          <cell r="E471" t="str">
            <v>P</v>
          </cell>
          <cell r="F471">
            <v>2074.7017413373896</v>
          </cell>
          <cell r="G471">
            <v>2074.7017413373896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0.59419421435740905</v>
          </cell>
          <cell r="N471">
            <v>1232.7757712199186</v>
          </cell>
          <cell r="O471">
            <v>841.92597011747091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JBE</v>
          </cell>
          <cell r="AF471" t="str">
            <v>557.JBE</v>
          </cell>
        </row>
        <row r="472">
          <cell r="A472">
            <v>472</v>
          </cell>
          <cell r="F472">
            <v>2801644.0164817371</v>
          </cell>
          <cell r="G472">
            <v>2801644.0164817371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N472">
            <v>1664720.6652825021</v>
          </cell>
          <cell r="O472">
            <v>1136923.3511992358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NA</v>
          </cell>
          <cell r="AF472" t="str">
            <v>557.NA1</v>
          </cell>
        </row>
        <row r="473">
          <cell r="A473">
            <v>473</v>
          </cell>
          <cell r="AD473">
            <v>557</v>
          </cell>
          <cell r="AE473" t="str">
            <v>NA</v>
          </cell>
          <cell r="AF473" t="str">
            <v>557.NA2</v>
          </cell>
        </row>
        <row r="474">
          <cell r="A474">
            <v>474</v>
          </cell>
          <cell r="C474" t="str">
            <v>Embedded Cost Differentials</v>
          </cell>
          <cell r="AD474">
            <v>557</v>
          </cell>
          <cell r="AE474" t="str">
            <v>NA</v>
          </cell>
          <cell r="AF474" t="str">
            <v>557.NA3</v>
          </cell>
        </row>
        <row r="475">
          <cell r="A475">
            <v>475</v>
          </cell>
          <cell r="C475" t="str">
            <v>Company Owned Hydro</v>
          </cell>
          <cell r="D475" t="str">
            <v>DGP</v>
          </cell>
          <cell r="E475" t="str">
            <v>P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0.59419421435740905</v>
          </cell>
          <cell r="N475">
            <v>0</v>
          </cell>
          <cell r="O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DGP</v>
          </cell>
          <cell r="AF475" t="str">
            <v>557.DGP</v>
          </cell>
        </row>
        <row r="476">
          <cell r="A476">
            <v>476</v>
          </cell>
          <cell r="C476" t="str">
            <v>Company Owned Hydro</v>
          </cell>
          <cell r="D476" t="str">
            <v>SG</v>
          </cell>
          <cell r="E476" t="str">
            <v>P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0.59419421435740905</v>
          </cell>
          <cell r="N476">
            <v>0</v>
          </cell>
          <cell r="O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D476">
            <v>557</v>
          </cell>
          <cell r="AE476" t="str">
            <v>SG</v>
          </cell>
          <cell r="AF476" t="str">
            <v>557.SG1</v>
          </cell>
        </row>
        <row r="477">
          <cell r="A477">
            <v>477</v>
          </cell>
          <cell r="C477" t="str">
            <v>Mid-C Contract</v>
          </cell>
          <cell r="D477" t="str">
            <v>MC</v>
          </cell>
          <cell r="E477" t="str">
            <v>P</v>
          </cell>
          <cell r="F477">
            <v>0</v>
          </cell>
          <cell r="AD477">
            <v>557</v>
          </cell>
          <cell r="AE477" t="str">
            <v>MC</v>
          </cell>
          <cell r="AF477" t="str">
            <v>557.MC</v>
          </cell>
        </row>
        <row r="478">
          <cell r="A478">
            <v>478</v>
          </cell>
          <cell r="C478" t="str">
            <v>Mid-C Contract</v>
          </cell>
          <cell r="D478" t="str">
            <v>SG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0.59419421435740905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SG</v>
          </cell>
          <cell r="AF478" t="str">
            <v>557.SG2</v>
          </cell>
        </row>
        <row r="479">
          <cell r="A479">
            <v>479</v>
          </cell>
          <cell r="C479" t="str">
            <v>Existing QF Contracts</v>
          </cell>
          <cell r="D479" t="str">
            <v xml:space="preserve">S 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0.59419421435740905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 xml:space="preserve">S </v>
          </cell>
          <cell r="AF479" t="str">
            <v xml:space="preserve">557.S </v>
          </cell>
        </row>
        <row r="480">
          <cell r="A480">
            <v>480</v>
          </cell>
          <cell r="C480" t="str">
            <v>Existing QF Contracts</v>
          </cell>
          <cell r="D480" t="str">
            <v>SG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0.59419421435740905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SG</v>
          </cell>
          <cell r="AF480" t="str">
            <v>557.SG3</v>
          </cell>
        </row>
        <row r="481">
          <cell r="A481">
            <v>481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NA</v>
          </cell>
          <cell r="AF481" t="str">
            <v>557.NA4</v>
          </cell>
        </row>
        <row r="482">
          <cell r="A482">
            <v>482</v>
          </cell>
          <cell r="AD482">
            <v>557</v>
          </cell>
          <cell r="AE482" t="str">
            <v>NA</v>
          </cell>
          <cell r="AF482" t="str">
            <v>557.NA5</v>
          </cell>
        </row>
        <row r="483">
          <cell r="A483">
            <v>483</v>
          </cell>
          <cell r="B483" t="str">
            <v>Total Other Power Supply</v>
          </cell>
          <cell r="F483">
            <v>28116474.995161958</v>
          </cell>
          <cell r="G483">
            <v>28116474.995161958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N483">
            <v>1706954.5949819896</v>
          </cell>
          <cell r="O483">
            <v>26409520.400179967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 t="str">
            <v>Total Other Power Supply</v>
          </cell>
          <cell r="AE483" t="str">
            <v>NA</v>
          </cell>
          <cell r="AF483" t="str">
            <v>Total Other Power Supply.NA</v>
          </cell>
        </row>
        <row r="484">
          <cell r="A484">
            <v>484</v>
          </cell>
          <cell r="AD484" t="str">
            <v>Total Other Power Supply</v>
          </cell>
          <cell r="AE484" t="str">
            <v>NA</v>
          </cell>
          <cell r="AF484" t="str">
            <v>Total Other Power Supply.NA1</v>
          </cell>
        </row>
        <row r="485">
          <cell r="A485">
            <v>485</v>
          </cell>
          <cell r="B485" t="str">
            <v>TOTAL GENERATION EXPENSE</v>
          </cell>
          <cell r="F485">
            <v>122196933.25547305</v>
          </cell>
          <cell r="G485">
            <v>122196933.25547305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N485">
            <v>15473888.652642192</v>
          </cell>
          <cell r="O485">
            <v>106723044.60283086</v>
          </cell>
          <cell r="P485">
            <v>1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D485" t="str">
            <v>TOTAL GENERATION EXPENSE</v>
          </cell>
          <cell r="AE485" t="str">
            <v>NA</v>
          </cell>
          <cell r="AF485" t="str">
            <v>TOTAL GENERATION EXPENSE.NA</v>
          </cell>
        </row>
        <row r="486">
          <cell r="A486">
            <v>486</v>
          </cell>
          <cell r="AD486" t="str">
            <v>TOTAL GENERATION EXPENSE</v>
          </cell>
          <cell r="AE486" t="str">
            <v>NA</v>
          </cell>
          <cell r="AF486" t="str">
            <v>TOTAL GENERATION EXPENSE.NA1</v>
          </cell>
        </row>
        <row r="487">
          <cell r="A487">
            <v>487</v>
          </cell>
          <cell r="B487">
            <v>560</v>
          </cell>
          <cell r="C487" t="str">
            <v>Operation Supervision &amp; Engineering</v>
          </cell>
          <cell r="AD487">
            <v>560</v>
          </cell>
          <cell r="AE487" t="str">
            <v>NA</v>
          </cell>
          <cell r="AF487" t="str">
            <v>560.NA</v>
          </cell>
        </row>
        <row r="488">
          <cell r="A488">
            <v>488</v>
          </cell>
          <cell r="D488" t="str">
            <v>SG</v>
          </cell>
          <cell r="E488" t="str">
            <v>T</v>
          </cell>
          <cell r="F488">
            <v>1340337.9539227115</v>
          </cell>
          <cell r="G488">
            <v>0</v>
          </cell>
          <cell r="H488">
            <v>1340337.9539227115</v>
          </cell>
          <cell r="I488">
            <v>0</v>
          </cell>
          <cell r="J488">
            <v>0</v>
          </cell>
          <cell r="K488">
            <v>0</v>
          </cell>
          <cell r="P488">
            <v>0.99999899999999997</v>
          </cell>
          <cell r="Q488">
            <v>1340336.6135847575</v>
          </cell>
          <cell r="R488">
            <v>1.3403379539612539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560</v>
          </cell>
          <cell r="AE488" t="str">
            <v>SG</v>
          </cell>
          <cell r="AF488" t="str">
            <v>560.SG</v>
          </cell>
        </row>
        <row r="489">
          <cell r="A489">
            <v>489</v>
          </cell>
          <cell r="D489" t="str">
            <v>CAGW</v>
          </cell>
          <cell r="E489" t="str">
            <v>T</v>
          </cell>
          <cell r="F489">
            <v>-481918.39905870054</v>
          </cell>
          <cell r="G489">
            <v>0</v>
          </cell>
          <cell r="H489">
            <v>-481918.39905870054</v>
          </cell>
          <cell r="I489">
            <v>0</v>
          </cell>
          <cell r="J489">
            <v>0</v>
          </cell>
          <cell r="K489">
            <v>0</v>
          </cell>
          <cell r="P489">
            <v>1</v>
          </cell>
          <cell r="Q489">
            <v>-481918.39905870054</v>
          </cell>
          <cell r="R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560</v>
          </cell>
          <cell r="AE489" t="str">
            <v>CAGW</v>
          </cell>
          <cell r="AF489" t="str">
            <v>560.CAGW</v>
          </cell>
        </row>
        <row r="490">
          <cell r="A490">
            <v>490</v>
          </cell>
          <cell r="D490" t="str">
            <v>JBG</v>
          </cell>
          <cell r="E490" t="str">
            <v>T</v>
          </cell>
          <cell r="F490">
            <v>-14992.014133516086</v>
          </cell>
          <cell r="G490">
            <v>0</v>
          </cell>
          <cell r="H490">
            <v>-14992.014133516086</v>
          </cell>
          <cell r="I490">
            <v>0</v>
          </cell>
          <cell r="J490">
            <v>0</v>
          </cell>
          <cell r="K490">
            <v>0</v>
          </cell>
          <cell r="P490">
            <v>1</v>
          </cell>
          <cell r="Q490">
            <v>-14992.014133516086</v>
          </cell>
          <cell r="R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560</v>
          </cell>
          <cell r="AE490" t="str">
            <v>JBG</v>
          </cell>
          <cell r="AF490" t="str">
            <v>560.JBG</v>
          </cell>
        </row>
        <row r="491">
          <cell r="A491">
            <v>491</v>
          </cell>
          <cell r="F491">
            <v>843427.54073049489</v>
          </cell>
          <cell r="G491">
            <v>0</v>
          </cell>
          <cell r="H491">
            <v>843427.54073049489</v>
          </cell>
          <cell r="I491">
            <v>0</v>
          </cell>
          <cell r="J491">
            <v>0</v>
          </cell>
          <cell r="K491">
            <v>0</v>
          </cell>
          <cell r="N491">
            <v>0</v>
          </cell>
          <cell r="O491">
            <v>0</v>
          </cell>
          <cell r="Q491">
            <v>843426.20039254089</v>
          </cell>
          <cell r="R491">
            <v>1.3403379539612539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560</v>
          </cell>
          <cell r="AE491" t="str">
            <v>NA</v>
          </cell>
          <cell r="AF491" t="str">
            <v>560.NA1</v>
          </cell>
        </row>
        <row r="492">
          <cell r="A492">
            <v>492</v>
          </cell>
          <cell r="AD492">
            <v>560</v>
          </cell>
          <cell r="AE492" t="str">
            <v>NA</v>
          </cell>
          <cell r="AF492" t="str">
            <v>560.NA2</v>
          </cell>
        </row>
        <row r="493">
          <cell r="A493">
            <v>493</v>
          </cell>
          <cell r="B493">
            <v>561</v>
          </cell>
          <cell r="C493" t="str">
            <v>Load Dispatching</v>
          </cell>
          <cell r="AD493">
            <v>561</v>
          </cell>
          <cell r="AE493" t="str">
            <v>NA</v>
          </cell>
          <cell r="AF493" t="str">
            <v>561.NA</v>
          </cell>
        </row>
        <row r="494">
          <cell r="A494">
            <v>494</v>
          </cell>
          <cell r="D494" t="str">
            <v>SG</v>
          </cell>
          <cell r="E494" t="str">
            <v>T</v>
          </cell>
          <cell r="F494">
            <v>1374986.7128886974</v>
          </cell>
          <cell r="G494">
            <v>0</v>
          </cell>
          <cell r="H494">
            <v>1374986.7128886974</v>
          </cell>
          <cell r="I494">
            <v>0</v>
          </cell>
          <cell r="J494">
            <v>0</v>
          </cell>
          <cell r="K494">
            <v>0</v>
          </cell>
          <cell r="P494">
            <v>1</v>
          </cell>
          <cell r="Q494">
            <v>1374986.7128886974</v>
          </cell>
          <cell r="R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>
            <v>561</v>
          </cell>
          <cell r="AE494" t="str">
            <v>SG</v>
          </cell>
          <cell r="AF494" t="str">
            <v>561.SG</v>
          </cell>
        </row>
        <row r="495">
          <cell r="A495">
            <v>495</v>
          </cell>
          <cell r="D495" t="str">
            <v>CAGW</v>
          </cell>
          <cell r="E495" t="str">
            <v>T</v>
          </cell>
          <cell r="F495">
            <v>99327.048776113777</v>
          </cell>
          <cell r="G495">
            <v>0</v>
          </cell>
          <cell r="H495">
            <v>99327.048776113777</v>
          </cell>
          <cell r="I495">
            <v>0</v>
          </cell>
          <cell r="J495">
            <v>0</v>
          </cell>
          <cell r="K495">
            <v>0</v>
          </cell>
          <cell r="P495">
            <v>1</v>
          </cell>
          <cell r="Q495">
            <v>99327.048776113777</v>
          </cell>
          <cell r="R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D495">
            <v>561</v>
          </cell>
          <cell r="AE495" t="str">
            <v>CAGW</v>
          </cell>
          <cell r="AF495" t="str">
            <v>561.CAGW</v>
          </cell>
        </row>
        <row r="496">
          <cell r="A496">
            <v>496</v>
          </cell>
          <cell r="F496">
            <v>1474313.7616648111</v>
          </cell>
          <cell r="G496">
            <v>0</v>
          </cell>
          <cell r="H496">
            <v>1474313.7616648111</v>
          </cell>
          <cell r="I496">
            <v>0</v>
          </cell>
          <cell r="J496">
            <v>0</v>
          </cell>
          <cell r="K496">
            <v>0</v>
          </cell>
          <cell r="N496">
            <v>0</v>
          </cell>
          <cell r="O496">
            <v>0</v>
          </cell>
          <cell r="Q496">
            <v>1474313.7616648111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>
            <v>561</v>
          </cell>
          <cell r="AE496" t="str">
            <v>NA</v>
          </cell>
          <cell r="AF496" t="str">
            <v>561.NA1</v>
          </cell>
        </row>
        <row r="497">
          <cell r="A497">
            <v>497</v>
          </cell>
          <cell r="AD497">
            <v>561</v>
          </cell>
          <cell r="AE497" t="str">
            <v>NA</v>
          </cell>
          <cell r="AF497" t="str">
            <v>561.NA2</v>
          </cell>
        </row>
        <row r="498">
          <cell r="A498">
            <v>498</v>
          </cell>
          <cell r="B498">
            <v>562</v>
          </cell>
          <cell r="C498" t="str">
            <v>Station Expense</v>
          </cell>
          <cell r="AD498">
            <v>562</v>
          </cell>
          <cell r="AE498" t="str">
            <v>NA</v>
          </cell>
          <cell r="AF498" t="str">
            <v>562.NA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1238.1873271829616</v>
          </cell>
          <cell r="G499">
            <v>0</v>
          </cell>
          <cell r="H499">
            <v>1238.1873271829616</v>
          </cell>
          <cell r="I499">
            <v>0</v>
          </cell>
          <cell r="J499">
            <v>0</v>
          </cell>
          <cell r="K499">
            <v>0</v>
          </cell>
          <cell r="P499">
            <v>1</v>
          </cell>
          <cell r="Q499">
            <v>1238.1873271829616</v>
          </cell>
          <cell r="R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562</v>
          </cell>
          <cell r="AE499" t="str">
            <v>SG</v>
          </cell>
          <cell r="AF499" t="str">
            <v>562.SG</v>
          </cell>
        </row>
        <row r="500">
          <cell r="A500">
            <v>500</v>
          </cell>
          <cell r="D500" t="str">
            <v>JBG</v>
          </cell>
          <cell r="E500" t="str">
            <v>T</v>
          </cell>
          <cell r="F500">
            <v>15040.589352067454</v>
          </cell>
          <cell r="G500">
            <v>0</v>
          </cell>
          <cell r="H500">
            <v>15040.589352067454</v>
          </cell>
          <cell r="I500">
            <v>0</v>
          </cell>
          <cell r="J500">
            <v>0</v>
          </cell>
          <cell r="K500">
            <v>0</v>
          </cell>
          <cell r="P500">
            <v>1</v>
          </cell>
          <cell r="Q500">
            <v>15040.589352067454</v>
          </cell>
          <cell r="R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562</v>
          </cell>
          <cell r="AE500" t="str">
            <v>JBG</v>
          </cell>
          <cell r="AF500" t="str">
            <v>562.JBG</v>
          </cell>
        </row>
        <row r="501">
          <cell r="A501">
            <v>501</v>
          </cell>
          <cell r="D501" t="str">
            <v>CAGW</v>
          </cell>
          <cell r="E501" t="str">
            <v>T</v>
          </cell>
          <cell r="F501">
            <v>135009.11650145752</v>
          </cell>
          <cell r="G501">
            <v>0</v>
          </cell>
          <cell r="H501">
            <v>135009.11650145752</v>
          </cell>
          <cell r="I501">
            <v>0</v>
          </cell>
          <cell r="J501">
            <v>0</v>
          </cell>
          <cell r="K501">
            <v>0</v>
          </cell>
          <cell r="P501">
            <v>1</v>
          </cell>
          <cell r="Q501">
            <v>135009.11650145752</v>
          </cell>
          <cell r="R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D501">
            <v>562</v>
          </cell>
          <cell r="AE501" t="str">
            <v>CAGW</v>
          </cell>
          <cell r="AF501" t="str">
            <v>562.CAGW</v>
          </cell>
        </row>
        <row r="502">
          <cell r="A502">
            <v>502</v>
          </cell>
          <cell r="F502">
            <v>151287.89318070794</v>
          </cell>
          <cell r="G502">
            <v>0</v>
          </cell>
          <cell r="H502">
            <v>151287.89318070794</v>
          </cell>
          <cell r="I502">
            <v>0</v>
          </cell>
          <cell r="J502">
            <v>0</v>
          </cell>
          <cell r="K502">
            <v>0</v>
          </cell>
          <cell r="N502">
            <v>0</v>
          </cell>
          <cell r="O502">
            <v>0</v>
          </cell>
          <cell r="Q502">
            <v>151287.89318070794</v>
          </cell>
          <cell r="R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D502">
            <v>562</v>
          </cell>
          <cell r="AE502" t="str">
            <v>NA</v>
          </cell>
          <cell r="AF502" t="str">
            <v>562.NA1</v>
          </cell>
        </row>
        <row r="503">
          <cell r="A503">
            <v>503</v>
          </cell>
          <cell r="AD503">
            <v>562</v>
          </cell>
          <cell r="AE503" t="str">
            <v>NA</v>
          </cell>
          <cell r="AF503" t="str">
            <v>562.NA2</v>
          </cell>
        </row>
        <row r="504">
          <cell r="A504">
            <v>504</v>
          </cell>
          <cell r="B504">
            <v>563</v>
          </cell>
          <cell r="C504" t="str">
            <v>Overhead Line Expense</v>
          </cell>
          <cell r="AD504">
            <v>563</v>
          </cell>
          <cell r="AE504" t="str">
            <v>NA</v>
          </cell>
          <cell r="AF504" t="str">
            <v>563.NA</v>
          </cell>
        </row>
        <row r="505">
          <cell r="A505">
            <v>505</v>
          </cell>
          <cell r="D505" t="str">
            <v>SG</v>
          </cell>
          <cell r="E505" t="str">
            <v>T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P505">
            <v>1</v>
          </cell>
          <cell r="Q505">
            <v>0</v>
          </cell>
          <cell r="R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D505">
            <v>563</v>
          </cell>
          <cell r="AE505" t="str">
            <v>SG</v>
          </cell>
          <cell r="AF505" t="str">
            <v>563.SG</v>
          </cell>
        </row>
        <row r="506">
          <cell r="A506">
            <v>506</v>
          </cell>
          <cell r="D506" t="str">
            <v>CAGW</v>
          </cell>
          <cell r="E506" t="str">
            <v>T</v>
          </cell>
          <cell r="F506">
            <v>29173.221221531807</v>
          </cell>
          <cell r="G506">
            <v>0</v>
          </cell>
          <cell r="H506">
            <v>29173.221221531807</v>
          </cell>
          <cell r="I506">
            <v>0</v>
          </cell>
          <cell r="J506">
            <v>0</v>
          </cell>
          <cell r="K506">
            <v>0</v>
          </cell>
          <cell r="P506">
            <v>1</v>
          </cell>
          <cell r="Q506">
            <v>29173.221221531807</v>
          </cell>
          <cell r="R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D506">
            <v>563</v>
          </cell>
          <cell r="AE506" t="str">
            <v>CAGW</v>
          </cell>
          <cell r="AF506" t="str">
            <v>563.CAGW</v>
          </cell>
        </row>
        <row r="507">
          <cell r="A507">
            <v>507</v>
          </cell>
          <cell r="F507">
            <v>29173.221221531807</v>
          </cell>
          <cell r="G507">
            <v>0</v>
          </cell>
          <cell r="H507">
            <v>29173.221221531807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0</v>
          </cell>
          <cell r="Q507">
            <v>29173.221221531807</v>
          </cell>
          <cell r="R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563</v>
          </cell>
          <cell r="AE507" t="str">
            <v>NA</v>
          </cell>
          <cell r="AF507" t="str">
            <v>563.NA1</v>
          </cell>
        </row>
        <row r="508">
          <cell r="A508">
            <v>508</v>
          </cell>
          <cell r="AD508">
            <v>563</v>
          </cell>
          <cell r="AE508" t="str">
            <v>NA</v>
          </cell>
          <cell r="AF508" t="str">
            <v>563.NA2</v>
          </cell>
        </row>
        <row r="509">
          <cell r="A509">
            <v>509</v>
          </cell>
          <cell r="B509">
            <v>564</v>
          </cell>
          <cell r="C509" t="str">
            <v>Underground Line Expense</v>
          </cell>
          <cell r="AD509">
            <v>564</v>
          </cell>
          <cell r="AE509" t="str">
            <v>NA</v>
          </cell>
          <cell r="AF509" t="str">
            <v>564.NA</v>
          </cell>
        </row>
        <row r="510">
          <cell r="A510">
            <v>510</v>
          </cell>
          <cell r="D510" t="str">
            <v>SG</v>
          </cell>
          <cell r="E510" t="str">
            <v>T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P510">
            <v>1</v>
          </cell>
          <cell r="Q510">
            <v>0</v>
          </cell>
          <cell r="R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D510">
            <v>564</v>
          </cell>
          <cell r="AE510" t="str">
            <v>SG</v>
          </cell>
          <cell r="AF510" t="str">
            <v>564.SG</v>
          </cell>
        </row>
        <row r="511">
          <cell r="A511">
            <v>511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564</v>
          </cell>
          <cell r="AE511" t="str">
            <v>NA</v>
          </cell>
          <cell r="AF511" t="str">
            <v>564.NA1</v>
          </cell>
        </row>
        <row r="512">
          <cell r="A512">
            <v>512</v>
          </cell>
          <cell r="AD512">
            <v>564</v>
          </cell>
          <cell r="AE512" t="str">
            <v>NA</v>
          </cell>
          <cell r="AF512" t="str">
            <v>564.NA2</v>
          </cell>
        </row>
        <row r="513">
          <cell r="A513">
            <v>513</v>
          </cell>
          <cell r="B513">
            <v>565</v>
          </cell>
          <cell r="C513" t="str">
            <v>Transmission of Electricity by Others</v>
          </cell>
          <cell r="AD513">
            <v>565</v>
          </cell>
          <cell r="AE513" t="str">
            <v>NA</v>
          </cell>
          <cell r="AF513" t="str">
            <v>565.NA</v>
          </cell>
        </row>
        <row r="514">
          <cell r="A514">
            <v>514</v>
          </cell>
          <cell r="D514" t="str">
            <v>SG</v>
          </cell>
          <cell r="E514" t="str">
            <v>T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D514">
            <v>565</v>
          </cell>
          <cell r="AE514" t="str">
            <v>SG</v>
          </cell>
          <cell r="AF514" t="str">
            <v>565.SG</v>
          </cell>
        </row>
        <row r="515">
          <cell r="A515">
            <v>515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565</v>
          </cell>
          <cell r="AE515" t="str">
            <v>NA</v>
          </cell>
          <cell r="AF515" t="str">
            <v>565.NA1</v>
          </cell>
        </row>
        <row r="516">
          <cell r="A516">
            <v>516</v>
          </cell>
          <cell r="AD516">
            <v>565</v>
          </cell>
          <cell r="AE516" t="str">
            <v>NA</v>
          </cell>
          <cell r="AF516" t="str">
            <v>565.NA2</v>
          </cell>
        </row>
        <row r="517">
          <cell r="A517">
            <v>517</v>
          </cell>
          <cell r="B517" t="str">
            <v>565NPC</v>
          </cell>
          <cell r="C517" t="str">
            <v>Transmission of Electricity by Others-NPC</v>
          </cell>
          <cell r="AD517" t="str">
            <v>565NPC</v>
          </cell>
          <cell r="AE517" t="str">
            <v>NA</v>
          </cell>
          <cell r="AF517" t="str">
            <v>565NPC.NA</v>
          </cell>
        </row>
        <row r="518">
          <cell r="A518">
            <v>518</v>
          </cell>
          <cell r="D518" t="str">
            <v>CAGW</v>
          </cell>
          <cell r="E518" t="str">
            <v>T</v>
          </cell>
          <cell r="F518">
            <v>26272270.42487859</v>
          </cell>
          <cell r="G518">
            <v>0</v>
          </cell>
          <cell r="H518">
            <v>26272270.42487859</v>
          </cell>
          <cell r="I518">
            <v>0</v>
          </cell>
          <cell r="J518">
            <v>0</v>
          </cell>
          <cell r="K518">
            <v>0</v>
          </cell>
          <cell r="P518">
            <v>1</v>
          </cell>
          <cell r="Q518">
            <v>26272270.42487859</v>
          </cell>
          <cell r="R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D518" t="str">
            <v>565NPC</v>
          </cell>
          <cell r="AE518" t="str">
            <v>CAGW</v>
          </cell>
          <cell r="AF518" t="str">
            <v>565NPC.CAGW</v>
          </cell>
        </row>
        <row r="519">
          <cell r="A519">
            <v>519</v>
          </cell>
          <cell r="D519" t="str">
            <v>S</v>
          </cell>
          <cell r="E519" t="str">
            <v>T</v>
          </cell>
          <cell r="F519">
            <v>-15666520.784212762</v>
          </cell>
          <cell r="G519">
            <v>0</v>
          </cell>
          <cell r="H519">
            <v>-15666520.784212762</v>
          </cell>
          <cell r="I519">
            <v>0</v>
          </cell>
          <cell r="J519">
            <v>0</v>
          </cell>
          <cell r="K519">
            <v>0</v>
          </cell>
          <cell r="P519">
            <v>1</v>
          </cell>
          <cell r="Q519">
            <v>-15666520.784212762</v>
          </cell>
          <cell r="R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</v>
          </cell>
          <cell r="AF519" t="str">
            <v>565NPC.S</v>
          </cell>
        </row>
        <row r="520">
          <cell r="A520">
            <v>520</v>
          </cell>
          <cell r="D520" t="str">
            <v>CAEW</v>
          </cell>
          <cell r="E520" t="str">
            <v>T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P520">
            <v>1</v>
          </cell>
          <cell r="Q520">
            <v>0</v>
          </cell>
          <cell r="R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CAEW</v>
          </cell>
          <cell r="AF520" t="str">
            <v>565NPC.CAEW</v>
          </cell>
        </row>
        <row r="521">
          <cell r="A521">
            <v>521</v>
          </cell>
          <cell r="F521">
            <v>10605749.640665827</v>
          </cell>
          <cell r="G521">
            <v>0</v>
          </cell>
          <cell r="H521">
            <v>10605749.640665827</v>
          </cell>
          <cell r="I521">
            <v>0</v>
          </cell>
          <cell r="J521">
            <v>0</v>
          </cell>
          <cell r="K521">
            <v>0</v>
          </cell>
          <cell r="Q521">
            <v>10605749.640665827</v>
          </cell>
          <cell r="R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AC521" t="str">
            <v xml:space="preserve"> 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CAGW</v>
          </cell>
          <cell r="E524" t="str">
            <v>T</v>
          </cell>
          <cell r="F524">
            <v>17658.938538700389</v>
          </cell>
          <cell r="G524">
            <v>0</v>
          </cell>
          <cell r="H524">
            <v>17658.938538700389</v>
          </cell>
          <cell r="I524">
            <v>0</v>
          </cell>
          <cell r="J524">
            <v>0</v>
          </cell>
          <cell r="K524">
            <v>0</v>
          </cell>
          <cell r="P524">
            <v>1</v>
          </cell>
          <cell r="Q524">
            <v>17658.938538700389</v>
          </cell>
          <cell r="R524">
            <v>0</v>
          </cell>
          <cell r="AD524">
            <v>566</v>
          </cell>
          <cell r="AE524" t="str">
            <v>CAGW</v>
          </cell>
          <cell r="AF524" t="str">
            <v>566.CAGW</v>
          </cell>
        </row>
        <row r="525">
          <cell r="A525">
            <v>525</v>
          </cell>
          <cell r="D525" t="str">
            <v>SG</v>
          </cell>
          <cell r="E525" t="str">
            <v>T</v>
          </cell>
          <cell r="F525">
            <v>184400.95420965279</v>
          </cell>
          <cell r="G525">
            <v>0</v>
          </cell>
          <cell r="H525">
            <v>184400.95420965279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P525">
            <v>1</v>
          </cell>
          <cell r="Q525">
            <v>184400.95420965279</v>
          </cell>
          <cell r="R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SG</v>
          </cell>
          <cell r="AF525" t="str">
            <v>566.SG</v>
          </cell>
        </row>
        <row r="526">
          <cell r="A526">
            <v>526</v>
          </cell>
          <cell r="F526">
            <v>202059.89274835319</v>
          </cell>
          <cell r="G526">
            <v>0</v>
          </cell>
          <cell r="H526">
            <v>202059.89274835319</v>
          </cell>
          <cell r="I526">
            <v>0</v>
          </cell>
          <cell r="J526">
            <v>0</v>
          </cell>
          <cell r="K526">
            <v>0</v>
          </cell>
          <cell r="N526">
            <v>0</v>
          </cell>
          <cell r="O526">
            <v>0</v>
          </cell>
          <cell r="Q526">
            <v>202059.89274835319</v>
          </cell>
          <cell r="R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D526">
            <v>566</v>
          </cell>
          <cell r="AE526" t="str">
            <v>NA</v>
          </cell>
          <cell r="AF526" t="str">
            <v>566.NA1</v>
          </cell>
        </row>
        <row r="527">
          <cell r="A527">
            <v>527</v>
          </cell>
          <cell r="AD527">
            <v>566</v>
          </cell>
          <cell r="AE527" t="str">
            <v>NA</v>
          </cell>
          <cell r="AF527" t="str">
            <v>566.NA2</v>
          </cell>
        </row>
        <row r="528">
          <cell r="A528">
            <v>528</v>
          </cell>
          <cell r="B528">
            <v>567</v>
          </cell>
          <cell r="C528" t="str">
            <v>Rents - Transmission</v>
          </cell>
          <cell r="AD528">
            <v>567</v>
          </cell>
          <cell r="AE528" t="str">
            <v>NA</v>
          </cell>
          <cell r="AF528" t="str">
            <v>567.NA</v>
          </cell>
        </row>
        <row r="529">
          <cell r="A529">
            <v>529</v>
          </cell>
          <cell r="D529" t="str">
            <v>CAGW</v>
          </cell>
          <cell r="E529" t="str">
            <v>T</v>
          </cell>
          <cell r="F529">
            <v>201375.91153584787</v>
          </cell>
          <cell r="G529">
            <v>0</v>
          </cell>
          <cell r="H529">
            <v>201375.91153584787</v>
          </cell>
          <cell r="I529">
            <v>0</v>
          </cell>
          <cell r="J529">
            <v>0</v>
          </cell>
          <cell r="K529">
            <v>0</v>
          </cell>
          <cell r="P529">
            <v>1</v>
          </cell>
          <cell r="Q529">
            <v>201375.91153584787</v>
          </cell>
          <cell r="R529">
            <v>0</v>
          </cell>
          <cell r="AD529">
            <v>567</v>
          </cell>
          <cell r="AE529" t="str">
            <v>CAGW</v>
          </cell>
          <cell r="AF529" t="str">
            <v>567.CAGW</v>
          </cell>
        </row>
        <row r="530">
          <cell r="A530">
            <v>530</v>
          </cell>
          <cell r="D530" t="str">
            <v>SG</v>
          </cell>
          <cell r="E530" t="str">
            <v>T</v>
          </cell>
          <cell r="F530">
            <v>1381.9913166206647</v>
          </cell>
          <cell r="G530">
            <v>0</v>
          </cell>
          <cell r="H530">
            <v>1381.9913166206647</v>
          </cell>
          <cell r="I530">
            <v>0</v>
          </cell>
          <cell r="J530">
            <v>0</v>
          </cell>
          <cell r="K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1381.9913166206647</v>
          </cell>
          <cell r="R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D530">
            <v>567</v>
          </cell>
          <cell r="AE530" t="str">
            <v>SG</v>
          </cell>
          <cell r="AF530" t="str">
            <v>567.SG</v>
          </cell>
        </row>
        <row r="531">
          <cell r="A531">
            <v>531</v>
          </cell>
          <cell r="F531">
            <v>202757.90285246854</v>
          </cell>
          <cell r="G531">
            <v>0</v>
          </cell>
          <cell r="H531">
            <v>202757.90285246854</v>
          </cell>
          <cell r="I531">
            <v>0</v>
          </cell>
          <cell r="J531">
            <v>0</v>
          </cell>
          <cell r="K531">
            <v>0</v>
          </cell>
          <cell r="N531">
            <v>0</v>
          </cell>
          <cell r="O531">
            <v>0</v>
          </cell>
          <cell r="Q531">
            <v>202757.90285246854</v>
          </cell>
          <cell r="R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D531">
            <v>567</v>
          </cell>
          <cell r="AE531" t="str">
            <v>NA</v>
          </cell>
          <cell r="AF531" t="str">
            <v>567.NA1</v>
          </cell>
        </row>
        <row r="532">
          <cell r="A532">
            <v>532</v>
          </cell>
          <cell r="AD532">
            <v>567</v>
          </cell>
          <cell r="AE532" t="str">
            <v>NA</v>
          </cell>
          <cell r="AF532" t="str">
            <v>567.NA2</v>
          </cell>
        </row>
        <row r="533">
          <cell r="A533">
            <v>533</v>
          </cell>
          <cell r="B533">
            <v>568</v>
          </cell>
          <cell r="C533" t="str">
            <v>Maint Supervision &amp; Engineering</v>
          </cell>
          <cell r="AD533">
            <v>568</v>
          </cell>
          <cell r="AE533" t="str">
            <v>NA</v>
          </cell>
          <cell r="AF533" t="str">
            <v>568.NA</v>
          </cell>
        </row>
        <row r="534">
          <cell r="A534">
            <v>534</v>
          </cell>
          <cell r="D534" t="str">
            <v>CAGW</v>
          </cell>
          <cell r="E534" t="str">
            <v>T</v>
          </cell>
          <cell r="F534">
            <v>48606.842867799729</v>
          </cell>
          <cell r="G534">
            <v>0</v>
          </cell>
          <cell r="H534">
            <v>48606.842867799729</v>
          </cell>
          <cell r="I534">
            <v>0</v>
          </cell>
          <cell r="J534">
            <v>0</v>
          </cell>
          <cell r="K534">
            <v>0</v>
          </cell>
          <cell r="N534">
            <v>0</v>
          </cell>
          <cell r="O534">
            <v>0</v>
          </cell>
          <cell r="P534">
            <v>1</v>
          </cell>
          <cell r="Q534">
            <v>48606.842867799729</v>
          </cell>
          <cell r="R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D534">
            <v>568</v>
          </cell>
          <cell r="AE534" t="str">
            <v>CAGW</v>
          </cell>
          <cell r="AF534" t="str">
            <v>568.CAGW</v>
          </cell>
        </row>
        <row r="535">
          <cell r="A535">
            <v>535</v>
          </cell>
          <cell r="D535" t="str">
            <v>SG</v>
          </cell>
          <cell r="E535" t="str">
            <v>T</v>
          </cell>
          <cell r="F535">
            <v>45144.169364838475</v>
          </cell>
          <cell r="G535">
            <v>0</v>
          </cell>
          <cell r="H535">
            <v>45144.169364838475</v>
          </cell>
          <cell r="I535">
            <v>0</v>
          </cell>
          <cell r="J535">
            <v>0</v>
          </cell>
          <cell r="K535">
            <v>0</v>
          </cell>
          <cell r="N535">
            <v>0</v>
          </cell>
          <cell r="O535">
            <v>0</v>
          </cell>
          <cell r="P535">
            <v>1</v>
          </cell>
          <cell r="Q535">
            <v>45144.169364838475</v>
          </cell>
          <cell r="R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D535">
            <v>568</v>
          </cell>
          <cell r="AE535" t="str">
            <v>SG</v>
          </cell>
          <cell r="AF535" t="str">
            <v>568.SG</v>
          </cell>
        </row>
        <row r="536">
          <cell r="A536">
            <v>536</v>
          </cell>
          <cell r="F536">
            <v>93751.012232638197</v>
          </cell>
          <cell r="G536">
            <v>0</v>
          </cell>
          <cell r="H536">
            <v>93751.012232638197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Q536">
            <v>93751.012232638197</v>
          </cell>
          <cell r="R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568</v>
          </cell>
          <cell r="AE536" t="str">
            <v>NA</v>
          </cell>
          <cell r="AF536" t="str">
            <v>568.NA1</v>
          </cell>
        </row>
        <row r="537">
          <cell r="A537">
            <v>537</v>
          </cell>
          <cell r="AD537">
            <v>568</v>
          </cell>
          <cell r="AE537" t="str">
            <v>NA</v>
          </cell>
          <cell r="AF537" t="str">
            <v>568.NA2</v>
          </cell>
        </row>
        <row r="538">
          <cell r="A538">
            <v>538</v>
          </cell>
          <cell r="B538">
            <v>569</v>
          </cell>
          <cell r="C538" t="str">
            <v>Maintenance of Structures</v>
          </cell>
          <cell r="AD538">
            <v>569</v>
          </cell>
          <cell r="AE538" t="str">
            <v>NA</v>
          </cell>
          <cell r="AF538" t="str">
            <v>569.NA</v>
          </cell>
        </row>
        <row r="539">
          <cell r="A539">
            <v>539</v>
          </cell>
          <cell r="D539" t="str">
            <v>CAGW</v>
          </cell>
          <cell r="E539" t="str">
            <v>T</v>
          </cell>
          <cell r="F539">
            <v>79892.594250205453</v>
          </cell>
          <cell r="G539">
            <v>0</v>
          </cell>
          <cell r="H539">
            <v>79892.594250205453</v>
          </cell>
          <cell r="I539">
            <v>0</v>
          </cell>
          <cell r="J539">
            <v>0</v>
          </cell>
          <cell r="K539">
            <v>0</v>
          </cell>
          <cell r="P539">
            <v>1</v>
          </cell>
          <cell r="Q539">
            <v>79892.594250205453</v>
          </cell>
          <cell r="R539">
            <v>0</v>
          </cell>
          <cell r="AA539">
            <v>0</v>
          </cell>
          <cell r="AD539">
            <v>569</v>
          </cell>
          <cell r="AE539" t="str">
            <v>CAGW</v>
          </cell>
          <cell r="AF539" t="str">
            <v>569.CAGW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413969.06664473843</v>
          </cell>
          <cell r="G540">
            <v>0</v>
          </cell>
          <cell r="H540">
            <v>413969.06664473843</v>
          </cell>
          <cell r="I540">
            <v>0</v>
          </cell>
          <cell r="J540">
            <v>0</v>
          </cell>
          <cell r="K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413969.06664473843</v>
          </cell>
          <cell r="R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569</v>
          </cell>
          <cell r="AE540" t="str">
            <v>SG</v>
          </cell>
          <cell r="AF540" t="str">
            <v>569.SG</v>
          </cell>
        </row>
        <row r="541">
          <cell r="A541">
            <v>541</v>
          </cell>
          <cell r="F541">
            <v>493861.66089494387</v>
          </cell>
          <cell r="G541">
            <v>0</v>
          </cell>
          <cell r="H541">
            <v>493861.66089494387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493861.66089494387</v>
          </cell>
          <cell r="R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569</v>
          </cell>
          <cell r="AE541" t="str">
            <v>NA</v>
          </cell>
          <cell r="AF541" t="str">
            <v>569.NA1</v>
          </cell>
        </row>
        <row r="542">
          <cell r="A542">
            <v>542</v>
          </cell>
          <cell r="AD542">
            <v>569</v>
          </cell>
          <cell r="AE542" t="str">
            <v>NA</v>
          </cell>
          <cell r="AF542" t="str">
            <v>569.NA2</v>
          </cell>
        </row>
        <row r="543">
          <cell r="A543">
            <v>543</v>
          </cell>
          <cell r="B543">
            <v>570</v>
          </cell>
          <cell r="C543" t="str">
            <v>Maintenance of Station Equipment</v>
          </cell>
          <cell r="AD543">
            <v>570</v>
          </cell>
          <cell r="AE543" t="str">
            <v>NA</v>
          </cell>
          <cell r="AF543" t="str">
            <v>570.NA</v>
          </cell>
        </row>
        <row r="544">
          <cell r="A544">
            <v>544</v>
          </cell>
          <cell r="D544" t="str">
            <v>JBG</v>
          </cell>
          <cell r="E544" t="str">
            <v>T</v>
          </cell>
          <cell r="F544">
            <v>24819.306220079852</v>
          </cell>
          <cell r="G544">
            <v>0</v>
          </cell>
          <cell r="H544">
            <v>24819.306220079852</v>
          </cell>
          <cell r="I544">
            <v>0</v>
          </cell>
          <cell r="J544">
            <v>0</v>
          </cell>
          <cell r="K544">
            <v>0</v>
          </cell>
          <cell r="P544">
            <v>1</v>
          </cell>
          <cell r="Q544">
            <v>24819.306220079852</v>
          </cell>
          <cell r="R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570</v>
          </cell>
          <cell r="AE544" t="str">
            <v>JBG</v>
          </cell>
          <cell r="AF544" t="str">
            <v>570.JBG</v>
          </cell>
        </row>
        <row r="545">
          <cell r="A545">
            <v>545</v>
          </cell>
          <cell r="D545" t="str">
            <v>CAGW</v>
          </cell>
          <cell r="E545" t="str">
            <v>T</v>
          </cell>
          <cell r="F545">
            <v>566420.54161374446</v>
          </cell>
          <cell r="G545">
            <v>0</v>
          </cell>
          <cell r="H545">
            <v>566420.54161374446</v>
          </cell>
          <cell r="I545">
            <v>0</v>
          </cell>
          <cell r="J545">
            <v>0</v>
          </cell>
          <cell r="K545">
            <v>0</v>
          </cell>
          <cell r="P545">
            <v>1</v>
          </cell>
          <cell r="Q545">
            <v>566420.54161374446</v>
          </cell>
          <cell r="R545">
            <v>0</v>
          </cell>
          <cell r="AD545">
            <v>570</v>
          </cell>
          <cell r="AE545" t="str">
            <v>CAGW</v>
          </cell>
          <cell r="AF545" t="str">
            <v>570.CAGW</v>
          </cell>
        </row>
        <row r="546">
          <cell r="A546">
            <v>546</v>
          </cell>
          <cell r="D546" t="str">
            <v>SG</v>
          </cell>
          <cell r="E546" t="str">
            <v>T</v>
          </cell>
          <cell r="F546">
            <v>25909.281677975512</v>
          </cell>
          <cell r="G546">
            <v>0</v>
          </cell>
          <cell r="H546">
            <v>25909.281677975512</v>
          </cell>
          <cell r="I546">
            <v>0</v>
          </cell>
          <cell r="J546">
            <v>0</v>
          </cell>
          <cell r="K546">
            <v>0</v>
          </cell>
          <cell r="P546">
            <v>1</v>
          </cell>
          <cell r="Q546">
            <v>25909.281677975512</v>
          </cell>
          <cell r="R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D546">
            <v>570</v>
          </cell>
          <cell r="AE546" t="str">
            <v>SG</v>
          </cell>
          <cell r="AF546" t="str">
            <v>570.SG</v>
          </cell>
        </row>
        <row r="547">
          <cell r="A547">
            <v>547</v>
          </cell>
          <cell r="F547">
            <v>617149.1295117999</v>
          </cell>
          <cell r="G547">
            <v>0</v>
          </cell>
          <cell r="H547">
            <v>617149.1295117999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Q547">
            <v>617149.1295117999</v>
          </cell>
          <cell r="R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D547">
            <v>570</v>
          </cell>
          <cell r="AE547" t="str">
            <v>NA</v>
          </cell>
          <cell r="AF547" t="str">
            <v>570.NA1</v>
          </cell>
        </row>
        <row r="548">
          <cell r="A548">
            <v>548</v>
          </cell>
          <cell r="AD548">
            <v>570</v>
          </cell>
          <cell r="AE548" t="str">
            <v>NA</v>
          </cell>
          <cell r="AF548" t="str">
            <v>570.NA2</v>
          </cell>
        </row>
        <row r="549">
          <cell r="A549">
            <v>549</v>
          </cell>
          <cell r="B549">
            <v>571</v>
          </cell>
          <cell r="C549" t="str">
            <v>Maintenance of Overhead Lines</v>
          </cell>
          <cell r="AD549">
            <v>571</v>
          </cell>
          <cell r="AE549" t="str">
            <v>NA</v>
          </cell>
          <cell r="AF549" t="str">
            <v>571.NA</v>
          </cell>
        </row>
        <row r="550">
          <cell r="A550">
            <v>550</v>
          </cell>
          <cell r="D550" t="str">
            <v>SG</v>
          </cell>
          <cell r="E550" t="str">
            <v>T</v>
          </cell>
          <cell r="F550">
            <v>2223740.1672707992</v>
          </cell>
          <cell r="G550">
            <v>0</v>
          </cell>
          <cell r="H550">
            <v>2223740.1672707992</v>
          </cell>
          <cell r="I550">
            <v>0</v>
          </cell>
          <cell r="J550">
            <v>0</v>
          </cell>
          <cell r="K550">
            <v>0</v>
          </cell>
          <cell r="P550">
            <v>1</v>
          </cell>
          <cell r="Q550">
            <v>2223740.1672707992</v>
          </cell>
          <cell r="R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D550">
            <v>571</v>
          </cell>
          <cell r="AE550" t="str">
            <v>SG</v>
          </cell>
          <cell r="AF550" t="str">
            <v>571.SG</v>
          </cell>
        </row>
        <row r="551">
          <cell r="A551">
            <v>551</v>
          </cell>
          <cell r="D551" t="str">
            <v>CAGW</v>
          </cell>
          <cell r="E551" t="str">
            <v>T</v>
          </cell>
          <cell r="F551">
            <v>-694157.62844173587</v>
          </cell>
          <cell r="G551">
            <v>0</v>
          </cell>
          <cell r="H551">
            <v>-694157.62844173587</v>
          </cell>
          <cell r="I551">
            <v>0</v>
          </cell>
          <cell r="J551">
            <v>0</v>
          </cell>
          <cell r="K551">
            <v>0</v>
          </cell>
          <cell r="P551">
            <v>1</v>
          </cell>
          <cell r="Q551">
            <v>-694157.62844173587</v>
          </cell>
          <cell r="R551">
            <v>0</v>
          </cell>
          <cell r="AD551">
            <v>571</v>
          </cell>
          <cell r="AE551" t="str">
            <v>CAGW</v>
          </cell>
          <cell r="AF551" t="str">
            <v>571.CAGW</v>
          </cell>
        </row>
        <row r="552">
          <cell r="A552">
            <v>552</v>
          </cell>
          <cell r="D552" t="str">
            <v>JBG</v>
          </cell>
          <cell r="E552" t="str">
            <v>T</v>
          </cell>
          <cell r="F552">
            <v>-63118.323311369451</v>
          </cell>
          <cell r="G552">
            <v>0</v>
          </cell>
          <cell r="H552">
            <v>-63118.323311369451</v>
          </cell>
          <cell r="I552">
            <v>0</v>
          </cell>
          <cell r="J552">
            <v>0</v>
          </cell>
          <cell r="K552">
            <v>0</v>
          </cell>
          <cell r="P552">
            <v>1</v>
          </cell>
          <cell r="Q552">
            <v>-63118.323311369451</v>
          </cell>
          <cell r="R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571</v>
          </cell>
          <cell r="AE552" t="str">
            <v>JBG</v>
          </cell>
          <cell r="AF552" t="str">
            <v>571.JBG</v>
          </cell>
        </row>
        <row r="553">
          <cell r="A553">
            <v>553</v>
          </cell>
          <cell r="F553">
            <v>1466464.2155176939</v>
          </cell>
          <cell r="G553">
            <v>0</v>
          </cell>
          <cell r="H553">
            <v>1466464.2155176939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1466464.2155176939</v>
          </cell>
          <cell r="R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571</v>
          </cell>
          <cell r="AE553" t="str">
            <v>NA</v>
          </cell>
          <cell r="AF553" t="str">
            <v>571.NA1</v>
          </cell>
        </row>
        <row r="554">
          <cell r="A554">
            <v>554</v>
          </cell>
          <cell r="AD554">
            <v>571</v>
          </cell>
          <cell r="AE554" t="str">
            <v>NA</v>
          </cell>
          <cell r="AF554" t="str">
            <v>571.NA2</v>
          </cell>
        </row>
        <row r="555">
          <cell r="A555">
            <v>555</v>
          </cell>
          <cell r="B555">
            <v>572</v>
          </cell>
          <cell r="C555" t="str">
            <v>Maintenance of Underground Lines</v>
          </cell>
          <cell r="AD555">
            <v>572</v>
          </cell>
          <cell r="AE555" t="str">
            <v>NA</v>
          </cell>
          <cell r="AF555" t="str">
            <v>572.NA</v>
          </cell>
        </row>
        <row r="556">
          <cell r="A556">
            <v>556</v>
          </cell>
          <cell r="D556" t="str">
            <v>CAGW</v>
          </cell>
          <cell r="E556" t="str">
            <v>T</v>
          </cell>
          <cell r="F556">
            <v>2432.8435873462636</v>
          </cell>
          <cell r="G556">
            <v>0</v>
          </cell>
          <cell r="H556">
            <v>2432.8435873462636</v>
          </cell>
          <cell r="I556">
            <v>0</v>
          </cell>
          <cell r="J556">
            <v>0</v>
          </cell>
          <cell r="K556">
            <v>0</v>
          </cell>
          <cell r="P556">
            <v>1</v>
          </cell>
          <cell r="Q556">
            <v>2432.8435873462636</v>
          </cell>
          <cell r="R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D556">
            <v>572</v>
          </cell>
          <cell r="AE556" t="str">
            <v>CAGW</v>
          </cell>
          <cell r="AF556" t="str">
            <v>572.CAGW</v>
          </cell>
        </row>
        <row r="557">
          <cell r="A557">
            <v>557</v>
          </cell>
          <cell r="F557">
            <v>2432.8435873462636</v>
          </cell>
          <cell r="G557">
            <v>0</v>
          </cell>
          <cell r="H557">
            <v>2432.8435873462636</v>
          </cell>
          <cell r="I557">
            <v>0</v>
          </cell>
          <cell r="J557">
            <v>0</v>
          </cell>
          <cell r="K557">
            <v>0</v>
          </cell>
          <cell r="N557">
            <v>0</v>
          </cell>
          <cell r="O557">
            <v>0</v>
          </cell>
          <cell r="Q557">
            <v>2432.8435873462636</v>
          </cell>
          <cell r="R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D557">
            <v>572</v>
          </cell>
          <cell r="AE557" t="str">
            <v>NA</v>
          </cell>
          <cell r="AF557" t="str">
            <v>572.NA1</v>
          </cell>
        </row>
        <row r="558">
          <cell r="A558">
            <v>558</v>
          </cell>
          <cell r="AD558">
            <v>572</v>
          </cell>
          <cell r="AE558" t="str">
            <v>NA</v>
          </cell>
          <cell r="AF558" t="str">
            <v>572.NA2</v>
          </cell>
        </row>
        <row r="559">
          <cell r="A559">
            <v>559</v>
          </cell>
          <cell r="B559">
            <v>573</v>
          </cell>
          <cell r="C559" t="str">
            <v>Maint of Misc. Transmission Plant</v>
          </cell>
          <cell r="AD559">
            <v>573</v>
          </cell>
          <cell r="AE559" t="str">
            <v>NA</v>
          </cell>
          <cell r="AF559" t="str">
            <v>573.NA</v>
          </cell>
        </row>
        <row r="560">
          <cell r="A560">
            <v>560</v>
          </cell>
          <cell r="D560" t="str">
            <v>SG</v>
          </cell>
          <cell r="E560" t="str">
            <v>T</v>
          </cell>
          <cell r="F560">
            <v>7647.2498273168876</v>
          </cell>
          <cell r="G560">
            <v>0</v>
          </cell>
          <cell r="H560">
            <v>7647.2498273168876</v>
          </cell>
          <cell r="I560">
            <v>0</v>
          </cell>
          <cell r="J560">
            <v>0</v>
          </cell>
          <cell r="K560">
            <v>0</v>
          </cell>
          <cell r="P560">
            <v>1</v>
          </cell>
          <cell r="Q560">
            <v>7647.2498273168876</v>
          </cell>
          <cell r="R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573</v>
          </cell>
          <cell r="AE560" t="str">
            <v>SG</v>
          </cell>
          <cell r="AF560" t="str">
            <v>573.SG</v>
          </cell>
        </row>
        <row r="561">
          <cell r="A561">
            <v>561</v>
          </cell>
          <cell r="F561">
            <v>7647.2498273168876</v>
          </cell>
          <cell r="G561">
            <v>0</v>
          </cell>
          <cell r="H561">
            <v>7647.2498273168876</v>
          </cell>
          <cell r="I561">
            <v>0</v>
          </cell>
          <cell r="J561">
            <v>0</v>
          </cell>
          <cell r="K561">
            <v>0</v>
          </cell>
          <cell r="N561">
            <v>0</v>
          </cell>
          <cell r="O561">
            <v>0</v>
          </cell>
          <cell r="Q561">
            <v>7647.2498273168876</v>
          </cell>
          <cell r="R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D561">
            <v>573</v>
          </cell>
          <cell r="AE561" t="str">
            <v>NA</v>
          </cell>
          <cell r="AF561" t="str">
            <v>573.NA1</v>
          </cell>
        </row>
        <row r="562">
          <cell r="A562">
            <v>562</v>
          </cell>
          <cell r="AD562">
            <v>573</v>
          </cell>
          <cell r="AE562" t="str">
            <v>NA</v>
          </cell>
          <cell r="AF562" t="str">
            <v>573.NA2</v>
          </cell>
        </row>
        <row r="563">
          <cell r="A563">
            <v>563</v>
          </cell>
          <cell r="B563" t="str">
            <v>TOTAL TRANSMISSION EXPENSE</v>
          </cell>
          <cell r="F563">
            <v>16190075.964635935</v>
          </cell>
          <cell r="G563">
            <v>0</v>
          </cell>
          <cell r="H563">
            <v>16190075.964635935</v>
          </cell>
          <cell r="I563">
            <v>0</v>
          </cell>
          <cell r="J563">
            <v>0</v>
          </cell>
          <cell r="K563">
            <v>0</v>
          </cell>
          <cell r="N563">
            <v>0</v>
          </cell>
          <cell r="O563">
            <v>0</v>
          </cell>
          <cell r="Q563">
            <v>16190074.62429798</v>
          </cell>
          <cell r="R563">
            <v>1.3403379539612539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 t="str">
            <v>TOTAL TRANSMISSION EXPENSE</v>
          </cell>
          <cell r="AE563" t="str">
            <v>NA</v>
          </cell>
          <cell r="AF563" t="str">
            <v>TOTAL TRANSMISSION EXPENSE.NA</v>
          </cell>
        </row>
        <row r="564">
          <cell r="A564">
            <v>564</v>
          </cell>
          <cell r="AD564" t="str">
            <v>TOTAL TRANSMISSION EXPENSE</v>
          </cell>
          <cell r="AE564" t="str">
            <v>NA</v>
          </cell>
          <cell r="AF564" t="str">
            <v>TOTAL TRANSMISSION EXPENSE.NA1</v>
          </cell>
        </row>
        <row r="565">
          <cell r="A565">
            <v>565</v>
          </cell>
          <cell r="B565">
            <v>580</v>
          </cell>
          <cell r="C565" t="str">
            <v>Operation Supervision &amp; Engineering</v>
          </cell>
          <cell r="AD565">
            <v>580</v>
          </cell>
          <cell r="AE565" t="str">
            <v>NA</v>
          </cell>
          <cell r="AF565" t="str">
            <v>580.NA</v>
          </cell>
        </row>
        <row r="566">
          <cell r="A566">
            <v>566</v>
          </cell>
          <cell r="D566" t="str">
            <v>S</v>
          </cell>
          <cell r="E566" t="str">
            <v>DPW</v>
          </cell>
          <cell r="F566">
            <v>223567.38059222285</v>
          </cell>
          <cell r="G566">
            <v>0</v>
          </cell>
          <cell r="H566">
            <v>0</v>
          </cell>
          <cell r="I566">
            <v>223567.38059222285</v>
          </cell>
          <cell r="J566">
            <v>0</v>
          </cell>
          <cell r="K566">
            <v>0</v>
          </cell>
          <cell r="S566" t="str">
            <v>PLNT</v>
          </cell>
          <cell r="T566">
            <v>33405.050598859183</v>
          </cell>
          <cell r="U566">
            <v>104713.92164624805</v>
          </cell>
          <cell r="V566">
            <v>50403.132679172377</v>
          </cell>
          <cell r="W566">
            <v>5905.9217085797063</v>
          </cell>
          <cell r="X566">
            <v>29139.353959363521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D566">
            <v>580</v>
          </cell>
          <cell r="AE566" t="str">
            <v>S</v>
          </cell>
          <cell r="AF566" t="str">
            <v>580.S</v>
          </cell>
        </row>
        <row r="567">
          <cell r="A567">
            <v>567</v>
          </cell>
          <cell r="D567" t="str">
            <v>SNPD</v>
          </cell>
          <cell r="E567" t="str">
            <v>DPW</v>
          </cell>
          <cell r="F567">
            <v>594316.44284117664</v>
          </cell>
          <cell r="G567">
            <v>0</v>
          </cell>
          <cell r="H567">
            <v>0</v>
          </cell>
          <cell r="I567">
            <v>594316.44284117664</v>
          </cell>
          <cell r="J567">
            <v>0</v>
          </cell>
          <cell r="K567">
            <v>0</v>
          </cell>
          <cell r="S567" t="str">
            <v>PLNT</v>
          </cell>
          <cell r="T567">
            <v>88801.733026763977</v>
          </cell>
          <cell r="U567">
            <v>278364.42536426405</v>
          </cell>
          <cell r="V567">
            <v>133988.28774835877</v>
          </cell>
          <cell r="W567">
            <v>15699.903860052094</v>
          </cell>
          <cell r="X567">
            <v>77462.092841737758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D567">
            <v>580</v>
          </cell>
          <cell r="AE567" t="str">
            <v>SNPD</v>
          </cell>
          <cell r="AF567" t="str">
            <v>580.SNPD</v>
          </cell>
        </row>
        <row r="568">
          <cell r="A568">
            <v>568</v>
          </cell>
          <cell r="F568">
            <v>817883.82343339943</v>
          </cell>
          <cell r="G568">
            <v>0</v>
          </cell>
          <cell r="H568">
            <v>0</v>
          </cell>
          <cell r="I568">
            <v>817883.82343339943</v>
          </cell>
          <cell r="J568">
            <v>0</v>
          </cell>
          <cell r="K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122206.78362562315</v>
          </cell>
          <cell r="U568">
            <v>383078.34701051214</v>
          </cell>
          <cell r="V568">
            <v>184391.42042753115</v>
          </cell>
          <cell r="W568">
            <v>21605.825568631801</v>
          </cell>
          <cell r="X568">
            <v>106601.44680110128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580</v>
          </cell>
          <cell r="AE568" t="str">
            <v>NA</v>
          </cell>
          <cell r="AF568" t="str">
            <v>580.NA1</v>
          </cell>
        </row>
        <row r="569">
          <cell r="A569">
            <v>569</v>
          </cell>
          <cell r="AD569">
            <v>580</v>
          </cell>
          <cell r="AE569" t="str">
            <v>NA</v>
          </cell>
          <cell r="AF569" t="str">
            <v>580.NA2</v>
          </cell>
        </row>
        <row r="570">
          <cell r="A570">
            <v>570</v>
          </cell>
          <cell r="B570">
            <v>581</v>
          </cell>
          <cell r="C570" t="str">
            <v>Load Dispatching</v>
          </cell>
          <cell r="AD570">
            <v>581</v>
          </cell>
          <cell r="AE570" t="str">
            <v>NA</v>
          </cell>
          <cell r="AF570" t="str">
            <v>581.NA</v>
          </cell>
        </row>
        <row r="571">
          <cell r="A571">
            <v>571</v>
          </cell>
          <cell r="D571" t="str">
            <v>S</v>
          </cell>
          <cell r="E571" t="str">
            <v>DPW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S571" t="str">
            <v>SUBS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D571">
            <v>581</v>
          </cell>
          <cell r="AE571" t="str">
            <v>S</v>
          </cell>
          <cell r="AF571" t="str">
            <v>581.S</v>
          </cell>
        </row>
        <row r="572">
          <cell r="A572">
            <v>572</v>
          </cell>
          <cell r="D572" t="str">
            <v>SNPD</v>
          </cell>
          <cell r="E572" t="str">
            <v>DPW</v>
          </cell>
          <cell r="F572">
            <v>784173.04647184501</v>
          </cell>
          <cell r="G572">
            <v>0</v>
          </cell>
          <cell r="H572">
            <v>0</v>
          </cell>
          <cell r="I572">
            <v>784173.04647184501</v>
          </cell>
          <cell r="J572">
            <v>0</v>
          </cell>
          <cell r="K572">
            <v>0</v>
          </cell>
          <cell r="S572" t="str">
            <v>SUBS</v>
          </cell>
          <cell r="T572">
            <v>784173.04647184501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D572">
            <v>581</v>
          </cell>
          <cell r="AE572" t="str">
            <v>SNPD</v>
          </cell>
          <cell r="AF572" t="str">
            <v>581.SNPD</v>
          </cell>
        </row>
        <row r="573">
          <cell r="A573">
            <v>573</v>
          </cell>
          <cell r="F573">
            <v>784173.04647184501</v>
          </cell>
          <cell r="G573">
            <v>0</v>
          </cell>
          <cell r="H573">
            <v>0</v>
          </cell>
          <cell r="I573">
            <v>784173.04647184501</v>
          </cell>
          <cell r="J573">
            <v>0</v>
          </cell>
          <cell r="K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784173.04647184501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581</v>
          </cell>
          <cell r="AE573" t="str">
            <v>NA</v>
          </cell>
          <cell r="AF573" t="str">
            <v>581.NA1</v>
          </cell>
        </row>
        <row r="574">
          <cell r="A574">
            <v>574</v>
          </cell>
          <cell r="AD574">
            <v>581</v>
          </cell>
          <cell r="AE574" t="str">
            <v>NA</v>
          </cell>
          <cell r="AF574" t="str">
            <v>581.NA2</v>
          </cell>
        </row>
        <row r="575">
          <cell r="A575">
            <v>575</v>
          </cell>
          <cell r="B575">
            <v>582</v>
          </cell>
          <cell r="C575" t="str">
            <v>Station Expense</v>
          </cell>
          <cell r="AD575">
            <v>582</v>
          </cell>
          <cell r="AE575" t="str">
            <v>NA</v>
          </cell>
          <cell r="AF575" t="str">
            <v>582.NA</v>
          </cell>
        </row>
        <row r="576">
          <cell r="A576">
            <v>576</v>
          </cell>
          <cell r="D576" t="str">
            <v>S</v>
          </cell>
          <cell r="E576" t="str">
            <v>DPW</v>
          </cell>
          <cell r="F576">
            <v>297259</v>
          </cell>
          <cell r="G576">
            <v>0</v>
          </cell>
          <cell r="H576">
            <v>0</v>
          </cell>
          <cell r="I576">
            <v>297259</v>
          </cell>
          <cell r="J576">
            <v>0</v>
          </cell>
          <cell r="K576">
            <v>0</v>
          </cell>
          <cell r="S576" t="str">
            <v>SUBS</v>
          </cell>
          <cell r="T576">
            <v>297259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D576">
            <v>582</v>
          </cell>
          <cell r="AE576" t="str">
            <v>S</v>
          </cell>
          <cell r="AF576" t="str">
            <v>582.S</v>
          </cell>
        </row>
        <row r="577">
          <cell r="A577">
            <v>577</v>
          </cell>
          <cell r="D577" t="str">
            <v>SNPD</v>
          </cell>
          <cell r="E577" t="str">
            <v>DPW</v>
          </cell>
          <cell r="F577">
            <v>236.19448308780775</v>
          </cell>
          <cell r="G577">
            <v>0</v>
          </cell>
          <cell r="H577">
            <v>0</v>
          </cell>
          <cell r="I577">
            <v>236.19448308780775</v>
          </cell>
          <cell r="J577">
            <v>0</v>
          </cell>
          <cell r="K577">
            <v>0</v>
          </cell>
          <cell r="S577" t="str">
            <v>SUBS</v>
          </cell>
          <cell r="T577">
            <v>236.19448308780775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D577">
            <v>582</v>
          </cell>
          <cell r="AE577" t="str">
            <v>SNPD</v>
          </cell>
          <cell r="AF577" t="str">
            <v>582.SNPD</v>
          </cell>
        </row>
        <row r="578">
          <cell r="A578">
            <v>578</v>
          </cell>
          <cell r="F578">
            <v>297495.19448308781</v>
          </cell>
          <cell r="G578">
            <v>0</v>
          </cell>
          <cell r="H578">
            <v>0</v>
          </cell>
          <cell r="I578">
            <v>297495.19448308781</v>
          </cell>
          <cell r="J578">
            <v>0</v>
          </cell>
          <cell r="K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297495.19448308781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582</v>
          </cell>
          <cell r="AE578" t="str">
            <v>NA</v>
          </cell>
          <cell r="AF578" t="str">
            <v>582.NA1</v>
          </cell>
        </row>
        <row r="579">
          <cell r="A579">
            <v>579</v>
          </cell>
          <cell r="AD579">
            <v>582</v>
          </cell>
          <cell r="AE579" t="str">
            <v>NA</v>
          </cell>
          <cell r="AF579" t="str">
            <v>582.NA2</v>
          </cell>
        </row>
        <row r="580">
          <cell r="A580">
            <v>580</v>
          </cell>
          <cell r="B580">
            <v>583</v>
          </cell>
          <cell r="C580" t="str">
            <v>Overhead Line Expenses</v>
          </cell>
          <cell r="AD580">
            <v>583</v>
          </cell>
          <cell r="AE580" t="str">
            <v>NA</v>
          </cell>
          <cell r="AF580" t="str">
            <v>583.NA</v>
          </cell>
        </row>
        <row r="581">
          <cell r="A581">
            <v>581</v>
          </cell>
          <cell r="D581" t="str">
            <v>S</v>
          </cell>
          <cell r="E581" t="str">
            <v>DPW</v>
          </cell>
          <cell r="F581">
            <v>231836.73</v>
          </cell>
          <cell r="G581">
            <v>0</v>
          </cell>
          <cell r="H581">
            <v>0</v>
          </cell>
          <cell r="I581">
            <v>231836.73</v>
          </cell>
          <cell r="J581">
            <v>0</v>
          </cell>
          <cell r="K581">
            <v>0</v>
          </cell>
          <cell r="S581" t="str">
            <v>PC</v>
          </cell>
          <cell r="T581">
            <v>0</v>
          </cell>
          <cell r="U581">
            <v>231836.73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D581">
            <v>583</v>
          </cell>
          <cell r="AE581" t="str">
            <v>S</v>
          </cell>
          <cell r="AF581" t="str">
            <v>583.S</v>
          </cell>
        </row>
        <row r="582">
          <cell r="A582">
            <v>582</v>
          </cell>
          <cell r="D582" t="str">
            <v>SNPD</v>
          </cell>
          <cell r="E582" t="str">
            <v>DPW</v>
          </cell>
          <cell r="F582">
            <v>10.498706261180571</v>
          </cell>
          <cell r="G582">
            <v>0</v>
          </cell>
          <cell r="H582">
            <v>0</v>
          </cell>
          <cell r="I582">
            <v>10.498706261180571</v>
          </cell>
          <cell r="J582">
            <v>0</v>
          </cell>
          <cell r="K582">
            <v>0</v>
          </cell>
          <cell r="S582" t="str">
            <v>PC</v>
          </cell>
          <cell r="T582">
            <v>0</v>
          </cell>
          <cell r="U582">
            <v>10.498706261180571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D582">
            <v>583</v>
          </cell>
          <cell r="AE582" t="str">
            <v>SNPD</v>
          </cell>
          <cell r="AF582" t="str">
            <v>583.SNPD</v>
          </cell>
        </row>
        <row r="583">
          <cell r="A583">
            <v>583</v>
          </cell>
          <cell r="F583">
            <v>231847.2287062612</v>
          </cell>
          <cell r="G583">
            <v>0</v>
          </cell>
          <cell r="H583">
            <v>0</v>
          </cell>
          <cell r="I583">
            <v>231847.2287062612</v>
          </cell>
          <cell r="J583">
            <v>0</v>
          </cell>
          <cell r="K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231847.2287062612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583</v>
          </cell>
          <cell r="AE583" t="str">
            <v>NA</v>
          </cell>
          <cell r="AF583" t="str">
            <v>583.NA1</v>
          </cell>
        </row>
        <row r="584">
          <cell r="A584">
            <v>584</v>
          </cell>
          <cell r="AD584">
            <v>583</v>
          </cell>
          <cell r="AE584" t="str">
            <v>NA</v>
          </cell>
          <cell r="AF584" t="str">
            <v>583.NA2</v>
          </cell>
        </row>
        <row r="585">
          <cell r="A585">
            <v>585</v>
          </cell>
          <cell r="B585">
            <v>584</v>
          </cell>
          <cell r="C585" t="str">
            <v>Underground Line Expense</v>
          </cell>
          <cell r="AD585">
            <v>584</v>
          </cell>
          <cell r="AE585" t="str">
            <v>NA</v>
          </cell>
          <cell r="AF585" t="str">
            <v>584.NA</v>
          </cell>
        </row>
        <row r="586">
          <cell r="A586">
            <v>586</v>
          </cell>
          <cell r="D586" t="str">
            <v>S</v>
          </cell>
          <cell r="E586" t="str">
            <v>DPW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S586" t="str">
            <v>PC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D586">
            <v>584</v>
          </cell>
          <cell r="AE586" t="str">
            <v>S</v>
          </cell>
          <cell r="AF586" t="str">
            <v>584.S</v>
          </cell>
        </row>
        <row r="587">
          <cell r="A587">
            <v>587</v>
          </cell>
          <cell r="D587" t="str">
            <v>SNPD</v>
          </cell>
          <cell r="E587" t="str">
            <v>DPW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S587" t="str">
            <v>PC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D587">
            <v>584</v>
          </cell>
          <cell r="AE587" t="str">
            <v>SNPD</v>
          </cell>
          <cell r="AF587" t="str">
            <v>584.SNPD</v>
          </cell>
        </row>
        <row r="588">
          <cell r="A588">
            <v>588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584</v>
          </cell>
          <cell r="AE588" t="str">
            <v>NA</v>
          </cell>
          <cell r="AF588" t="str">
            <v>584.NA1</v>
          </cell>
        </row>
        <row r="589">
          <cell r="A589">
            <v>589</v>
          </cell>
          <cell r="AD589">
            <v>584</v>
          </cell>
          <cell r="AE589" t="str">
            <v>NA</v>
          </cell>
          <cell r="AF589" t="str">
            <v>584.NA2</v>
          </cell>
        </row>
        <row r="590">
          <cell r="A590">
            <v>590</v>
          </cell>
          <cell r="B590">
            <v>585</v>
          </cell>
          <cell r="C590" t="str">
            <v>Street Lighting &amp; Signal Systems</v>
          </cell>
          <cell r="AD590">
            <v>585</v>
          </cell>
          <cell r="AE590" t="str">
            <v>NA</v>
          </cell>
          <cell r="AF590" t="str">
            <v>585.NA</v>
          </cell>
        </row>
        <row r="591">
          <cell r="A591">
            <v>591</v>
          </cell>
          <cell r="D591" t="str">
            <v>S</v>
          </cell>
          <cell r="E591" t="str">
            <v>DPW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S591" t="str">
            <v>PC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D591">
            <v>585</v>
          </cell>
          <cell r="AE591" t="str">
            <v>S</v>
          </cell>
          <cell r="AF591" t="str">
            <v>585.S</v>
          </cell>
        </row>
        <row r="592">
          <cell r="A592">
            <v>592</v>
          </cell>
          <cell r="D592" t="str">
            <v>SNPD</v>
          </cell>
          <cell r="E592" t="str">
            <v>DPW</v>
          </cell>
          <cell r="F592">
            <v>13699.437821732972</v>
          </cell>
          <cell r="G592">
            <v>0</v>
          </cell>
          <cell r="H592">
            <v>0</v>
          </cell>
          <cell r="I592">
            <v>13699.437821732972</v>
          </cell>
          <cell r="J592">
            <v>0</v>
          </cell>
          <cell r="K592">
            <v>0</v>
          </cell>
          <cell r="S592" t="str">
            <v>METR</v>
          </cell>
          <cell r="T592">
            <v>0</v>
          </cell>
          <cell r="U592">
            <v>0</v>
          </cell>
          <cell r="V592">
            <v>0</v>
          </cell>
          <cell r="W592">
            <v>13699.437821732972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D592">
            <v>585</v>
          </cell>
          <cell r="AE592" t="str">
            <v>SNPD</v>
          </cell>
          <cell r="AF592" t="str">
            <v>585.SNPD</v>
          </cell>
        </row>
        <row r="593">
          <cell r="A593">
            <v>593</v>
          </cell>
          <cell r="F593">
            <v>13699.437821732972</v>
          </cell>
          <cell r="G593">
            <v>0</v>
          </cell>
          <cell r="H593">
            <v>0</v>
          </cell>
          <cell r="I593">
            <v>13699.437821732972</v>
          </cell>
          <cell r="J593">
            <v>0</v>
          </cell>
          <cell r="K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13699.437821732972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585</v>
          </cell>
          <cell r="AE593" t="str">
            <v>NA</v>
          </cell>
          <cell r="AF593" t="str">
            <v>585.NA1</v>
          </cell>
        </row>
        <row r="594">
          <cell r="A594">
            <v>594</v>
          </cell>
          <cell r="AD594">
            <v>585</v>
          </cell>
          <cell r="AE594" t="str">
            <v>NA</v>
          </cell>
          <cell r="AF594" t="str">
            <v>585.NA2</v>
          </cell>
        </row>
        <row r="595">
          <cell r="A595">
            <v>595</v>
          </cell>
          <cell r="B595">
            <v>586</v>
          </cell>
          <cell r="C595" t="str">
            <v>Meter Expenses</v>
          </cell>
          <cell r="AD595">
            <v>586</v>
          </cell>
          <cell r="AE595" t="str">
            <v>NA</v>
          </cell>
          <cell r="AF595" t="str">
            <v>586.NA</v>
          </cell>
        </row>
        <row r="596">
          <cell r="A596">
            <v>596</v>
          </cell>
          <cell r="D596" t="str">
            <v>S</v>
          </cell>
          <cell r="E596" t="str">
            <v>DPW</v>
          </cell>
          <cell r="F596">
            <v>306484.34999999998</v>
          </cell>
          <cell r="G596">
            <v>0</v>
          </cell>
          <cell r="H596">
            <v>0</v>
          </cell>
          <cell r="I596">
            <v>306484.34999999998</v>
          </cell>
          <cell r="J596">
            <v>0</v>
          </cell>
          <cell r="K596">
            <v>0</v>
          </cell>
          <cell r="S596" t="str">
            <v>METR</v>
          </cell>
          <cell r="T596">
            <v>0</v>
          </cell>
          <cell r="U596">
            <v>0</v>
          </cell>
          <cell r="V596">
            <v>0</v>
          </cell>
          <cell r="W596">
            <v>306484.34999999998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D596">
            <v>586</v>
          </cell>
          <cell r="AE596" t="str">
            <v>S</v>
          </cell>
          <cell r="AF596" t="str">
            <v>586.S</v>
          </cell>
        </row>
        <row r="597">
          <cell r="A597">
            <v>597</v>
          </cell>
          <cell r="D597" t="str">
            <v>SNPD</v>
          </cell>
          <cell r="E597" t="str">
            <v>DPW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S597" t="str">
            <v>METR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D597">
            <v>586</v>
          </cell>
          <cell r="AE597" t="str">
            <v>SNPD</v>
          </cell>
          <cell r="AF597" t="str">
            <v>586.SNPD</v>
          </cell>
        </row>
        <row r="598">
          <cell r="A598">
            <v>598</v>
          </cell>
          <cell r="F598">
            <v>306484.34999999998</v>
          </cell>
          <cell r="G598">
            <v>0</v>
          </cell>
          <cell r="H598">
            <v>0</v>
          </cell>
          <cell r="I598">
            <v>306484.34999999998</v>
          </cell>
          <cell r="J598">
            <v>0</v>
          </cell>
          <cell r="K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306484.34999999998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586</v>
          </cell>
          <cell r="AE598" t="str">
            <v>NA</v>
          </cell>
          <cell r="AF598" t="str">
            <v>586.NA1</v>
          </cell>
        </row>
        <row r="599">
          <cell r="A599">
            <v>599</v>
          </cell>
          <cell r="AD599">
            <v>586</v>
          </cell>
          <cell r="AE599" t="str">
            <v>NA</v>
          </cell>
          <cell r="AF599" t="str">
            <v>586.NA2</v>
          </cell>
        </row>
        <row r="600">
          <cell r="A600">
            <v>600</v>
          </cell>
          <cell r="B600">
            <v>587</v>
          </cell>
          <cell r="C600" t="str">
            <v>Customer Installation Expenses</v>
          </cell>
          <cell r="AD600">
            <v>587</v>
          </cell>
          <cell r="AE600" t="str">
            <v>NA</v>
          </cell>
          <cell r="AF600" t="str">
            <v>587.NA</v>
          </cell>
        </row>
        <row r="601">
          <cell r="A601">
            <v>601</v>
          </cell>
          <cell r="D601" t="str">
            <v>S</v>
          </cell>
          <cell r="E601" t="str">
            <v>DPW</v>
          </cell>
          <cell r="F601">
            <v>1297988.42</v>
          </cell>
          <cell r="G601">
            <v>0</v>
          </cell>
          <cell r="H601">
            <v>0</v>
          </cell>
          <cell r="I601">
            <v>1297988.42</v>
          </cell>
          <cell r="J601">
            <v>0</v>
          </cell>
          <cell r="K601">
            <v>0</v>
          </cell>
          <cell r="S601" t="str">
            <v>PC</v>
          </cell>
          <cell r="T601">
            <v>0</v>
          </cell>
          <cell r="U601">
            <v>1297988.42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D601">
            <v>587</v>
          </cell>
          <cell r="AE601" t="str">
            <v>S</v>
          </cell>
          <cell r="AF601" t="str">
            <v>587.S</v>
          </cell>
        </row>
        <row r="602">
          <cell r="A602">
            <v>602</v>
          </cell>
          <cell r="D602" t="str">
            <v>SNPD</v>
          </cell>
          <cell r="E602" t="str">
            <v>DPW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S602" t="str">
            <v>PC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D602">
            <v>587</v>
          </cell>
          <cell r="AE602" t="str">
            <v>SNPD</v>
          </cell>
          <cell r="AF602" t="str">
            <v>587.SNPD</v>
          </cell>
        </row>
        <row r="603">
          <cell r="A603">
            <v>603</v>
          </cell>
          <cell r="F603">
            <v>1297988.42</v>
          </cell>
          <cell r="G603">
            <v>0</v>
          </cell>
          <cell r="H603">
            <v>0</v>
          </cell>
          <cell r="I603">
            <v>1297988.42</v>
          </cell>
          <cell r="J603">
            <v>0</v>
          </cell>
          <cell r="K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1297988.42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587</v>
          </cell>
          <cell r="AE603" t="str">
            <v>NA</v>
          </cell>
          <cell r="AF603" t="str">
            <v>587.NA1</v>
          </cell>
        </row>
        <row r="604">
          <cell r="A604">
            <v>604</v>
          </cell>
          <cell r="AD604">
            <v>587</v>
          </cell>
          <cell r="AE604" t="str">
            <v>NA</v>
          </cell>
          <cell r="AF604" t="str">
            <v>587.NA2</v>
          </cell>
        </row>
        <row r="605">
          <cell r="A605">
            <v>605</v>
          </cell>
          <cell r="B605">
            <v>588</v>
          </cell>
          <cell r="C605" t="str">
            <v>Misc. Distribution Expenses</v>
          </cell>
          <cell r="AD605">
            <v>588</v>
          </cell>
          <cell r="AE605" t="str">
            <v>NA</v>
          </cell>
          <cell r="AF605" t="str">
            <v>588.NA</v>
          </cell>
        </row>
        <row r="606">
          <cell r="A606">
            <v>606</v>
          </cell>
          <cell r="D606" t="str">
            <v>S</v>
          </cell>
          <cell r="E606" t="str">
            <v>DPW</v>
          </cell>
          <cell r="F606">
            <v>-16075.81</v>
          </cell>
          <cell r="G606">
            <v>0</v>
          </cell>
          <cell r="H606">
            <v>0</v>
          </cell>
          <cell r="I606">
            <v>-16075.81</v>
          </cell>
          <cell r="J606">
            <v>0</v>
          </cell>
          <cell r="K606">
            <v>0</v>
          </cell>
          <cell r="S606" t="str">
            <v>PLNT2</v>
          </cell>
          <cell r="T606">
            <v>-3888.0483813234409</v>
          </cell>
          <cell r="U606">
            <v>-12187.761618676559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588</v>
          </cell>
          <cell r="AE606" t="str">
            <v>S</v>
          </cell>
          <cell r="AF606" t="str">
            <v>588.S</v>
          </cell>
        </row>
        <row r="607">
          <cell r="A607">
            <v>607</v>
          </cell>
          <cell r="D607" t="str">
            <v>SNPD</v>
          </cell>
          <cell r="E607" t="str">
            <v>DPW</v>
          </cell>
          <cell r="F607">
            <v>55877.248231571139</v>
          </cell>
          <cell r="G607">
            <v>0</v>
          </cell>
          <cell r="H607">
            <v>0</v>
          </cell>
          <cell r="I607">
            <v>55877.248231571139</v>
          </cell>
          <cell r="J607">
            <v>0</v>
          </cell>
          <cell r="K607">
            <v>0</v>
          </cell>
          <cell r="S607" t="str">
            <v>PLNT2</v>
          </cell>
          <cell r="T607">
            <v>13514.307804058912</v>
          </cell>
          <cell r="U607">
            <v>42362.940427512229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D607">
            <v>588</v>
          </cell>
          <cell r="AE607" t="str">
            <v>SNPD</v>
          </cell>
          <cell r="AF607" t="str">
            <v>588.SNPD</v>
          </cell>
        </row>
        <row r="608">
          <cell r="A608">
            <v>608</v>
          </cell>
          <cell r="D608" t="str">
            <v>SG</v>
          </cell>
          <cell r="E608" t="str">
            <v>DPW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S608" t="str">
            <v>PLNT2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588</v>
          </cell>
          <cell r="AE608" t="str">
            <v>SG</v>
          </cell>
          <cell r="AF608" t="str">
            <v>588.SG</v>
          </cell>
        </row>
        <row r="609">
          <cell r="A609">
            <v>609</v>
          </cell>
          <cell r="F609">
            <v>39801.438231571141</v>
          </cell>
          <cell r="G609">
            <v>0</v>
          </cell>
          <cell r="H609">
            <v>0</v>
          </cell>
          <cell r="I609">
            <v>39801.438231571141</v>
          </cell>
          <cell r="J609">
            <v>0</v>
          </cell>
          <cell r="K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9626.2594227354712</v>
          </cell>
          <cell r="U609">
            <v>30175.17880883567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588</v>
          </cell>
          <cell r="AE609" t="str">
            <v>NA</v>
          </cell>
          <cell r="AF609" t="str">
            <v>588.NA1</v>
          </cell>
        </row>
        <row r="610">
          <cell r="A610">
            <v>610</v>
          </cell>
          <cell r="AD610">
            <v>588</v>
          </cell>
          <cell r="AE610" t="str">
            <v>NA</v>
          </cell>
          <cell r="AF610" t="str">
            <v>588.NA2</v>
          </cell>
        </row>
        <row r="611">
          <cell r="A611">
            <v>611</v>
          </cell>
          <cell r="B611">
            <v>589</v>
          </cell>
          <cell r="C611" t="str">
            <v>Rents</v>
          </cell>
          <cell r="AD611">
            <v>589</v>
          </cell>
          <cell r="AE611" t="str">
            <v>NA</v>
          </cell>
          <cell r="AF611" t="str">
            <v>589.NA</v>
          </cell>
        </row>
        <row r="612">
          <cell r="A612">
            <v>612</v>
          </cell>
          <cell r="D612" t="str">
            <v>S</v>
          </cell>
          <cell r="E612" t="str">
            <v>DPW</v>
          </cell>
          <cell r="F612">
            <v>145358.73000000001</v>
          </cell>
          <cell r="G612">
            <v>0</v>
          </cell>
          <cell r="H612">
            <v>0</v>
          </cell>
          <cell r="I612">
            <v>145358.73000000001</v>
          </cell>
          <cell r="J612">
            <v>0</v>
          </cell>
          <cell r="K612">
            <v>0</v>
          </cell>
          <cell r="S612" t="str">
            <v>PLNT2</v>
          </cell>
          <cell r="T612">
            <v>35156.037231575341</v>
          </cell>
          <cell r="U612">
            <v>110202.69276842468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D612">
            <v>589</v>
          </cell>
          <cell r="AE612" t="str">
            <v>S</v>
          </cell>
          <cell r="AF612" t="str">
            <v>589.S</v>
          </cell>
        </row>
        <row r="613">
          <cell r="A613">
            <v>613</v>
          </cell>
          <cell r="D613" t="str">
            <v>SNPD</v>
          </cell>
          <cell r="E613" t="str">
            <v>DPW</v>
          </cell>
          <cell r="F613">
            <v>835.60491317553499</v>
          </cell>
          <cell r="G613">
            <v>0</v>
          </cell>
          <cell r="H613">
            <v>0</v>
          </cell>
          <cell r="I613">
            <v>835.60491317553499</v>
          </cell>
          <cell r="J613">
            <v>0</v>
          </cell>
          <cell r="K613">
            <v>0</v>
          </cell>
          <cell r="S613" t="str">
            <v>PLNT2</v>
          </cell>
          <cell r="T613">
            <v>202.09695997265788</v>
          </cell>
          <cell r="U613">
            <v>633.50795320287716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589</v>
          </cell>
          <cell r="AE613" t="str">
            <v>SNPD</v>
          </cell>
          <cell r="AF613" t="str">
            <v>589.SNPD</v>
          </cell>
        </row>
        <row r="614">
          <cell r="A614">
            <v>614</v>
          </cell>
          <cell r="F614">
            <v>146194.33491317555</v>
          </cell>
          <cell r="G614">
            <v>0</v>
          </cell>
          <cell r="H614">
            <v>0</v>
          </cell>
          <cell r="I614">
            <v>146194.33491317555</v>
          </cell>
          <cell r="J614">
            <v>0</v>
          </cell>
          <cell r="K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35358.134191548001</v>
          </cell>
          <cell r="U614">
            <v>110836.20072162755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589</v>
          </cell>
          <cell r="AE614" t="str">
            <v>NA</v>
          </cell>
          <cell r="AF614" t="str">
            <v>589.NA1</v>
          </cell>
        </row>
        <row r="615">
          <cell r="A615">
            <v>615</v>
          </cell>
          <cell r="AD615">
            <v>589</v>
          </cell>
          <cell r="AE615" t="str">
            <v>NA</v>
          </cell>
          <cell r="AF615" t="str">
            <v>589.NA2</v>
          </cell>
        </row>
        <row r="616">
          <cell r="A616">
            <v>616</v>
          </cell>
          <cell r="B616">
            <v>590</v>
          </cell>
          <cell r="C616" t="str">
            <v>Maint Supervision &amp; Engineering</v>
          </cell>
          <cell r="AD616">
            <v>590</v>
          </cell>
          <cell r="AE616" t="str">
            <v>NA</v>
          </cell>
          <cell r="AF616" t="str">
            <v>590.NA</v>
          </cell>
        </row>
        <row r="617">
          <cell r="A617">
            <v>617</v>
          </cell>
          <cell r="D617" t="str">
            <v>S</v>
          </cell>
          <cell r="E617" t="str">
            <v>DPW</v>
          </cell>
          <cell r="F617">
            <v>209861.01</v>
          </cell>
          <cell r="G617">
            <v>0</v>
          </cell>
          <cell r="H617">
            <v>0</v>
          </cell>
          <cell r="I617">
            <v>209861.01</v>
          </cell>
          <cell r="J617">
            <v>0</v>
          </cell>
          <cell r="K617">
            <v>0</v>
          </cell>
          <cell r="S617" t="str">
            <v>PLNT</v>
          </cell>
          <cell r="T617">
            <v>31357.068456083893</v>
          </cell>
          <cell r="U617">
            <v>98294.166615587776</v>
          </cell>
          <cell r="V617">
            <v>47313.039599941898</v>
          </cell>
          <cell r="W617">
            <v>5543.8440592731895</v>
          </cell>
          <cell r="X617">
            <v>27352.891269113235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D617">
            <v>590</v>
          </cell>
          <cell r="AE617" t="str">
            <v>S</v>
          </cell>
          <cell r="AF617" t="str">
            <v>590.S</v>
          </cell>
        </row>
        <row r="618">
          <cell r="A618">
            <v>618</v>
          </cell>
          <cell r="D618" t="str">
            <v>SNPD</v>
          </cell>
          <cell r="E618" t="str">
            <v>DPW</v>
          </cell>
          <cell r="F618">
            <v>160314.73577522449</v>
          </cell>
          <cell r="G618">
            <v>0</v>
          </cell>
          <cell r="H618">
            <v>0</v>
          </cell>
          <cell r="I618">
            <v>160314.73577522449</v>
          </cell>
          <cell r="J618">
            <v>0</v>
          </cell>
          <cell r="K618">
            <v>0</v>
          </cell>
          <cell r="S618" t="str">
            <v>PLNT</v>
          </cell>
          <cell r="T618">
            <v>23953.950017788989</v>
          </cell>
          <cell r="U618">
            <v>75087.808589236491</v>
          </cell>
          <cell r="V618">
            <v>36142.861612013679</v>
          </cell>
          <cell r="W618">
            <v>4234.9929390954012</v>
          </cell>
          <cell r="X618">
            <v>20895.122617089914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590</v>
          </cell>
          <cell r="AE618" t="str">
            <v>SNPD</v>
          </cell>
          <cell r="AF618" t="str">
            <v>590.SNPD</v>
          </cell>
        </row>
        <row r="619">
          <cell r="A619">
            <v>619</v>
          </cell>
          <cell r="F619">
            <v>370175.74577522452</v>
          </cell>
          <cell r="G619">
            <v>0</v>
          </cell>
          <cell r="H619">
            <v>0</v>
          </cell>
          <cell r="I619">
            <v>370175.74577522452</v>
          </cell>
          <cell r="J619">
            <v>0</v>
          </cell>
          <cell r="K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55311.018473872886</v>
          </cell>
          <cell r="U619">
            <v>173381.97520482427</v>
          </cell>
          <cell r="V619">
            <v>83455.901211955585</v>
          </cell>
          <cell r="W619">
            <v>9778.8369983685916</v>
          </cell>
          <cell r="X619">
            <v>48248.013886203145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590</v>
          </cell>
          <cell r="AE619" t="str">
            <v>NA</v>
          </cell>
          <cell r="AF619" t="str">
            <v>590.NA1</v>
          </cell>
        </row>
        <row r="620">
          <cell r="A620">
            <v>620</v>
          </cell>
          <cell r="AD620">
            <v>590</v>
          </cell>
          <cell r="AE620" t="str">
            <v>NA</v>
          </cell>
          <cell r="AF620" t="str">
            <v>590.NA2</v>
          </cell>
        </row>
        <row r="621">
          <cell r="A621">
            <v>621</v>
          </cell>
          <cell r="B621">
            <v>591</v>
          </cell>
          <cell r="C621" t="str">
            <v>Maintenance of Structures</v>
          </cell>
          <cell r="AD621">
            <v>591</v>
          </cell>
          <cell r="AE621" t="str">
            <v>NA</v>
          </cell>
          <cell r="AF621" t="str">
            <v>591.NA</v>
          </cell>
        </row>
        <row r="622">
          <cell r="A622">
            <v>622</v>
          </cell>
          <cell r="D622" t="str">
            <v>S</v>
          </cell>
          <cell r="E622" t="str">
            <v>DPW</v>
          </cell>
          <cell r="F622">
            <v>120601.2</v>
          </cell>
          <cell r="G622">
            <v>0</v>
          </cell>
          <cell r="H622">
            <v>0</v>
          </cell>
          <cell r="I622">
            <v>120601.2</v>
          </cell>
          <cell r="J622">
            <v>0</v>
          </cell>
          <cell r="K622">
            <v>0</v>
          </cell>
          <cell r="S622" t="str">
            <v>PLNT2</v>
          </cell>
          <cell r="T622">
            <v>29168.253446990515</v>
          </cell>
          <cell r="U622">
            <v>91432.946553009489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D622">
            <v>591</v>
          </cell>
          <cell r="AE622" t="str">
            <v>S</v>
          </cell>
          <cell r="AF622" t="str">
            <v>591.S</v>
          </cell>
        </row>
        <row r="623">
          <cell r="A623">
            <v>623</v>
          </cell>
          <cell r="D623" t="str">
            <v>SNPD</v>
          </cell>
          <cell r="E623" t="str">
            <v>DPW</v>
          </cell>
          <cell r="F623">
            <v>11648.509112687259</v>
          </cell>
          <cell r="G623">
            <v>0</v>
          </cell>
          <cell r="H623">
            <v>0</v>
          </cell>
          <cell r="I623">
            <v>11648.509112687259</v>
          </cell>
          <cell r="J623">
            <v>0</v>
          </cell>
          <cell r="K623">
            <v>0</v>
          </cell>
          <cell r="S623" t="str">
            <v>PLNT2</v>
          </cell>
          <cell r="T623">
            <v>2817.2743395458801</v>
          </cell>
          <cell r="U623">
            <v>8831.2347731413793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591</v>
          </cell>
          <cell r="AE623" t="str">
            <v>SNPD</v>
          </cell>
          <cell r="AF623" t="str">
            <v>591.SNPD</v>
          </cell>
        </row>
        <row r="624">
          <cell r="A624">
            <v>624</v>
          </cell>
          <cell r="F624">
            <v>132249.70911268727</v>
          </cell>
          <cell r="G624">
            <v>0</v>
          </cell>
          <cell r="H624">
            <v>0</v>
          </cell>
          <cell r="I624">
            <v>132249.70911268727</v>
          </cell>
          <cell r="J624">
            <v>0</v>
          </cell>
          <cell r="K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31985.527786536397</v>
          </cell>
          <cell r="U624">
            <v>100264.18132615087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591</v>
          </cell>
          <cell r="AE624" t="str">
            <v>NA</v>
          </cell>
          <cell r="AF624" t="str">
            <v>591.NA1</v>
          </cell>
        </row>
        <row r="625">
          <cell r="A625">
            <v>625</v>
          </cell>
          <cell r="AD625">
            <v>591</v>
          </cell>
          <cell r="AE625" t="str">
            <v>NA</v>
          </cell>
          <cell r="AF625" t="str">
            <v>591.NA2</v>
          </cell>
        </row>
        <row r="626">
          <cell r="A626">
            <v>626</v>
          </cell>
          <cell r="B626">
            <v>592</v>
          </cell>
          <cell r="C626" t="str">
            <v>Maintenance of Station Equipment</v>
          </cell>
          <cell r="AD626">
            <v>592</v>
          </cell>
          <cell r="AE626" t="str">
            <v>NA</v>
          </cell>
          <cell r="AF626" t="str">
            <v>592.NA</v>
          </cell>
        </row>
        <row r="627">
          <cell r="A627">
            <v>627</v>
          </cell>
          <cell r="D627" t="str">
            <v>S</v>
          </cell>
          <cell r="E627" t="str">
            <v>DPW</v>
          </cell>
          <cell r="F627">
            <v>280275.90999999997</v>
          </cell>
          <cell r="G627">
            <v>0</v>
          </cell>
          <cell r="H627">
            <v>0</v>
          </cell>
          <cell r="I627">
            <v>280275.90999999997</v>
          </cell>
          <cell r="J627">
            <v>0</v>
          </cell>
          <cell r="K627">
            <v>0</v>
          </cell>
          <cell r="S627" t="str">
            <v>SUBS</v>
          </cell>
          <cell r="T627">
            <v>280275.90999999997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D627">
            <v>592</v>
          </cell>
          <cell r="AE627" t="str">
            <v>S</v>
          </cell>
          <cell r="AF627" t="str">
            <v>592.S</v>
          </cell>
        </row>
        <row r="628">
          <cell r="A628">
            <v>628</v>
          </cell>
          <cell r="D628" t="str">
            <v>SNPD</v>
          </cell>
          <cell r="E628" t="str">
            <v>DPW</v>
          </cell>
          <cell r="F628">
            <v>119375.41136836437</v>
          </cell>
          <cell r="G628">
            <v>0</v>
          </cell>
          <cell r="H628">
            <v>0</v>
          </cell>
          <cell r="I628">
            <v>119375.41136836437</v>
          </cell>
          <cell r="J628">
            <v>0</v>
          </cell>
          <cell r="K628">
            <v>0</v>
          </cell>
          <cell r="S628" t="str">
            <v>SUBS</v>
          </cell>
          <cell r="T628">
            <v>119375.41136836437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592</v>
          </cell>
          <cell r="AE628" t="str">
            <v>SNPD</v>
          </cell>
          <cell r="AF628" t="str">
            <v>592.SNPD</v>
          </cell>
        </row>
        <row r="629">
          <cell r="A629">
            <v>629</v>
          </cell>
          <cell r="F629">
            <v>399651.32136836433</v>
          </cell>
          <cell r="G629">
            <v>0</v>
          </cell>
          <cell r="H629">
            <v>0</v>
          </cell>
          <cell r="I629">
            <v>399651.32136836433</v>
          </cell>
          <cell r="J629">
            <v>0</v>
          </cell>
          <cell r="K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399651.32136836433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592</v>
          </cell>
          <cell r="AE629" t="str">
            <v>NA</v>
          </cell>
          <cell r="AF629" t="str">
            <v>592.NA1</v>
          </cell>
        </row>
        <row r="630">
          <cell r="A630">
            <v>630</v>
          </cell>
          <cell r="AD630">
            <v>592</v>
          </cell>
          <cell r="AE630" t="str">
            <v>NA</v>
          </cell>
          <cell r="AF630" t="str">
            <v>592.NA2</v>
          </cell>
        </row>
        <row r="631">
          <cell r="A631">
            <v>631</v>
          </cell>
          <cell r="B631">
            <v>593</v>
          </cell>
          <cell r="C631" t="str">
            <v>Maintenance of Overhead Lines</v>
          </cell>
          <cell r="AD631">
            <v>593</v>
          </cell>
          <cell r="AE631" t="str">
            <v>NA</v>
          </cell>
          <cell r="AF631" t="str">
            <v>593.NA</v>
          </cell>
        </row>
        <row r="632">
          <cell r="A632">
            <v>632</v>
          </cell>
          <cell r="D632" t="str">
            <v>S</v>
          </cell>
          <cell r="E632" t="str">
            <v>DPW</v>
          </cell>
          <cell r="F632">
            <v>5604443.4872582657</v>
          </cell>
          <cell r="G632">
            <v>0</v>
          </cell>
          <cell r="H632">
            <v>0</v>
          </cell>
          <cell r="I632">
            <v>5604443.4872582657</v>
          </cell>
          <cell r="J632">
            <v>0</v>
          </cell>
          <cell r="K632">
            <v>0</v>
          </cell>
          <cell r="S632" t="str">
            <v>PC</v>
          </cell>
          <cell r="T632">
            <v>0</v>
          </cell>
          <cell r="U632">
            <v>5604443.4872582657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593</v>
          </cell>
          <cell r="AE632" t="str">
            <v>S</v>
          </cell>
          <cell r="AF632" t="str">
            <v>593.S</v>
          </cell>
        </row>
        <row r="633">
          <cell r="A633">
            <v>633</v>
          </cell>
          <cell r="D633" t="str">
            <v>SNPD</v>
          </cell>
          <cell r="E633" t="str">
            <v>DPW</v>
          </cell>
          <cell r="F633">
            <v>167128.09972243255</v>
          </cell>
          <cell r="G633">
            <v>0</v>
          </cell>
          <cell r="H633">
            <v>0</v>
          </cell>
          <cell r="I633">
            <v>167128.09972243255</v>
          </cell>
          <cell r="J633">
            <v>0</v>
          </cell>
          <cell r="K633">
            <v>0</v>
          </cell>
          <cell r="S633" t="str">
            <v>PC</v>
          </cell>
          <cell r="T633">
            <v>0</v>
          </cell>
          <cell r="U633">
            <v>167128.09972243255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593</v>
          </cell>
          <cell r="AE633" t="str">
            <v>SNPD</v>
          </cell>
          <cell r="AF633" t="str">
            <v>593.SNPD</v>
          </cell>
        </row>
        <row r="634">
          <cell r="A634">
            <v>634</v>
          </cell>
          <cell r="F634">
            <v>5771571.5869806986</v>
          </cell>
          <cell r="G634">
            <v>0</v>
          </cell>
          <cell r="H634">
            <v>0</v>
          </cell>
          <cell r="I634">
            <v>5771571.5869806986</v>
          </cell>
          <cell r="J634">
            <v>0</v>
          </cell>
          <cell r="K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5771571.5869806986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593</v>
          </cell>
          <cell r="AE634" t="str">
            <v>NA</v>
          </cell>
          <cell r="AF634" t="str">
            <v>593.NA1</v>
          </cell>
        </row>
        <row r="635">
          <cell r="A635">
            <v>635</v>
          </cell>
          <cell r="AD635">
            <v>593</v>
          </cell>
          <cell r="AE635" t="str">
            <v>NA</v>
          </cell>
          <cell r="AF635" t="str">
            <v>593.NA2</v>
          </cell>
        </row>
        <row r="636">
          <cell r="A636">
            <v>636</v>
          </cell>
          <cell r="B636">
            <v>594</v>
          </cell>
          <cell r="C636" t="str">
            <v>Maintenance of Underground Lines</v>
          </cell>
          <cell r="AD636">
            <v>594</v>
          </cell>
          <cell r="AE636" t="str">
            <v>NA</v>
          </cell>
          <cell r="AF636" t="str">
            <v>594.NA</v>
          </cell>
        </row>
        <row r="637">
          <cell r="A637">
            <v>637</v>
          </cell>
          <cell r="D637" t="str">
            <v>S</v>
          </cell>
          <cell r="E637" t="str">
            <v>DPW</v>
          </cell>
          <cell r="F637">
            <v>1200598.98</v>
          </cell>
          <cell r="G637">
            <v>0</v>
          </cell>
          <cell r="H637">
            <v>0</v>
          </cell>
          <cell r="I637">
            <v>1200598.98</v>
          </cell>
          <cell r="J637">
            <v>0</v>
          </cell>
          <cell r="K637">
            <v>0</v>
          </cell>
          <cell r="S637" t="str">
            <v>PC</v>
          </cell>
          <cell r="T637">
            <v>0</v>
          </cell>
          <cell r="U637">
            <v>1200598.98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D637">
            <v>594</v>
          </cell>
          <cell r="AE637" t="str">
            <v>S</v>
          </cell>
          <cell r="AF637" t="str">
            <v>594.S</v>
          </cell>
        </row>
        <row r="638">
          <cell r="A638">
            <v>638</v>
          </cell>
          <cell r="D638" t="str">
            <v>SNPD</v>
          </cell>
          <cell r="E638" t="str">
            <v>DPW</v>
          </cell>
          <cell r="F638">
            <v>1587.0868491330323</v>
          </cell>
          <cell r="G638">
            <v>0</v>
          </cell>
          <cell r="H638">
            <v>0</v>
          </cell>
          <cell r="I638">
            <v>1587.0868491330323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1587.0868491330323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594</v>
          </cell>
          <cell r="AE638" t="str">
            <v>SNPD</v>
          </cell>
          <cell r="AF638" t="str">
            <v>594.SNPD</v>
          </cell>
        </row>
        <row r="639">
          <cell r="A639">
            <v>639</v>
          </cell>
          <cell r="F639">
            <v>1202186.066849133</v>
          </cell>
          <cell r="G639">
            <v>0</v>
          </cell>
          <cell r="H639">
            <v>0</v>
          </cell>
          <cell r="I639">
            <v>1202186.066849133</v>
          </cell>
          <cell r="J639">
            <v>0</v>
          </cell>
          <cell r="K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1202186.066849133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594</v>
          </cell>
          <cell r="AE639" t="str">
            <v>NA</v>
          </cell>
          <cell r="AF639" t="str">
            <v>594.NA1</v>
          </cell>
        </row>
        <row r="640">
          <cell r="A640">
            <v>640</v>
          </cell>
          <cell r="AD640">
            <v>594</v>
          </cell>
          <cell r="AE640" t="str">
            <v>NA</v>
          </cell>
          <cell r="AF640" t="str">
            <v>594.NA2</v>
          </cell>
        </row>
        <row r="641">
          <cell r="A641">
            <v>641</v>
          </cell>
          <cell r="B641">
            <v>595</v>
          </cell>
          <cell r="C641" t="str">
            <v>Maintenance of Line Transformers</v>
          </cell>
          <cell r="AD641">
            <v>595</v>
          </cell>
          <cell r="AE641" t="str">
            <v>NA</v>
          </cell>
          <cell r="AF641" t="str">
            <v>595.NA</v>
          </cell>
        </row>
        <row r="642">
          <cell r="A642">
            <v>642</v>
          </cell>
          <cell r="D642" t="str">
            <v>S</v>
          </cell>
          <cell r="E642" t="str">
            <v>DPW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S642" t="str">
            <v>XFMR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D642">
            <v>595</v>
          </cell>
          <cell r="AE642" t="str">
            <v>S</v>
          </cell>
          <cell r="AF642" t="str">
            <v>595.S</v>
          </cell>
        </row>
        <row r="643">
          <cell r="A643">
            <v>643</v>
          </cell>
          <cell r="D643" t="str">
            <v>SNPD</v>
          </cell>
          <cell r="E643" t="str">
            <v>DPW</v>
          </cell>
          <cell r="F643">
            <v>61697.016684288443</v>
          </cell>
          <cell r="G643">
            <v>0</v>
          </cell>
          <cell r="H643">
            <v>0</v>
          </cell>
          <cell r="I643">
            <v>61697.016684288443</v>
          </cell>
          <cell r="J643">
            <v>0</v>
          </cell>
          <cell r="K643">
            <v>0</v>
          </cell>
          <cell r="S643" t="str">
            <v>XFMR</v>
          </cell>
          <cell r="T643">
            <v>0</v>
          </cell>
          <cell r="U643">
            <v>0</v>
          </cell>
          <cell r="V643">
            <v>61697.016684288443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595</v>
          </cell>
          <cell r="AE643" t="str">
            <v>SNPD</v>
          </cell>
          <cell r="AF643" t="str">
            <v>595.SNPD</v>
          </cell>
        </row>
        <row r="644">
          <cell r="A644">
            <v>644</v>
          </cell>
          <cell r="F644">
            <v>61697.016684288443</v>
          </cell>
          <cell r="G644">
            <v>0</v>
          </cell>
          <cell r="H644">
            <v>0</v>
          </cell>
          <cell r="I644">
            <v>61697.016684288443</v>
          </cell>
          <cell r="J644">
            <v>0</v>
          </cell>
          <cell r="K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V644">
            <v>61697.016684288443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595</v>
          </cell>
          <cell r="AE644" t="str">
            <v>NA</v>
          </cell>
          <cell r="AF644" t="str">
            <v>595.NA1</v>
          </cell>
        </row>
        <row r="645">
          <cell r="A645">
            <v>645</v>
          </cell>
          <cell r="AD645">
            <v>595</v>
          </cell>
          <cell r="AE645" t="str">
            <v>NA</v>
          </cell>
          <cell r="AF645" t="str">
            <v>595.NA2</v>
          </cell>
        </row>
        <row r="646">
          <cell r="A646">
            <v>646</v>
          </cell>
          <cell r="B646">
            <v>596</v>
          </cell>
          <cell r="C646" t="str">
            <v>Maint of Street Lighting &amp; Signal Sys.</v>
          </cell>
          <cell r="AD646">
            <v>596</v>
          </cell>
          <cell r="AE646" t="str">
            <v>NA</v>
          </cell>
          <cell r="AF646" t="str">
            <v>596.NA</v>
          </cell>
        </row>
        <row r="647">
          <cell r="A647">
            <v>647</v>
          </cell>
          <cell r="D647" t="str">
            <v>S</v>
          </cell>
          <cell r="E647" t="str">
            <v>DPW</v>
          </cell>
          <cell r="F647">
            <v>140544.63</v>
          </cell>
          <cell r="G647">
            <v>0</v>
          </cell>
          <cell r="H647">
            <v>0</v>
          </cell>
          <cell r="I647">
            <v>140544.63</v>
          </cell>
          <cell r="J647">
            <v>0</v>
          </cell>
          <cell r="K647">
            <v>0</v>
          </cell>
          <cell r="S647" t="str">
            <v>PC</v>
          </cell>
          <cell r="T647">
            <v>0</v>
          </cell>
          <cell r="U647">
            <v>140544.63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D647">
            <v>596</v>
          </cell>
          <cell r="AE647" t="str">
            <v>S</v>
          </cell>
          <cell r="AF647" t="str">
            <v>596.S</v>
          </cell>
        </row>
        <row r="648">
          <cell r="A648">
            <v>648</v>
          </cell>
          <cell r="D648" t="str">
            <v>SNPD</v>
          </cell>
          <cell r="E648" t="str">
            <v>DPW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S648" t="str">
            <v>PC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596</v>
          </cell>
          <cell r="AE648" t="str">
            <v>SNPD</v>
          </cell>
          <cell r="AF648" t="str">
            <v>596.SNPD</v>
          </cell>
        </row>
        <row r="649">
          <cell r="A649">
            <v>649</v>
          </cell>
          <cell r="F649">
            <v>140544.63</v>
          </cell>
          <cell r="G649">
            <v>0</v>
          </cell>
          <cell r="H649">
            <v>0</v>
          </cell>
          <cell r="I649">
            <v>140544.63</v>
          </cell>
          <cell r="J649">
            <v>0</v>
          </cell>
          <cell r="K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  <cell r="T649">
            <v>0</v>
          </cell>
          <cell r="U649">
            <v>140544.63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596</v>
          </cell>
          <cell r="AE649" t="str">
            <v>NA</v>
          </cell>
          <cell r="AF649" t="str">
            <v>596.NA1</v>
          </cell>
        </row>
        <row r="650">
          <cell r="A650">
            <v>650</v>
          </cell>
          <cell r="AD650">
            <v>596</v>
          </cell>
          <cell r="AE650" t="str">
            <v>NA</v>
          </cell>
          <cell r="AF650" t="str">
            <v>596.NA2</v>
          </cell>
        </row>
        <row r="651">
          <cell r="A651">
            <v>651</v>
          </cell>
          <cell r="B651">
            <v>597</v>
          </cell>
          <cell r="C651" t="str">
            <v>Maintenance of Meters</v>
          </cell>
          <cell r="AD651">
            <v>597</v>
          </cell>
          <cell r="AE651" t="str">
            <v>NA</v>
          </cell>
          <cell r="AF651" t="str">
            <v>597.NA</v>
          </cell>
        </row>
        <row r="652">
          <cell r="A652">
            <v>652</v>
          </cell>
          <cell r="D652" t="str">
            <v>S</v>
          </cell>
          <cell r="E652" t="str">
            <v>DPW</v>
          </cell>
          <cell r="F652">
            <v>32049.69</v>
          </cell>
          <cell r="G652">
            <v>0</v>
          </cell>
          <cell r="H652">
            <v>0</v>
          </cell>
          <cell r="I652">
            <v>32049.69</v>
          </cell>
          <cell r="J652">
            <v>0</v>
          </cell>
          <cell r="K652">
            <v>0</v>
          </cell>
          <cell r="S652" t="str">
            <v>METR</v>
          </cell>
          <cell r="T652">
            <v>0</v>
          </cell>
          <cell r="U652">
            <v>0</v>
          </cell>
          <cell r="V652">
            <v>0</v>
          </cell>
          <cell r="W652">
            <v>32049.69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>
            <v>597</v>
          </cell>
          <cell r="AE652" t="str">
            <v>S</v>
          </cell>
          <cell r="AF652" t="str">
            <v>597.S</v>
          </cell>
        </row>
        <row r="653">
          <cell r="A653">
            <v>653</v>
          </cell>
          <cell r="D653" t="str">
            <v>SNPD</v>
          </cell>
          <cell r="E653" t="str">
            <v>DPW</v>
          </cell>
          <cell r="F653">
            <v>-17091.173697889088</v>
          </cell>
          <cell r="G653">
            <v>0</v>
          </cell>
          <cell r="H653">
            <v>0</v>
          </cell>
          <cell r="I653">
            <v>-17091.173697889088</v>
          </cell>
          <cell r="J653">
            <v>0</v>
          </cell>
          <cell r="K653">
            <v>0</v>
          </cell>
          <cell r="S653" t="str">
            <v>METR</v>
          </cell>
          <cell r="T653">
            <v>0</v>
          </cell>
          <cell r="U653">
            <v>0</v>
          </cell>
          <cell r="V653">
            <v>0</v>
          </cell>
          <cell r="W653">
            <v>-17091.173697889088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D653">
            <v>597</v>
          </cell>
          <cell r="AE653" t="str">
            <v>SNPD</v>
          </cell>
          <cell r="AF653" t="str">
            <v>597.SNPD</v>
          </cell>
        </row>
        <row r="654">
          <cell r="A654">
            <v>654</v>
          </cell>
          <cell r="F654">
            <v>14958.516302110911</v>
          </cell>
          <cell r="G654">
            <v>0</v>
          </cell>
          <cell r="H654">
            <v>0</v>
          </cell>
          <cell r="I654">
            <v>14958.516302110911</v>
          </cell>
          <cell r="J654">
            <v>0</v>
          </cell>
          <cell r="K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14958.516302110911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D654">
            <v>597</v>
          </cell>
          <cell r="AE654" t="str">
            <v>NA</v>
          </cell>
          <cell r="AF654" t="str">
            <v>597.NA1</v>
          </cell>
        </row>
        <row r="655">
          <cell r="A655">
            <v>655</v>
          </cell>
          <cell r="AD655">
            <v>597</v>
          </cell>
          <cell r="AE655" t="str">
            <v>NA</v>
          </cell>
          <cell r="AF655" t="str">
            <v>597.NA2</v>
          </cell>
        </row>
        <row r="656">
          <cell r="A656">
            <v>656</v>
          </cell>
          <cell r="B656">
            <v>598</v>
          </cell>
          <cell r="C656" t="str">
            <v>Maint of Misc. Distribution Plant</v>
          </cell>
          <cell r="AD656">
            <v>598</v>
          </cell>
          <cell r="AE656" t="str">
            <v>NA</v>
          </cell>
          <cell r="AF656" t="str">
            <v>598.NA</v>
          </cell>
        </row>
        <row r="657">
          <cell r="A657">
            <v>657</v>
          </cell>
          <cell r="D657" t="str">
            <v>S</v>
          </cell>
          <cell r="E657" t="str">
            <v>DPW</v>
          </cell>
          <cell r="F657">
            <v>127521.79</v>
          </cell>
          <cell r="G657">
            <v>0</v>
          </cell>
          <cell r="H657">
            <v>0</v>
          </cell>
          <cell r="I657">
            <v>127521.79</v>
          </cell>
          <cell r="J657">
            <v>0</v>
          </cell>
          <cell r="K657">
            <v>0</v>
          </cell>
          <cell r="S657" t="str">
            <v>PLNT2</v>
          </cell>
          <cell r="T657">
            <v>30842.047100144115</v>
          </cell>
          <cell r="U657">
            <v>96679.74289985589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598</v>
          </cell>
          <cell r="AE657" t="str">
            <v>S</v>
          </cell>
          <cell r="AF657" t="str">
            <v>598.S</v>
          </cell>
        </row>
        <row r="658">
          <cell r="A658">
            <v>658</v>
          </cell>
          <cell r="D658" t="str">
            <v>SNPD</v>
          </cell>
          <cell r="E658" t="str">
            <v>DPW</v>
          </cell>
          <cell r="F658">
            <v>218816.52724496217</v>
          </cell>
          <cell r="G658">
            <v>0</v>
          </cell>
          <cell r="H658">
            <v>0</v>
          </cell>
          <cell r="I658">
            <v>218816.52724496217</v>
          </cell>
          <cell r="J658">
            <v>0</v>
          </cell>
          <cell r="K658">
            <v>0</v>
          </cell>
          <cell r="S658" t="str">
            <v>PLNT2</v>
          </cell>
          <cell r="T658">
            <v>52922.325193044198</v>
          </cell>
          <cell r="U658">
            <v>165894.20205191799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D658">
            <v>598</v>
          </cell>
          <cell r="AE658" t="str">
            <v>SNPD</v>
          </cell>
          <cell r="AF658" t="str">
            <v>598.SNPD</v>
          </cell>
        </row>
        <row r="659">
          <cell r="A659">
            <v>659</v>
          </cell>
          <cell r="F659">
            <v>346338.31724496215</v>
          </cell>
          <cell r="G659">
            <v>0</v>
          </cell>
          <cell r="H659">
            <v>0</v>
          </cell>
          <cell r="I659">
            <v>346338.31724496215</v>
          </cell>
          <cell r="J659">
            <v>0</v>
          </cell>
          <cell r="K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83764.372293188309</v>
          </cell>
          <cell r="U659">
            <v>262573.94495177385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D659">
            <v>598</v>
          </cell>
          <cell r="AE659" t="str">
            <v>NA</v>
          </cell>
          <cell r="AF659" t="str">
            <v>598.NA1</v>
          </cell>
        </row>
        <row r="660">
          <cell r="A660">
            <v>660</v>
          </cell>
          <cell r="AD660">
            <v>598</v>
          </cell>
          <cell r="AE660" t="str">
            <v>NA</v>
          </cell>
          <cell r="AF660" t="str">
            <v>598.NA2</v>
          </cell>
        </row>
        <row r="661">
          <cell r="A661">
            <v>661</v>
          </cell>
          <cell r="B661" t="str">
            <v>TOTAL DISTRIBUTION EXPENSE</v>
          </cell>
          <cell r="F661">
            <v>12374940.184378542</v>
          </cell>
          <cell r="G661">
            <v>0</v>
          </cell>
          <cell r="H661">
            <v>0</v>
          </cell>
          <cell r="I661">
            <v>12374940.184378542</v>
          </cell>
          <cell r="J661">
            <v>0</v>
          </cell>
          <cell r="K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  <cell r="T661">
            <v>1819571.6581168014</v>
          </cell>
          <cell r="U661">
            <v>9704447.7605598196</v>
          </cell>
          <cell r="V661">
            <v>329544.33832377516</v>
          </cell>
          <cell r="W661">
            <v>366526.96669084427</v>
          </cell>
          <cell r="X661">
            <v>154849.46068730444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 t="str">
            <v>TOTAL DISTRIBUTION EXPENSE</v>
          </cell>
          <cell r="AE661" t="str">
            <v>NA</v>
          </cell>
          <cell r="AF661" t="str">
            <v>TOTAL DISTRIBUTION EXPENSE.NA</v>
          </cell>
        </row>
        <row r="662">
          <cell r="A662">
            <v>662</v>
          </cell>
          <cell r="AD662" t="str">
            <v>TOTAL DISTRIBUTION EXPENSE</v>
          </cell>
          <cell r="AE662" t="str">
            <v>NA</v>
          </cell>
          <cell r="AF662" t="str">
            <v>TOTAL DISTRIBUTION EXPENSE.NA1</v>
          </cell>
        </row>
        <row r="663">
          <cell r="A663">
            <v>663</v>
          </cell>
          <cell r="B663">
            <v>901</v>
          </cell>
          <cell r="C663" t="str">
            <v>Supervision</v>
          </cell>
          <cell r="AD663">
            <v>901</v>
          </cell>
          <cell r="AE663" t="str">
            <v>NA</v>
          </cell>
          <cell r="AF663" t="str">
            <v>901.NA</v>
          </cell>
        </row>
        <row r="664">
          <cell r="A664">
            <v>664</v>
          </cell>
          <cell r="D664" t="str">
            <v>S</v>
          </cell>
          <cell r="E664" t="str">
            <v>CUST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S664" t="str">
            <v>CUST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D664">
            <v>901</v>
          </cell>
          <cell r="AE664" t="str">
            <v>S</v>
          </cell>
          <cell r="AF664" t="str">
            <v>901.S</v>
          </cell>
        </row>
        <row r="665">
          <cell r="A665">
            <v>665</v>
          </cell>
          <cell r="D665" t="str">
            <v>CN</v>
          </cell>
          <cell r="E665" t="str">
            <v>CUST</v>
          </cell>
          <cell r="F665">
            <v>186536.21136434379</v>
          </cell>
          <cell r="G665">
            <v>0</v>
          </cell>
          <cell r="H665">
            <v>0</v>
          </cell>
          <cell r="I665">
            <v>0</v>
          </cell>
          <cell r="J665">
            <v>186536.21136434379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901</v>
          </cell>
          <cell r="AE665" t="str">
            <v>CN</v>
          </cell>
          <cell r="AF665" t="str">
            <v>901.CN</v>
          </cell>
        </row>
        <row r="666">
          <cell r="A666">
            <v>666</v>
          </cell>
          <cell r="F666">
            <v>186536.21136434379</v>
          </cell>
          <cell r="G666">
            <v>0</v>
          </cell>
          <cell r="H666">
            <v>0</v>
          </cell>
          <cell r="I666">
            <v>0</v>
          </cell>
          <cell r="J666">
            <v>186536.21136434379</v>
          </cell>
          <cell r="K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901</v>
          </cell>
          <cell r="AE666" t="str">
            <v>NA</v>
          </cell>
          <cell r="AF666" t="str">
            <v>901.NA1</v>
          </cell>
        </row>
        <row r="667">
          <cell r="A667">
            <v>667</v>
          </cell>
          <cell r="AD667">
            <v>901</v>
          </cell>
          <cell r="AE667" t="str">
            <v>NA</v>
          </cell>
          <cell r="AF667" t="str">
            <v>901.NA2</v>
          </cell>
        </row>
        <row r="668">
          <cell r="A668">
            <v>668</v>
          </cell>
          <cell r="B668">
            <v>902</v>
          </cell>
          <cell r="C668" t="str">
            <v>Meter Reading Expense</v>
          </cell>
          <cell r="AD668">
            <v>902</v>
          </cell>
          <cell r="AE668" t="str">
            <v>NA</v>
          </cell>
          <cell r="AF668" t="str">
            <v>902.NA</v>
          </cell>
        </row>
        <row r="669">
          <cell r="A669">
            <v>669</v>
          </cell>
          <cell r="D669" t="str">
            <v>S</v>
          </cell>
          <cell r="E669" t="str">
            <v>CUST</v>
          </cell>
          <cell r="F669">
            <v>642455.62</v>
          </cell>
          <cell r="G669">
            <v>0</v>
          </cell>
          <cell r="H669">
            <v>0</v>
          </cell>
          <cell r="I669">
            <v>0</v>
          </cell>
          <cell r="J669">
            <v>642455.62</v>
          </cell>
          <cell r="K669">
            <v>0</v>
          </cell>
          <cell r="S669" t="str">
            <v>CUST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D669">
            <v>902</v>
          </cell>
          <cell r="AE669" t="str">
            <v>S</v>
          </cell>
          <cell r="AF669" t="str">
            <v>902.S</v>
          </cell>
        </row>
        <row r="670">
          <cell r="A670">
            <v>670</v>
          </cell>
          <cell r="D670" t="str">
            <v>CN</v>
          </cell>
          <cell r="E670" t="str">
            <v>CUST</v>
          </cell>
          <cell r="F670">
            <v>51579.183470689386</v>
          </cell>
          <cell r="G670">
            <v>0</v>
          </cell>
          <cell r="H670">
            <v>0</v>
          </cell>
          <cell r="I670">
            <v>0</v>
          </cell>
          <cell r="J670">
            <v>51579.183470689386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902</v>
          </cell>
          <cell r="AE670" t="str">
            <v>CN</v>
          </cell>
          <cell r="AF670" t="str">
            <v>902.CN</v>
          </cell>
        </row>
        <row r="671">
          <cell r="A671">
            <v>671</v>
          </cell>
          <cell r="F671">
            <v>694034.80347068934</v>
          </cell>
          <cell r="G671">
            <v>0</v>
          </cell>
          <cell r="H671">
            <v>0</v>
          </cell>
          <cell r="I671">
            <v>0</v>
          </cell>
          <cell r="J671">
            <v>694034.80347068934</v>
          </cell>
          <cell r="K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902</v>
          </cell>
          <cell r="AE671" t="str">
            <v>NA</v>
          </cell>
          <cell r="AF671" t="str">
            <v>902.NA1</v>
          </cell>
        </row>
        <row r="672">
          <cell r="A672">
            <v>672</v>
          </cell>
          <cell r="AD672">
            <v>902</v>
          </cell>
          <cell r="AE672" t="str">
            <v>NA</v>
          </cell>
          <cell r="AF672" t="str">
            <v>902.NA2</v>
          </cell>
        </row>
        <row r="673">
          <cell r="A673">
            <v>673</v>
          </cell>
          <cell r="B673">
            <v>903</v>
          </cell>
          <cell r="C673" t="str">
            <v>Customer Receipts &amp; Collections</v>
          </cell>
          <cell r="AD673">
            <v>903</v>
          </cell>
          <cell r="AE673" t="str">
            <v>NA</v>
          </cell>
          <cell r="AF673" t="str">
            <v>903.NA</v>
          </cell>
        </row>
        <row r="674">
          <cell r="A674">
            <v>674</v>
          </cell>
          <cell r="D674" t="str">
            <v>S</v>
          </cell>
          <cell r="E674" t="str">
            <v>CUST</v>
          </cell>
          <cell r="F674">
            <v>1453294.5918840161</v>
          </cell>
          <cell r="G674">
            <v>0</v>
          </cell>
          <cell r="H674">
            <v>0</v>
          </cell>
          <cell r="I674">
            <v>0</v>
          </cell>
          <cell r="J674">
            <v>1453294.5918840161</v>
          </cell>
          <cell r="K674">
            <v>0</v>
          </cell>
          <cell r="S674" t="str">
            <v>CUST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D674">
            <v>903</v>
          </cell>
          <cell r="AE674" t="str">
            <v>S</v>
          </cell>
          <cell r="AF674" t="str">
            <v>903.S</v>
          </cell>
        </row>
        <row r="675">
          <cell r="A675">
            <v>675</v>
          </cell>
          <cell r="D675" t="str">
            <v>CN</v>
          </cell>
          <cell r="E675" t="str">
            <v>CUST</v>
          </cell>
          <cell r="F675">
            <v>3010393.3070024266</v>
          </cell>
          <cell r="G675">
            <v>0</v>
          </cell>
          <cell r="H675">
            <v>0</v>
          </cell>
          <cell r="I675">
            <v>0</v>
          </cell>
          <cell r="J675">
            <v>3010393.3070024266</v>
          </cell>
          <cell r="K675">
            <v>0</v>
          </cell>
          <cell r="S675" t="str">
            <v>CUST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D675">
            <v>903</v>
          </cell>
          <cell r="AE675" t="str">
            <v>CN</v>
          </cell>
          <cell r="AF675" t="str">
            <v>903.CN</v>
          </cell>
        </row>
        <row r="676">
          <cell r="A676">
            <v>676</v>
          </cell>
          <cell r="F676">
            <v>4463687.8988864422</v>
          </cell>
          <cell r="G676">
            <v>0</v>
          </cell>
          <cell r="H676">
            <v>0</v>
          </cell>
          <cell r="I676">
            <v>0</v>
          </cell>
          <cell r="J676">
            <v>4463687.8988864422</v>
          </cell>
          <cell r="K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903</v>
          </cell>
          <cell r="AE676" t="str">
            <v>NA</v>
          </cell>
          <cell r="AF676" t="str">
            <v>903.NA1</v>
          </cell>
        </row>
        <row r="677">
          <cell r="A677">
            <v>677</v>
          </cell>
          <cell r="AD677">
            <v>903</v>
          </cell>
          <cell r="AE677" t="str">
            <v>NA</v>
          </cell>
          <cell r="AF677" t="str">
            <v>903.NA2</v>
          </cell>
        </row>
        <row r="678">
          <cell r="A678">
            <v>678</v>
          </cell>
          <cell r="B678">
            <v>904</v>
          </cell>
          <cell r="C678" t="str">
            <v>Uncollectible Accounts</v>
          </cell>
          <cell r="AD678">
            <v>904</v>
          </cell>
          <cell r="AE678" t="str">
            <v>NA</v>
          </cell>
          <cell r="AF678" t="str">
            <v>904.NA</v>
          </cell>
        </row>
        <row r="679">
          <cell r="A679">
            <v>679</v>
          </cell>
          <cell r="D679" t="str">
            <v>S</v>
          </cell>
          <cell r="E679" t="str">
            <v>CUST</v>
          </cell>
          <cell r="F679">
            <v>1732523.48007411</v>
          </cell>
          <cell r="G679">
            <v>0</v>
          </cell>
          <cell r="H679">
            <v>0</v>
          </cell>
          <cell r="I679">
            <v>0</v>
          </cell>
          <cell r="J679">
            <v>1732523.48007411</v>
          </cell>
          <cell r="K679">
            <v>0</v>
          </cell>
          <cell r="S679" t="str">
            <v>CUST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D679">
            <v>904</v>
          </cell>
          <cell r="AE679" t="str">
            <v>S</v>
          </cell>
          <cell r="AF679" t="str">
            <v>904.S</v>
          </cell>
        </row>
        <row r="680">
          <cell r="A680">
            <v>680</v>
          </cell>
          <cell r="D680" t="str">
            <v>SG</v>
          </cell>
          <cell r="E680" t="str">
            <v>CUST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S680" t="str">
            <v>CUST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>
            <v>904</v>
          </cell>
          <cell r="AE680" t="str">
            <v>SG</v>
          </cell>
          <cell r="AF680" t="str">
            <v>904.SG</v>
          </cell>
        </row>
        <row r="681">
          <cell r="A681">
            <v>681</v>
          </cell>
          <cell r="D681" t="str">
            <v>CN</v>
          </cell>
          <cell r="E681" t="str">
            <v>CUST</v>
          </cell>
          <cell r="F681">
            <v>4461.6458954157943</v>
          </cell>
          <cell r="G681">
            <v>0</v>
          </cell>
          <cell r="H681">
            <v>0</v>
          </cell>
          <cell r="I681">
            <v>0</v>
          </cell>
          <cell r="J681">
            <v>4461.6458954157943</v>
          </cell>
          <cell r="K681">
            <v>0</v>
          </cell>
          <cell r="S681" t="str">
            <v>CUST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D681">
            <v>904</v>
          </cell>
          <cell r="AE681" t="str">
            <v>CN</v>
          </cell>
          <cell r="AF681" t="str">
            <v>904.CN</v>
          </cell>
        </row>
        <row r="682">
          <cell r="A682">
            <v>682</v>
          </cell>
          <cell r="F682">
            <v>1736985.1259695257</v>
          </cell>
          <cell r="G682">
            <v>0</v>
          </cell>
          <cell r="H682">
            <v>0</v>
          </cell>
          <cell r="I682">
            <v>0</v>
          </cell>
          <cell r="J682">
            <v>1736985.1259695257</v>
          </cell>
          <cell r="K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D682">
            <v>904</v>
          </cell>
          <cell r="AE682" t="str">
            <v>NA</v>
          </cell>
          <cell r="AF682" t="str">
            <v>904.NA1</v>
          </cell>
        </row>
        <row r="683">
          <cell r="A683">
            <v>683</v>
          </cell>
          <cell r="AD683">
            <v>904</v>
          </cell>
          <cell r="AE683" t="str">
            <v>NA</v>
          </cell>
          <cell r="AF683" t="str">
            <v>904.NA2</v>
          </cell>
        </row>
        <row r="684">
          <cell r="A684">
            <v>684</v>
          </cell>
          <cell r="B684">
            <v>905</v>
          </cell>
          <cell r="C684" t="str">
            <v>Misc. Customer Accounts Expense</v>
          </cell>
          <cell r="AD684">
            <v>905</v>
          </cell>
          <cell r="AE684" t="str">
            <v>NA</v>
          </cell>
          <cell r="AF684" t="str">
            <v>905.NA</v>
          </cell>
        </row>
        <row r="685">
          <cell r="A685">
            <v>685</v>
          </cell>
          <cell r="D685" t="str">
            <v>CAGW</v>
          </cell>
          <cell r="E685" t="str">
            <v>CUST</v>
          </cell>
          <cell r="F685">
            <v>20358.871091146189</v>
          </cell>
          <cell r="G685">
            <v>0</v>
          </cell>
          <cell r="H685">
            <v>0</v>
          </cell>
          <cell r="I685">
            <v>0</v>
          </cell>
          <cell r="J685">
            <v>20358.871091146189</v>
          </cell>
          <cell r="K685">
            <v>0</v>
          </cell>
          <cell r="S685" t="str">
            <v>CUST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905</v>
          </cell>
          <cell r="AE685" t="str">
            <v>CAGW</v>
          </cell>
          <cell r="AF685" t="str">
            <v>905.CAGW</v>
          </cell>
        </row>
        <row r="686">
          <cell r="A686">
            <v>686</v>
          </cell>
          <cell r="D686" t="str">
            <v>CN</v>
          </cell>
          <cell r="E686" t="str">
            <v>CUST</v>
          </cell>
          <cell r="F686">
            <v>1406.897473897782</v>
          </cell>
          <cell r="G686">
            <v>0</v>
          </cell>
          <cell r="H686">
            <v>0</v>
          </cell>
          <cell r="I686">
            <v>0</v>
          </cell>
          <cell r="J686">
            <v>1406.897473897782</v>
          </cell>
          <cell r="K686">
            <v>0</v>
          </cell>
          <cell r="S686" t="str">
            <v>CUST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D686">
            <v>905</v>
          </cell>
          <cell r="AE686" t="str">
            <v>CN</v>
          </cell>
          <cell r="AF686" t="str">
            <v>905.CN</v>
          </cell>
        </row>
        <row r="687">
          <cell r="A687">
            <v>687</v>
          </cell>
          <cell r="F687">
            <v>21765.768565043971</v>
          </cell>
          <cell r="G687">
            <v>0</v>
          </cell>
          <cell r="H687">
            <v>0</v>
          </cell>
          <cell r="I687">
            <v>0</v>
          </cell>
          <cell r="J687">
            <v>21765.768565043971</v>
          </cell>
          <cell r="K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D687">
            <v>905</v>
          </cell>
          <cell r="AE687" t="str">
            <v>NA</v>
          </cell>
          <cell r="AF687" t="str">
            <v>905.NA1</v>
          </cell>
        </row>
        <row r="688">
          <cell r="A688">
            <v>688</v>
          </cell>
          <cell r="AD688">
            <v>905</v>
          </cell>
          <cell r="AE688" t="str">
            <v>NA</v>
          </cell>
          <cell r="AF688" t="str">
            <v>905.NA2</v>
          </cell>
        </row>
        <row r="689">
          <cell r="A689">
            <v>689</v>
          </cell>
          <cell r="B689" t="str">
            <v>TOTAL CUSTOMER ACCOUNTS EXPENSE</v>
          </cell>
          <cell r="F689">
            <v>7103009.808256045</v>
          </cell>
          <cell r="G689">
            <v>0</v>
          </cell>
          <cell r="H689">
            <v>0</v>
          </cell>
          <cell r="I689">
            <v>0</v>
          </cell>
          <cell r="J689">
            <v>7103009.808256045</v>
          </cell>
          <cell r="K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 t="str">
            <v>TOTAL CUSTOMER ACCOUNTS EXPENSE</v>
          </cell>
          <cell r="AE689" t="str">
            <v>NA</v>
          </cell>
          <cell r="AF689" t="str">
            <v>TOTAL CUSTOMER ACCOUNTS EXPENSE.NA</v>
          </cell>
        </row>
        <row r="690">
          <cell r="A690">
            <v>690</v>
          </cell>
          <cell r="AD690" t="str">
            <v>TOTAL CUSTOMER ACCOUNTS EXPENSE</v>
          </cell>
          <cell r="AE690" t="str">
            <v>NA</v>
          </cell>
          <cell r="AF690" t="str">
            <v>TOTAL CUSTOMER ACCOUNTS EXPENSE.NA1</v>
          </cell>
        </row>
        <row r="691">
          <cell r="A691">
            <v>691</v>
          </cell>
          <cell r="B691">
            <v>907</v>
          </cell>
          <cell r="C691" t="str">
            <v>Supervision</v>
          </cell>
          <cell r="AD691">
            <v>907</v>
          </cell>
          <cell r="AE691" t="str">
            <v>NA</v>
          </cell>
          <cell r="AF691" t="str">
            <v>907.NA</v>
          </cell>
        </row>
        <row r="692">
          <cell r="A692">
            <v>692</v>
          </cell>
          <cell r="D692" t="str">
            <v>S</v>
          </cell>
          <cell r="E692" t="str">
            <v>CUST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S692" t="str">
            <v>CUST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D692">
            <v>907</v>
          </cell>
          <cell r="AE692" t="str">
            <v>S</v>
          </cell>
          <cell r="AF692" t="str">
            <v>907.S</v>
          </cell>
        </row>
        <row r="693">
          <cell r="A693">
            <v>693</v>
          </cell>
          <cell r="D693" t="str">
            <v>CN</v>
          </cell>
          <cell r="E693" t="str">
            <v>CUST</v>
          </cell>
          <cell r="F693">
            <v>11.432061146930687</v>
          </cell>
          <cell r="G693">
            <v>0</v>
          </cell>
          <cell r="H693">
            <v>0</v>
          </cell>
          <cell r="I693">
            <v>0</v>
          </cell>
          <cell r="J693">
            <v>11.432061146930687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907</v>
          </cell>
          <cell r="AE693" t="str">
            <v>CN</v>
          </cell>
          <cell r="AF693" t="str">
            <v>907.CN</v>
          </cell>
        </row>
        <row r="694">
          <cell r="A694">
            <v>694</v>
          </cell>
          <cell r="F694">
            <v>11.432061146930687</v>
          </cell>
          <cell r="G694">
            <v>0</v>
          </cell>
          <cell r="H694">
            <v>0</v>
          </cell>
          <cell r="I694">
            <v>0</v>
          </cell>
          <cell r="J694">
            <v>11.432061146930687</v>
          </cell>
          <cell r="K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907</v>
          </cell>
          <cell r="AE694" t="str">
            <v>NA</v>
          </cell>
          <cell r="AF694" t="str">
            <v>907.NA1</v>
          </cell>
        </row>
        <row r="695">
          <cell r="A695">
            <v>695</v>
          </cell>
          <cell r="AD695">
            <v>907</v>
          </cell>
          <cell r="AE695" t="str">
            <v>NA</v>
          </cell>
          <cell r="AF695" t="str">
            <v>907.NA2</v>
          </cell>
        </row>
        <row r="696">
          <cell r="A696">
            <v>696</v>
          </cell>
          <cell r="B696">
            <v>908</v>
          </cell>
          <cell r="C696" t="str">
            <v>Customer Assistance</v>
          </cell>
          <cell r="AD696">
            <v>908</v>
          </cell>
          <cell r="AE696" t="str">
            <v>NA</v>
          </cell>
          <cell r="AF696" t="str">
            <v>908.NA</v>
          </cell>
        </row>
        <row r="697">
          <cell r="A697">
            <v>697</v>
          </cell>
          <cell r="D697" t="str">
            <v>S</v>
          </cell>
          <cell r="E697" t="str">
            <v>CSDSM</v>
          </cell>
          <cell r="F697">
            <v>373876.47333678178</v>
          </cell>
          <cell r="G697">
            <v>4557.9405228957585</v>
          </cell>
          <cell r="H697">
            <v>0</v>
          </cell>
          <cell r="I697">
            <v>0</v>
          </cell>
          <cell r="J697">
            <v>369318.53281388601</v>
          </cell>
          <cell r="K697">
            <v>0</v>
          </cell>
          <cell r="M697">
            <v>0.59419421435740905</v>
          </cell>
          <cell r="N697">
            <v>2708.3018880898435</v>
          </cell>
          <cell r="O697">
            <v>1849.638634805915</v>
          </cell>
          <cell r="S697" t="str">
            <v>CUST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D697">
            <v>908</v>
          </cell>
          <cell r="AE697" t="str">
            <v>S</v>
          </cell>
          <cell r="AF697" t="str">
            <v>908.S</v>
          </cell>
        </row>
        <row r="698">
          <cell r="A698">
            <v>698</v>
          </cell>
          <cell r="D698" t="str">
            <v>CN</v>
          </cell>
          <cell r="E698" t="str">
            <v>CSDSM</v>
          </cell>
          <cell r="F698">
            <v>200316.03755950989</v>
          </cell>
          <cell r="G698">
            <v>2442.0594771042406</v>
          </cell>
          <cell r="H698">
            <v>0</v>
          </cell>
          <cell r="I698">
            <v>0</v>
          </cell>
          <cell r="J698">
            <v>197873.97808240564</v>
          </cell>
          <cell r="K698">
            <v>0</v>
          </cell>
          <cell r="M698">
            <v>0.59419421435740905</v>
          </cell>
          <cell r="N698">
            <v>1451.0576124120194</v>
          </cell>
          <cell r="O698">
            <v>991.00186469222126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908</v>
          </cell>
          <cell r="AE698" t="str">
            <v>CN</v>
          </cell>
          <cell r="AF698" t="str">
            <v>908.CN</v>
          </cell>
        </row>
        <row r="699">
          <cell r="A699">
            <v>699</v>
          </cell>
          <cell r="F699">
            <v>574192.5108962917</v>
          </cell>
          <cell r="G699">
            <v>6999.9999999999991</v>
          </cell>
          <cell r="H699">
            <v>0</v>
          </cell>
          <cell r="I699">
            <v>0</v>
          </cell>
          <cell r="J699">
            <v>567192.51089629158</v>
          </cell>
          <cell r="K699">
            <v>0</v>
          </cell>
          <cell r="N699">
            <v>4159.3595005018633</v>
          </cell>
          <cell r="O699">
            <v>2840.6404994981363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908</v>
          </cell>
          <cell r="AE699" t="str">
            <v>NA</v>
          </cell>
          <cell r="AF699" t="str">
            <v>908.NA1</v>
          </cell>
        </row>
        <row r="700">
          <cell r="A700">
            <v>700</v>
          </cell>
          <cell r="AD700">
            <v>908</v>
          </cell>
          <cell r="AE700" t="str">
            <v>NA</v>
          </cell>
          <cell r="AF700" t="str">
            <v>908.NA2</v>
          </cell>
        </row>
        <row r="701">
          <cell r="A701">
            <v>701</v>
          </cell>
          <cell r="B701">
            <v>909</v>
          </cell>
          <cell r="C701" t="str">
            <v>Informational &amp; Instructional Adv</v>
          </cell>
          <cell r="AD701">
            <v>909</v>
          </cell>
          <cell r="AE701" t="str">
            <v>NA</v>
          </cell>
          <cell r="AF701" t="str">
            <v>909.NA</v>
          </cell>
        </row>
        <row r="702">
          <cell r="A702">
            <v>702</v>
          </cell>
          <cell r="D702" t="str">
            <v>S</v>
          </cell>
          <cell r="E702" t="str">
            <v>CUST</v>
          </cell>
          <cell r="F702">
            <v>290258.88</v>
          </cell>
          <cell r="G702">
            <v>0</v>
          </cell>
          <cell r="H702">
            <v>0</v>
          </cell>
          <cell r="I702">
            <v>0</v>
          </cell>
          <cell r="J702">
            <v>290258.88</v>
          </cell>
          <cell r="K702">
            <v>0</v>
          </cell>
          <cell r="S702" t="str">
            <v>CUST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>
            <v>909</v>
          </cell>
          <cell r="AE702" t="str">
            <v>S</v>
          </cell>
          <cell r="AF702" t="str">
            <v>909.S</v>
          </cell>
        </row>
        <row r="703">
          <cell r="A703">
            <v>703</v>
          </cell>
          <cell r="D703" t="str">
            <v>CN</v>
          </cell>
          <cell r="E703" t="str">
            <v>CUST</v>
          </cell>
          <cell r="F703">
            <v>166103.25469345669</v>
          </cell>
          <cell r="G703">
            <v>0</v>
          </cell>
          <cell r="H703">
            <v>0</v>
          </cell>
          <cell r="I703">
            <v>0</v>
          </cell>
          <cell r="J703">
            <v>166103.25469345669</v>
          </cell>
          <cell r="K703">
            <v>0</v>
          </cell>
          <cell r="S703" t="str">
            <v>CUST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D703">
            <v>909</v>
          </cell>
          <cell r="AE703" t="str">
            <v>CN</v>
          </cell>
          <cell r="AF703" t="str">
            <v>909.CN</v>
          </cell>
        </row>
        <row r="704">
          <cell r="A704">
            <v>704</v>
          </cell>
          <cell r="D704" t="str">
            <v>CAGW</v>
          </cell>
          <cell r="E704" t="str">
            <v>CUST</v>
          </cell>
          <cell r="F704">
            <v>6009.0863537789955</v>
          </cell>
          <cell r="G704">
            <v>0</v>
          </cell>
          <cell r="H704">
            <v>0</v>
          </cell>
          <cell r="I704">
            <v>0</v>
          </cell>
          <cell r="J704">
            <v>6009.0863537789955</v>
          </cell>
          <cell r="K704">
            <v>0</v>
          </cell>
          <cell r="S704" t="str">
            <v>CUST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D704">
            <v>909</v>
          </cell>
          <cell r="AE704" t="str">
            <v>CAGW</v>
          </cell>
          <cell r="AF704" t="str">
            <v>909.CAGW</v>
          </cell>
        </row>
        <row r="705">
          <cell r="A705">
            <v>705</v>
          </cell>
          <cell r="F705">
            <v>462371.22104723571</v>
          </cell>
          <cell r="G705">
            <v>0</v>
          </cell>
          <cell r="H705">
            <v>0</v>
          </cell>
          <cell r="I705">
            <v>0</v>
          </cell>
          <cell r="J705">
            <v>462371.22104723571</v>
          </cell>
          <cell r="K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909</v>
          </cell>
          <cell r="AE705" t="str">
            <v>NA</v>
          </cell>
          <cell r="AF705" t="str">
            <v>909.NA1</v>
          </cell>
        </row>
        <row r="706">
          <cell r="A706">
            <v>706</v>
          </cell>
          <cell r="AD706">
            <v>909</v>
          </cell>
          <cell r="AE706" t="str">
            <v>NA</v>
          </cell>
          <cell r="AF706" t="str">
            <v>909.NA2</v>
          </cell>
        </row>
        <row r="707">
          <cell r="A707">
            <v>707</v>
          </cell>
          <cell r="B707">
            <v>910</v>
          </cell>
          <cell r="C707" t="str">
            <v>Misc. Customer Service</v>
          </cell>
          <cell r="AD707">
            <v>910</v>
          </cell>
          <cell r="AE707" t="str">
            <v>NA</v>
          </cell>
          <cell r="AF707" t="str">
            <v>910.NA</v>
          </cell>
        </row>
        <row r="708">
          <cell r="A708">
            <v>708</v>
          </cell>
          <cell r="D708" t="str">
            <v>S</v>
          </cell>
          <cell r="E708" t="str">
            <v>CUST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S708" t="str">
            <v>CUST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D708">
            <v>910</v>
          </cell>
          <cell r="AE708" t="str">
            <v>S</v>
          </cell>
          <cell r="AF708" t="str">
            <v>910.S</v>
          </cell>
        </row>
        <row r="709">
          <cell r="A709">
            <v>709</v>
          </cell>
          <cell r="D709" t="str">
            <v>CN</v>
          </cell>
          <cell r="E709" t="str">
            <v>CUST</v>
          </cell>
          <cell r="F709">
            <v>1138.6954659693408</v>
          </cell>
          <cell r="G709">
            <v>0</v>
          </cell>
          <cell r="H709">
            <v>0</v>
          </cell>
          <cell r="I709">
            <v>0</v>
          </cell>
          <cell r="J709">
            <v>1138.6954659693408</v>
          </cell>
          <cell r="K709">
            <v>0</v>
          </cell>
          <cell r="S709" t="str">
            <v>CUST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D709">
            <v>910</v>
          </cell>
          <cell r="AE709" t="str">
            <v>CN</v>
          </cell>
          <cell r="AF709" t="str">
            <v>910.CN</v>
          </cell>
        </row>
        <row r="710">
          <cell r="A710">
            <v>710</v>
          </cell>
          <cell r="F710">
            <v>1138.6954659693408</v>
          </cell>
          <cell r="G710">
            <v>0</v>
          </cell>
          <cell r="H710">
            <v>0</v>
          </cell>
          <cell r="I710">
            <v>0</v>
          </cell>
          <cell r="J710">
            <v>1138.6954659693408</v>
          </cell>
          <cell r="K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910</v>
          </cell>
          <cell r="AE710" t="str">
            <v>NA</v>
          </cell>
          <cell r="AF710" t="str">
            <v>910.NA1</v>
          </cell>
        </row>
        <row r="711">
          <cell r="A711">
            <v>711</v>
          </cell>
          <cell r="AD711">
            <v>910</v>
          </cell>
          <cell r="AE711" t="str">
            <v>NA</v>
          </cell>
          <cell r="AF711" t="str">
            <v>910.NA2</v>
          </cell>
        </row>
        <row r="712">
          <cell r="A712">
            <v>712</v>
          </cell>
          <cell r="B712" t="str">
            <v>TOTAL CUSTOMER SERVICE EXPENSE</v>
          </cell>
          <cell r="F712">
            <v>1037713.8594706438</v>
          </cell>
          <cell r="G712">
            <v>6999.9999999999991</v>
          </cell>
          <cell r="H712">
            <v>0</v>
          </cell>
          <cell r="I712">
            <v>0</v>
          </cell>
          <cell r="J712">
            <v>1030713.8594706436</v>
          </cell>
          <cell r="K712">
            <v>0</v>
          </cell>
          <cell r="N712">
            <v>4159.3595005018633</v>
          </cell>
          <cell r="O712">
            <v>2840.6404994981363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 t="str">
            <v>TOTAL CUSTOMER SERVICE EXPENSE</v>
          </cell>
          <cell r="AE712" t="str">
            <v>NA</v>
          </cell>
          <cell r="AF712" t="str">
            <v>TOTAL CUSTOMER SERVICE EXPENSE.NA</v>
          </cell>
        </row>
        <row r="713">
          <cell r="A713">
            <v>713</v>
          </cell>
          <cell r="AD713" t="str">
            <v>TOTAL CUSTOMER SERVICE EXPENSE</v>
          </cell>
          <cell r="AE713" t="str">
            <v>NA</v>
          </cell>
          <cell r="AF713" t="str">
            <v>TOTAL CUSTOMER SERVICE EXPENSE.NA1</v>
          </cell>
        </row>
        <row r="714">
          <cell r="A714">
            <v>714</v>
          </cell>
          <cell r="B714">
            <v>911</v>
          </cell>
          <cell r="C714" t="str">
            <v>Supervision</v>
          </cell>
          <cell r="AD714">
            <v>911</v>
          </cell>
          <cell r="AE714" t="str">
            <v>NA</v>
          </cell>
          <cell r="AF714" t="str">
            <v>911.NA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911</v>
          </cell>
          <cell r="AE715" t="str">
            <v>S</v>
          </cell>
          <cell r="AF715" t="str">
            <v>911.S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911</v>
          </cell>
          <cell r="AE716" t="str">
            <v>CN</v>
          </cell>
          <cell r="AF716" t="str">
            <v>911.CN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911</v>
          </cell>
          <cell r="AE717" t="str">
            <v>NA</v>
          </cell>
          <cell r="AF717" t="str">
            <v>911.NA1</v>
          </cell>
        </row>
        <row r="718">
          <cell r="A718">
            <v>718</v>
          </cell>
          <cell r="AD718">
            <v>911</v>
          </cell>
          <cell r="AE718" t="str">
            <v>NA</v>
          </cell>
          <cell r="AF718" t="str">
            <v>911.NA2</v>
          </cell>
        </row>
        <row r="719">
          <cell r="A719">
            <v>719</v>
          </cell>
          <cell r="B719">
            <v>912</v>
          </cell>
          <cell r="C719" t="str">
            <v>Demonstration &amp; Selling Expense</v>
          </cell>
          <cell r="AD719">
            <v>912</v>
          </cell>
          <cell r="AE719" t="str">
            <v>NA</v>
          </cell>
          <cell r="AF719" t="str">
            <v>912.NA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912</v>
          </cell>
          <cell r="AE720" t="str">
            <v>S</v>
          </cell>
          <cell r="AF720" t="str">
            <v>912.S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912</v>
          </cell>
          <cell r="AE721" t="str">
            <v>CN</v>
          </cell>
          <cell r="AF721" t="str">
            <v>912.CN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912</v>
          </cell>
          <cell r="AE722" t="str">
            <v>NA</v>
          </cell>
          <cell r="AF722" t="str">
            <v>912.NA1</v>
          </cell>
        </row>
        <row r="723">
          <cell r="A723">
            <v>723</v>
          </cell>
          <cell r="AD723">
            <v>912</v>
          </cell>
          <cell r="AE723" t="str">
            <v>NA</v>
          </cell>
          <cell r="AF723" t="str">
            <v>912.NA2</v>
          </cell>
        </row>
        <row r="724">
          <cell r="A724">
            <v>724</v>
          </cell>
          <cell r="B724">
            <v>913</v>
          </cell>
          <cell r="C724" t="str">
            <v>Advertising Expense</v>
          </cell>
          <cell r="AD724">
            <v>913</v>
          </cell>
          <cell r="AE724" t="str">
            <v>NA</v>
          </cell>
          <cell r="AF724" t="str">
            <v>913.NA</v>
          </cell>
        </row>
        <row r="725">
          <cell r="A725">
            <v>725</v>
          </cell>
          <cell r="D725" t="str">
            <v>S</v>
          </cell>
          <cell r="E725" t="str">
            <v>CUST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S725" t="str">
            <v>CUST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D725">
            <v>913</v>
          </cell>
          <cell r="AE725" t="str">
            <v>S</v>
          </cell>
          <cell r="AF725" t="str">
            <v>913.S</v>
          </cell>
        </row>
        <row r="726">
          <cell r="A726">
            <v>726</v>
          </cell>
          <cell r="D726" t="str">
            <v>CN</v>
          </cell>
          <cell r="E726" t="str">
            <v>CUST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S726" t="str">
            <v>CUST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D726">
            <v>913</v>
          </cell>
          <cell r="AE726" t="str">
            <v>CN</v>
          </cell>
          <cell r="AF726" t="str">
            <v>913.CN</v>
          </cell>
        </row>
        <row r="727">
          <cell r="A727">
            <v>727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D727">
            <v>913</v>
          </cell>
          <cell r="AE727" t="str">
            <v>NA</v>
          </cell>
          <cell r="AF727" t="str">
            <v>913.NA1</v>
          </cell>
        </row>
        <row r="728">
          <cell r="A728">
            <v>728</v>
          </cell>
          <cell r="AD728">
            <v>913</v>
          </cell>
          <cell r="AE728" t="str">
            <v>NA</v>
          </cell>
          <cell r="AF728" t="str">
            <v>913.NA2</v>
          </cell>
        </row>
        <row r="729">
          <cell r="A729">
            <v>729</v>
          </cell>
          <cell r="B729">
            <v>916</v>
          </cell>
          <cell r="C729" t="str">
            <v>Misc. Sales Expense</v>
          </cell>
          <cell r="AD729">
            <v>916</v>
          </cell>
          <cell r="AE729" t="str">
            <v>NA</v>
          </cell>
          <cell r="AF729" t="str">
            <v>916.NA</v>
          </cell>
        </row>
        <row r="730">
          <cell r="A730">
            <v>730</v>
          </cell>
          <cell r="D730" t="str">
            <v>S</v>
          </cell>
          <cell r="E730" t="str">
            <v>CUST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S730" t="str">
            <v>CUST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916</v>
          </cell>
          <cell r="AE730" t="str">
            <v>S</v>
          </cell>
          <cell r="AF730" t="str">
            <v>916.S</v>
          </cell>
        </row>
        <row r="731">
          <cell r="A731">
            <v>731</v>
          </cell>
          <cell r="D731" t="str">
            <v>CN</v>
          </cell>
          <cell r="E731" t="str">
            <v>CUST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S731" t="str">
            <v>CUST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916</v>
          </cell>
          <cell r="AE731" t="str">
            <v>CN</v>
          </cell>
          <cell r="AF731" t="str">
            <v>916.CN</v>
          </cell>
        </row>
        <row r="732">
          <cell r="A732">
            <v>732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D732">
            <v>916</v>
          </cell>
          <cell r="AE732" t="str">
            <v>NA</v>
          </cell>
          <cell r="AF732" t="str">
            <v>916.NA1</v>
          </cell>
        </row>
        <row r="733">
          <cell r="A733">
            <v>733</v>
          </cell>
          <cell r="AD733">
            <v>916</v>
          </cell>
          <cell r="AE733" t="str">
            <v>NA</v>
          </cell>
          <cell r="AF733" t="str">
            <v>916.NA2</v>
          </cell>
        </row>
        <row r="734">
          <cell r="A734">
            <v>734</v>
          </cell>
          <cell r="B734" t="str">
            <v>TOTAL SALES EXPENSE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 t="str">
            <v>TOTAL SALES EXPENSE</v>
          </cell>
          <cell r="AE734" t="str">
            <v>NA</v>
          </cell>
          <cell r="AF734" t="str">
            <v>TOTAL SALES EXPENSE.NA</v>
          </cell>
        </row>
        <row r="735">
          <cell r="A735">
            <v>735</v>
          </cell>
          <cell r="AD735" t="str">
            <v>TOTAL SALES EXPENSE</v>
          </cell>
          <cell r="AE735" t="str">
            <v>NA</v>
          </cell>
          <cell r="AF735" t="str">
            <v>TOTAL SALES EXPENSE.NA1</v>
          </cell>
        </row>
        <row r="736">
          <cell r="A736">
            <v>736</v>
          </cell>
          <cell r="AD736" t="str">
            <v>TOTAL SALES EXPENSE</v>
          </cell>
          <cell r="AE736" t="str">
            <v>NA</v>
          </cell>
          <cell r="AF736" t="str">
            <v>TOTAL SALES EXPENSE.NA2</v>
          </cell>
        </row>
        <row r="737">
          <cell r="A737">
            <v>737</v>
          </cell>
          <cell r="B737">
            <v>920</v>
          </cell>
          <cell r="C737" t="str">
            <v>Administrative &amp; General Salaries</v>
          </cell>
          <cell r="AD737">
            <v>920</v>
          </cell>
          <cell r="AE737" t="str">
            <v>NA</v>
          </cell>
          <cell r="AF737" t="str">
            <v>920.NA</v>
          </cell>
        </row>
        <row r="738">
          <cell r="A738">
            <v>738</v>
          </cell>
          <cell r="D738" t="str">
            <v>S</v>
          </cell>
          <cell r="E738" t="str">
            <v>COMMON</v>
          </cell>
          <cell r="F738">
            <v>-711372.96782782651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-711372.96782782651</v>
          </cell>
          <cell r="M738">
            <v>0.59419421435740905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0</v>
          </cell>
          <cell r="S738" t="str">
            <v>PLNT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D738">
            <v>920</v>
          </cell>
          <cell r="AE738" t="str">
            <v>S</v>
          </cell>
          <cell r="AF738" t="str">
            <v>920.S</v>
          </cell>
        </row>
        <row r="739">
          <cell r="A739">
            <v>739</v>
          </cell>
          <cell r="D739" t="str">
            <v>CN</v>
          </cell>
          <cell r="E739" t="str">
            <v>COMMON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M739">
            <v>0.59419421435740905</v>
          </cell>
          <cell r="N739">
            <v>0</v>
          </cell>
          <cell r="O739">
            <v>0</v>
          </cell>
          <cell r="P739">
            <v>1</v>
          </cell>
          <cell r="Q739">
            <v>0</v>
          </cell>
          <cell r="R739">
            <v>0</v>
          </cell>
          <cell r="S739" t="str">
            <v>CUST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920</v>
          </cell>
          <cell r="AE739" t="str">
            <v>CN</v>
          </cell>
          <cell r="AF739" t="str">
            <v>920.CN</v>
          </cell>
        </row>
        <row r="740">
          <cell r="A740">
            <v>740</v>
          </cell>
          <cell r="D740" t="str">
            <v>SO</v>
          </cell>
          <cell r="E740" t="str">
            <v>COMMON</v>
          </cell>
          <cell r="F740">
            <v>5120216.086258308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5120216.086258308</v>
          </cell>
          <cell r="M740">
            <v>0.59419421435740905</v>
          </cell>
          <cell r="N740">
            <v>0</v>
          </cell>
          <cell r="O740">
            <v>0</v>
          </cell>
          <cell r="P740">
            <v>1</v>
          </cell>
          <cell r="Q740">
            <v>0</v>
          </cell>
          <cell r="R740">
            <v>0</v>
          </cell>
          <cell r="S740" t="str">
            <v>PLNT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D740">
            <v>920</v>
          </cell>
          <cell r="AE740" t="str">
            <v>SO</v>
          </cell>
          <cell r="AF740" t="str">
            <v>920.SO</v>
          </cell>
        </row>
        <row r="741">
          <cell r="A741">
            <v>741</v>
          </cell>
          <cell r="F741">
            <v>4408843.1184304813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4408843.1184304813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D741">
            <v>920</v>
          </cell>
          <cell r="AE741" t="str">
            <v>NA</v>
          </cell>
          <cell r="AF741" t="str">
            <v>920.NA1</v>
          </cell>
        </row>
        <row r="742">
          <cell r="A742">
            <v>742</v>
          </cell>
          <cell r="AD742">
            <v>920</v>
          </cell>
          <cell r="AE742" t="str">
            <v>NA</v>
          </cell>
          <cell r="AF742" t="str">
            <v>920.NA2</v>
          </cell>
        </row>
        <row r="743">
          <cell r="A743">
            <v>743</v>
          </cell>
          <cell r="B743">
            <v>921</v>
          </cell>
          <cell r="C743" t="str">
            <v>Office Supplies &amp; expenses</v>
          </cell>
          <cell r="AD743">
            <v>921</v>
          </cell>
          <cell r="AE743" t="str">
            <v>NA</v>
          </cell>
          <cell r="AF743" t="str">
            <v>921.NA</v>
          </cell>
        </row>
        <row r="744">
          <cell r="A744">
            <v>744</v>
          </cell>
          <cell r="D744" t="str">
            <v>S</v>
          </cell>
          <cell r="E744" t="str">
            <v>COMMON</v>
          </cell>
          <cell r="F744">
            <v>10038.209999999999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10038.209999999999</v>
          </cell>
          <cell r="M744">
            <v>0.59419421435740905</v>
          </cell>
          <cell r="N744">
            <v>0</v>
          </cell>
          <cell r="O744">
            <v>0</v>
          </cell>
          <cell r="P744">
            <v>1</v>
          </cell>
          <cell r="Q744">
            <v>0</v>
          </cell>
          <cell r="R744">
            <v>0</v>
          </cell>
          <cell r="S744" t="str">
            <v>PLNT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921</v>
          </cell>
          <cell r="AE744" t="str">
            <v>S</v>
          </cell>
          <cell r="AF744" t="str">
            <v>921.S</v>
          </cell>
        </row>
        <row r="745">
          <cell r="A745">
            <v>745</v>
          </cell>
          <cell r="D745" t="str">
            <v>CN</v>
          </cell>
          <cell r="E745" t="str">
            <v>COMMON</v>
          </cell>
          <cell r="F745">
            <v>6193.4311441797709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6193.4311441797709</v>
          </cell>
          <cell r="M745">
            <v>0.59419421435740905</v>
          </cell>
          <cell r="N745">
            <v>0</v>
          </cell>
          <cell r="O745">
            <v>0</v>
          </cell>
          <cell r="P745">
            <v>1</v>
          </cell>
          <cell r="Q745">
            <v>0</v>
          </cell>
          <cell r="R745">
            <v>0</v>
          </cell>
          <cell r="S745" t="str">
            <v>CUST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921</v>
          </cell>
          <cell r="AE745" t="str">
            <v>CN</v>
          </cell>
          <cell r="AF745" t="str">
            <v>921.CN</v>
          </cell>
        </row>
        <row r="746">
          <cell r="A746">
            <v>746</v>
          </cell>
          <cell r="D746" t="str">
            <v>SO</v>
          </cell>
          <cell r="E746" t="str">
            <v>COMMON</v>
          </cell>
          <cell r="F746">
            <v>711941.7149087959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711941.7149087959</v>
          </cell>
          <cell r="M746">
            <v>0.59419421435740905</v>
          </cell>
          <cell r="N746">
            <v>0</v>
          </cell>
          <cell r="O746">
            <v>0</v>
          </cell>
          <cell r="P746">
            <v>1</v>
          </cell>
          <cell r="Q746">
            <v>0</v>
          </cell>
          <cell r="R746">
            <v>0</v>
          </cell>
          <cell r="S746" t="str">
            <v>PLNT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921</v>
          </cell>
          <cell r="AE746" t="str">
            <v>SO</v>
          </cell>
          <cell r="AF746" t="str">
            <v>921.SO</v>
          </cell>
        </row>
        <row r="747">
          <cell r="A747">
            <v>747</v>
          </cell>
          <cell r="F747">
            <v>728173.35605297564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728173.35605297564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D747">
            <v>921</v>
          </cell>
          <cell r="AE747" t="str">
            <v>NA</v>
          </cell>
          <cell r="AF747" t="str">
            <v>921.NA1</v>
          </cell>
        </row>
        <row r="748">
          <cell r="A748">
            <v>748</v>
          </cell>
          <cell r="AD748">
            <v>921</v>
          </cell>
          <cell r="AE748" t="str">
            <v>NA</v>
          </cell>
          <cell r="AF748" t="str">
            <v>921.NA2</v>
          </cell>
        </row>
        <row r="749">
          <cell r="A749">
            <v>749</v>
          </cell>
          <cell r="B749">
            <v>922</v>
          </cell>
          <cell r="C749" t="str">
            <v>A&amp;G Expenses Transferred</v>
          </cell>
          <cell r="AD749">
            <v>922</v>
          </cell>
          <cell r="AE749" t="str">
            <v>NA</v>
          </cell>
          <cell r="AF749" t="str">
            <v>922.NA</v>
          </cell>
        </row>
        <row r="750">
          <cell r="A750">
            <v>750</v>
          </cell>
          <cell r="D750" t="str">
            <v>SO</v>
          </cell>
          <cell r="E750" t="str">
            <v>COMMON</v>
          </cell>
          <cell r="F750">
            <v>-2212940.2228372735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-2212940.2228372735</v>
          </cell>
          <cell r="M750">
            <v>0.59419421435740905</v>
          </cell>
          <cell r="N750">
            <v>0</v>
          </cell>
          <cell r="O750">
            <v>0</v>
          </cell>
          <cell r="P750">
            <v>1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922</v>
          </cell>
          <cell r="AE750" t="str">
            <v>SO</v>
          </cell>
          <cell r="AF750" t="str">
            <v>922.SO</v>
          </cell>
        </row>
        <row r="751">
          <cell r="A751">
            <v>751</v>
          </cell>
          <cell r="F751">
            <v>-2212940.2228372735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-2212940.2228372735</v>
          </cell>
          <cell r="AD751">
            <v>922</v>
          </cell>
          <cell r="AE751" t="str">
            <v>NA</v>
          </cell>
          <cell r="AF751" t="str">
            <v>922.NA1</v>
          </cell>
        </row>
        <row r="752">
          <cell r="A752">
            <v>752</v>
          </cell>
          <cell r="AD752">
            <v>922</v>
          </cell>
          <cell r="AE752" t="str">
            <v>NA</v>
          </cell>
          <cell r="AF752" t="str">
            <v>922.NA2</v>
          </cell>
        </row>
        <row r="753">
          <cell r="A753">
            <v>753</v>
          </cell>
          <cell r="B753">
            <v>923</v>
          </cell>
          <cell r="C753" t="str">
            <v>Outside Services</v>
          </cell>
          <cell r="AD753">
            <v>923</v>
          </cell>
          <cell r="AE753" t="str">
            <v>NA</v>
          </cell>
          <cell r="AF753" t="str">
            <v>923.NA</v>
          </cell>
        </row>
        <row r="754">
          <cell r="A754">
            <v>754</v>
          </cell>
          <cell r="D754" t="str">
            <v>S</v>
          </cell>
          <cell r="E754" t="str">
            <v>COMMON</v>
          </cell>
          <cell r="F754">
            <v>11617.77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11617.77</v>
          </cell>
          <cell r="M754">
            <v>0.59419421435740905</v>
          </cell>
          <cell r="N754">
            <v>0</v>
          </cell>
          <cell r="O754">
            <v>0</v>
          </cell>
          <cell r="P754">
            <v>1</v>
          </cell>
          <cell r="Q754">
            <v>0</v>
          </cell>
          <cell r="R754">
            <v>0</v>
          </cell>
          <cell r="S754" t="str">
            <v>PLNT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D754">
            <v>923</v>
          </cell>
          <cell r="AE754" t="str">
            <v>S</v>
          </cell>
          <cell r="AF754" t="str">
            <v>923.S</v>
          </cell>
        </row>
        <row r="755">
          <cell r="A755">
            <v>755</v>
          </cell>
          <cell r="D755" t="str">
            <v>CAGW</v>
          </cell>
          <cell r="E755" t="str">
            <v>COMMON</v>
          </cell>
          <cell r="F755">
            <v>64394.99995555231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64394.99995555231</v>
          </cell>
          <cell r="M755">
            <v>0.59419421435740905</v>
          </cell>
          <cell r="N755">
            <v>0</v>
          </cell>
          <cell r="O755">
            <v>0</v>
          </cell>
          <cell r="P755">
            <v>1</v>
          </cell>
          <cell r="Q755">
            <v>0</v>
          </cell>
          <cell r="R755">
            <v>0</v>
          </cell>
          <cell r="S755" t="str">
            <v>CUST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923</v>
          </cell>
          <cell r="AE755" t="str">
            <v>CAGW</v>
          </cell>
          <cell r="AF755" t="str">
            <v>923.CAGW</v>
          </cell>
        </row>
        <row r="756">
          <cell r="A756">
            <v>756</v>
          </cell>
          <cell r="D756" t="str">
            <v>SO</v>
          </cell>
          <cell r="E756" t="str">
            <v>COMMON</v>
          </cell>
          <cell r="F756">
            <v>1379817.0627600451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1379817.0627600451</v>
          </cell>
          <cell r="M756">
            <v>0.59419421435740905</v>
          </cell>
          <cell r="N756">
            <v>0</v>
          </cell>
          <cell r="O756">
            <v>0</v>
          </cell>
          <cell r="P756">
            <v>1</v>
          </cell>
          <cell r="Q756">
            <v>0</v>
          </cell>
          <cell r="R756">
            <v>0</v>
          </cell>
          <cell r="S756" t="str">
            <v>PLNT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923</v>
          </cell>
          <cell r="AE756" t="str">
            <v>SO</v>
          </cell>
          <cell r="AF756" t="str">
            <v>923.SO</v>
          </cell>
        </row>
        <row r="757">
          <cell r="A757">
            <v>757</v>
          </cell>
          <cell r="D757" t="str">
            <v>JBG</v>
          </cell>
          <cell r="E757" t="str">
            <v>COMMON</v>
          </cell>
          <cell r="F757">
            <v>2614.2646240441059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2614.2646240441059</v>
          </cell>
          <cell r="M757">
            <v>0.59419421435740905</v>
          </cell>
          <cell r="N757">
            <v>0</v>
          </cell>
          <cell r="O757">
            <v>0</v>
          </cell>
          <cell r="P757">
            <v>2</v>
          </cell>
          <cell r="Q757">
            <v>0</v>
          </cell>
          <cell r="R757">
            <v>0</v>
          </cell>
          <cell r="S757" t="str">
            <v>PLNT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D757">
            <v>923</v>
          </cell>
          <cell r="AE757" t="str">
            <v>JBG</v>
          </cell>
          <cell r="AF757" t="str">
            <v>923.JBG</v>
          </cell>
        </row>
        <row r="758">
          <cell r="A758">
            <v>758</v>
          </cell>
          <cell r="D758" t="str">
            <v>SG</v>
          </cell>
          <cell r="E758" t="str">
            <v>COMMON</v>
          </cell>
          <cell r="F758">
            <v>10013.740211972934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10013.740211972934</v>
          </cell>
          <cell r="M758">
            <v>0.59419421435740905</v>
          </cell>
          <cell r="N758">
            <v>0</v>
          </cell>
          <cell r="O758">
            <v>0</v>
          </cell>
          <cell r="P758">
            <v>1</v>
          </cell>
          <cell r="Q758">
            <v>0</v>
          </cell>
          <cell r="R758">
            <v>0</v>
          </cell>
          <cell r="S758" t="str">
            <v>PLNT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D758">
            <v>923</v>
          </cell>
          <cell r="AE758" t="str">
            <v>SG</v>
          </cell>
          <cell r="AF758" t="str">
            <v>923.SG</v>
          </cell>
        </row>
        <row r="759">
          <cell r="A759">
            <v>759</v>
          </cell>
          <cell r="F759">
            <v>1468457.8375516145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1468457.8375516145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923</v>
          </cell>
          <cell r="AE759" t="str">
            <v>NA</v>
          </cell>
          <cell r="AF759" t="str">
            <v>923.NA1</v>
          </cell>
        </row>
        <row r="760">
          <cell r="A760">
            <v>760</v>
          </cell>
          <cell r="AD760">
            <v>923</v>
          </cell>
          <cell r="AE760" t="str">
            <v>NA</v>
          </cell>
          <cell r="AF760" t="str">
            <v>923.NA2</v>
          </cell>
        </row>
        <row r="761">
          <cell r="A761">
            <v>761</v>
          </cell>
          <cell r="B761">
            <v>924</v>
          </cell>
          <cell r="C761" t="str">
            <v>Property Insurance</v>
          </cell>
          <cell r="AD761">
            <v>924</v>
          </cell>
          <cell r="AE761" t="str">
            <v>NA</v>
          </cell>
          <cell r="AF761" t="str">
            <v>924.NA</v>
          </cell>
        </row>
        <row r="762">
          <cell r="A762">
            <v>762</v>
          </cell>
          <cell r="D762" t="str">
            <v>SO</v>
          </cell>
          <cell r="E762" t="str">
            <v>COMMON</v>
          </cell>
          <cell r="F762">
            <v>188629.22901337341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188629.22901337341</v>
          </cell>
          <cell r="M762">
            <v>0.59419421435740905</v>
          </cell>
          <cell r="N762">
            <v>0</v>
          </cell>
          <cell r="O762">
            <v>0</v>
          </cell>
          <cell r="P762">
            <v>1</v>
          </cell>
          <cell r="Q762">
            <v>0</v>
          </cell>
          <cell r="R762">
            <v>0</v>
          </cell>
          <cell r="S762" t="str">
            <v>PLNT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924</v>
          </cell>
          <cell r="AE762" t="str">
            <v>SO</v>
          </cell>
          <cell r="AF762" t="str">
            <v>924.SO</v>
          </cell>
        </row>
        <row r="763">
          <cell r="A763">
            <v>763</v>
          </cell>
          <cell r="F763">
            <v>188629.22901337341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188629.22901337341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D763">
            <v>924</v>
          </cell>
          <cell r="AE763" t="str">
            <v>NA</v>
          </cell>
          <cell r="AF763" t="str">
            <v>924.NA1</v>
          </cell>
        </row>
        <row r="764">
          <cell r="A764">
            <v>764</v>
          </cell>
          <cell r="AD764">
            <v>924</v>
          </cell>
          <cell r="AE764" t="str">
            <v>NA</v>
          </cell>
          <cell r="AF764" t="str">
            <v>924.NA2</v>
          </cell>
        </row>
        <row r="765">
          <cell r="A765">
            <v>765</v>
          </cell>
          <cell r="B765">
            <v>925</v>
          </cell>
          <cell r="C765" t="str">
            <v>Injuries &amp; Damages</v>
          </cell>
          <cell r="AD765">
            <v>925</v>
          </cell>
          <cell r="AE765" t="str">
            <v>NA</v>
          </cell>
          <cell r="AF765" t="str">
            <v>925.NA</v>
          </cell>
        </row>
        <row r="766">
          <cell r="A766">
            <v>766</v>
          </cell>
          <cell r="D766" t="str">
            <v>SO</v>
          </cell>
          <cell r="E766" t="str">
            <v>COMMON</v>
          </cell>
          <cell r="F766">
            <v>1291372.9153491019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1291372.9153491019</v>
          </cell>
          <cell r="M766">
            <v>0.59419421435740905</v>
          </cell>
          <cell r="N766">
            <v>0</v>
          </cell>
          <cell r="O766">
            <v>0</v>
          </cell>
          <cell r="P766">
            <v>1</v>
          </cell>
          <cell r="Q766">
            <v>0</v>
          </cell>
          <cell r="R766">
            <v>0</v>
          </cell>
          <cell r="S766" t="str">
            <v>PLNT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925</v>
          </cell>
          <cell r="AE766" t="str">
            <v>SO</v>
          </cell>
          <cell r="AF766" t="str">
            <v>925.SO</v>
          </cell>
        </row>
        <row r="767">
          <cell r="A767">
            <v>767</v>
          </cell>
          <cell r="D767" t="str">
            <v>S</v>
          </cell>
          <cell r="E767" t="str">
            <v>COMMON</v>
          </cell>
          <cell r="F767">
            <v>387.5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387.5</v>
          </cell>
          <cell r="M767">
            <v>0.59419421435740905</v>
          </cell>
          <cell r="N767">
            <v>0</v>
          </cell>
          <cell r="O767">
            <v>0</v>
          </cell>
          <cell r="P767">
            <v>1</v>
          </cell>
          <cell r="Q767">
            <v>0</v>
          </cell>
          <cell r="R767">
            <v>0</v>
          </cell>
          <cell r="S767" t="str">
            <v>PLNT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925</v>
          </cell>
          <cell r="AE767" t="str">
            <v>S</v>
          </cell>
          <cell r="AF767" t="str">
            <v>925.S</v>
          </cell>
        </row>
        <row r="768">
          <cell r="A768">
            <v>768</v>
          </cell>
          <cell r="F768">
            <v>1291760.4153491019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1291760.4153491019</v>
          </cell>
          <cell r="N768">
            <v>0</v>
          </cell>
          <cell r="O768">
            <v>0</v>
          </cell>
          <cell r="P768" t="str">
            <v xml:space="preserve"> 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D768">
            <v>925</v>
          </cell>
          <cell r="AE768" t="str">
            <v>NA</v>
          </cell>
          <cell r="AF768" t="str">
            <v>925.NA1</v>
          </cell>
        </row>
        <row r="769">
          <cell r="A769">
            <v>769</v>
          </cell>
          <cell r="AD769">
            <v>925</v>
          </cell>
          <cell r="AE769" t="str">
            <v>NA</v>
          </cell>
          <cell r="AF769" t="str">
            <v>925.NA2</v>
          </cell>
        </row>
        <row r="770">
          <cell r="A770">
            <v>770</v>
          </cell>
          <cell r="B770">
            <v>926</v>
          </cell>
          <cell r="C770" t="str">
            <v>Employee Pensions &amp; Benefits</v>
          </cell>
          <cell r="AD770">
            <v>926</v>
          </cell>
          <cell r="AE770" t="str">
            <v>NA</v>
          </cell>
          <cell r="AF770" t="str">
            <v>926.NA</v>
          </cell>
        </row>
        <row r="771">
          <cell r="A771">
            <v>771</v>
          </cell>
          <cell r="D771" t="str">
            <v>S</v>
          </cell>
          <cell r="E771" t="str">
            <v>COMMON</v>
          </cell>
          <cell r="F771">
            <v>73058.87999999999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73058.87999999999</v>
          </cell>
          <cell r="M771">
            <v>0.59419421435740905</v>
          </cell>
          <cell r="N771">
            <v>0</v>
          </cell>
          <cell r="O771">
            <v>0</v>
          </cell>
          <cell r="P771">
            <v>1</v>
          </cell>
          <cell r="Q771">
            <v>0</v>
          </cell>
          <cell r="R771">
            <v>0</v>
          </cell>
          <cell r="S771" t="str">
            <v>DISom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926</v>
          </cell>
          <cell r="AE771" t="str">
            <v>S</v>
          </cell>
          <cell r="AF771" t="str">
            <v>926.S</v>
          </cell>
        </row>
        <row r="772">
          <cell r="A772">
            <v>772</v>
          </cell>
          <cell r="D772" t="str">
            <v>CN</v>
          </cell>
          <cell r="E772" t="str">
            <v>COMMON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M772">
            <v>0.59419421435740905</v>
          </cell>
          <cell r="N772">
            <v>0</v>
          </cell>
          <cell r="O772">
            <v>0</v>
          </cell>
          <cell r="P772">
            <v>1</v>
          </cell>
          <cell r="Q772">
            <v>0</v>
          </cell>
          <cell r="R772">
            <v>0</v>
          </cell>
          <cell r="S772" t="str">
            <v>CUST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926</v>
          </cell>
          <cell r="AE772" t="str">
            <v>CN</v>
          </cell>
          <cell r="AF772" t="str">
            <v>926.CN</v>
          </cell>
        </row>
        <row r="773">
          <cell r="A773">
            <v>773</v>
          </cell>
          <cell r="D773" t="str">
            <v>SO</v>
          </cell>
          <cell r="E773" t="str">
            <v>COMMON</v>
          </cell>
          <cell r="F773">
            <v>7985600.1505050147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7985600.1505050147</v>
          </cell>
          <cell r="M773">
            <v>0.59419421435740905</v>
          </cell>
          <cell r="N773">
            <v>0</v>
          </cell>
          <cell r="O773">
            <v>0</v>
          </cell>
          <cell r="P773">
            <v>1</v>
          </cell>
          <cell r="Q773">
            <v>0</v>
          </cell>
          <cell r="R773">
            <v>0</v>
          </cell>
          <cell r="S773" t="str">
            <v>DISom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926</v>
          </cell>
          <cell r="AE773" t="str">
            <v>SO</v>
          </cell>
          <cell r="AF773" t="str">
            <v>926.SO</v>
          </cell>
        </row>
        <row r="774">
          <cell r="A774">
            <v>774</v>
          </cell>
          <cell r="F774">
            <v>8058659.0305050146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8058659.0305050146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926</v>
          </cell>
          <cell r="AE774" t="str">
            <v>NA</v>
          </cell>
          <cell r="AF774" t="str">
            <v>926.NA1</v>
          </cell>
        </row>
        <row r="775">
          <cell r="A775">
            <v>775</v>
          </cell>
          <cell r="AD775">
            <v>926</v>
          </cell>
          <cell r="AE775" t="str">
            <v>NA</v>
          </cell>
          <cell r="AF775" t="str">
            <v>926.NA2</v>
          </cell>
        </row>
        <row r="776">
          <cell r="A776">
            <v>776</v>
          </cell>
          <cell r="B776">
            <v>927</v>
          </cell>
          <cell r="C776" t="str">
            <v>Franchise Requirements</v>
          </cell>
          <cell r="AD776">
            <v>927</v>
          </cell>
          <cell r="AE776" t="str">
            <v>NA</v>
          </cell>
          <cell r="AF776" t="str">
            <v>927.NA</v>
          </cell>
        </row>
        <row r="777">
          <cell r="A777">
            <v>777</v>
          </cell>
          <cell r="D777" t="str">
            <v>S</v>
          </cell>
          <cell r="E777" t="str">
            <v>COMMON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M777">
            <v>0.59419421435740905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0</v>
          </cell>
          <cell r="S777" t="str">
            <v>MISC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D777">
            <v>927</v>
          </cell>
          <cell r="AE777" t="str">
            <v>S</v>
          </cell>
          <cell r="AF777" t="str">
            <v>927.S</v>
          </cell>
        </row>
        <row r="778">
          <cell r="A778">
            <v>778</v>
          </cell>
          <cell r="D778" t="str">
            <v>SO</v>
          </cell>
          <cell r="E778" t="str">
            <v>COMMON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M778">
            <v>0.59419421435740905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0</v>
          </cell>
          <cell r="S778" t="str">
            <v>MISC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D778">
            <v>927</v>
          </cell>
          <cell r="AE778" t="str">
            <v>SO</v>
          </cell>
          <cell r="AF778" t="str">
            <v>927.SO</v>
          </cell>
        </row>
        <row r="779">
          <cell r="A779">
            <v>779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927</v>
          </cell>
          <cell r="AE779" t="str">
            <v>NA</v>
          </cell>
          <cell r="AF779" t="str">
            <v>927.NA1</v>
          </cell>
        </row>
        <row r="780">
          <cell r="A780">
            <v>780</v>
          </cell>
          <cell r="AD780">
            <v>927</v>
          </cell>
          <cell r="AE780" t="str">
            <v>NA</v>
          </cell>
          <cell r="AF780" t="str">
            <v>927.NA2</v>
          </cell>
        </row>
        <row r="781">
          <cell r="A781">
            <v>781</v>
          </cell>
          <cell r="B781">
            <v>928</v>
          </cell>
          <cell r="C781" t="str">
            <v>Regulatory Commission Expense</v>
          </cell>
          <cell r="AD781">
            <v>928</v>
          </cell>
          <cell r="AE781" t="str">
            <v>NA</v>
          </cell>
          <cell r="AF781" t="str">
            <v>928.NA</v>
          </cell>
        </row>
        <row r="782">
          <cell r="A782">
            <v>782</v>
          </cell>
          <cell r="D782" t="str">
            <v>S</v>
          </cell>
          <cell r="E782" t="str">
            <v>COMMON</v>
          </cell>
          <cell r="F782">
            <v>663204.18999999994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663204.18999999994</v>
          </cell>
          <cell r="M782">
            <v>0.59419421435740905</v>
          </cell>
          <cell r="N782">
            <v>0</v>
          </cell>
          <cell r="O782">
            <v>0</v>
          </cell>
          <cell r="P782">
            <v>1</v>
          </cell>
          <cell r="Q782">
            <v>0</v>
          </cell>
          <cell r="R782">
            <v>0</v>
          </cell>
          <cell r="S782" t="str">
            <v>MISC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D782">
            <v>928</v>
          </cell>
          <cell r="AE782" t="str">
            <v>S</v>
          </cell>
          <cell r="AF782" t="str">
            <v>928.S</v>
          </cell>
        </row>
        <row r="783">
          <cell r="A783">
            <v>783</v>
          </cell>
          <cell r="D783" t="str">
            <v>SO</v>
          </cell>
          <cell r="E783" t="str">
            <v>COMMON</v>
          </cell>
          <cell r="F783">
            <v>89287.341836302134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89287.341836302134</v>
          </cell>
          <cell r="M783">
            <v>0.59419421435740905</v>
          </cell>
          <cell r="N783">
            <v>0</v>
          </cell>
          <cell r="O783">
            <v>0</v>
          </cell>
          <cell r="P783">
            <v>1</v>
          </cell>
          <cell r="Q783">
            <v>0</v>
          </cell>
          <cell r="R783">
            <v>0</v>
          </cell>
          <cell r="S783" t="str">
            <v>MISC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D783">
            <v>928</v>
          </cell>
          <cell r="AE783" t="str">
            <v>SO</v>
          </cell>
          <cell r="AF783" t="str">
            <v>928.SO</v>
          </cell>
        </row>
        <row r="784">
          <cell r="A784">
            <v>784</v>
          </cell>
          <cell r="D784" t="str">
            <v>CAGW</v>
          </cell>
          <cell r="E784" t="str">
            <v>COMMON</v>
          </cell>
          <cell r="F784">
            <v>563699.67055344768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563699.67055344768</v>
          </cell>
          <cell r="M784">
            <v>0.59419421435740905</v>
          </cell>
          <cell r="N784">
            <v>0</v>
          </cell>
          <cell r="O784">
            <v>0</v>
          </cell>
          <cell r="P784">
            <v>1</v>
          </cell>
          <cell r="Q784">
            <v>0</v>
          </cell>
          <cell r="R784">
            <v>0</v>
          </cell>
          <cell r="S784" t="str">
            <v>MISC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928</v>
          </cell>
          <cell r="AE784" t="str">
            <v>CAGW</v>
          </cell>
          <cell r="AF784" t="str">
            <v>928.CAGW</v>
          </cell>
        </row>
        <row r="785">
          <cell r="A785">
            <v>785</v>
          </cell>
          <cell r="D785" t="str">
            <v>SG</v>
          </cell>
          <cell r="E785" t="str">
            <v>COMMON</v>
          </cell>
          <cell r="F785">
            <v>188799.00576898872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188799.00576898872</v>
          </cell>
          <cell r="M785">
            <v>0.59419421435740905</v>
          </cell>
          <cell r="N785">
            <v>0</v>
          </cell>
          <cell r="O785">
            <v>0</v>
          </cell>
          <cell r="P785">
            <v>1</v>
          </cell>
          <cell r="Q785">
            <v>0</v>
          </cell>
          <cell r="R785">
            <v>0</v>
          </cell>
          <cell r="S785" t="str">
            <v>MISC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928</v>
          </cell>
          <cell r="AE785" t="str">
            <v>SG</v>
          </cell>
          <cell r="AF785" t="str">
            <v>928.SG</v>
          </cell>
        </row>
        <row r="786">
          <cell r="A786">
            <v>786</v>
          </cell>
          <cell r="F786">
            <v>1504990.2081587384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1504990.2081587384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928</v>
          </cell>
          <cell r="AE786" t="str">
            <v>NA</v>
          </cell>
          <cell r="AF786" t="str">
            <v>928.NA1</v>
          </cell>
        </row>
        <row r="787">
          <cell r="A787">
            <v>787</v>
          </cell>
          <cell r="AD787">
            <v>928</v>
          </cell>
          <cell r="AE787" t="str">
            <v>NA</v>
          </cell>
          <cell r="AF787" t="str">
            <v>928.NA2</v>
          </cell>
        </row>
        <row r="788">
          <cell r="A788">
            <v>788</v>
          </cell>
          <cell r="B788">
            <v>929</v>
          </cell>
          <cell r="C788" t="str">
            <v>Duplicate Charges</v>
          </cell>
          <cell r="AD788">
            <v>929</v>
          </cell>
          <cell r="AE788" t="str">
            <v>NA</v>
          </cell>
          <cell r="AF788" t="str">
            <v>929.NA</v>
          </cell>
        </row>
        <row r="789">
          <cell r="A789">
            <v>789</v>
          </cell>
          <cell r="D789" t="str">
            <v>S</v>
          </cell>
          <cell r="E789" t="str">
            <v>COMMON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M789">
            <v>0.59419421435740905</v>
          </cell>
          <cell r="N789">
            <v>0</v>
          </cell>
          <cell r="O789">
            <v>0</v>
          </cell>
          <cell r="P789">
            <v>1</v>
          </cell>
          <cell r="Q789">
            <v>0</v>
          </cell>
          <cell r="R789">
            <v>0</v>
          </cell>
          <cell r="S789" t="str">
            <v>DISom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D789">
            <v>929</v>
          </cell>
          <cell r="AE789" t="str">
            <v>S</v>
          </cell>
          <cell r="AF789" t="str">
            <v>929.S</v>
          </cell>
        </row>
        <row r="790">
          <cell r="A790">
            <v>790</v>
          </cell>
          <cell r="D790" t="str">
            <v>CAGW</v>
          </cell>
          <cell r="E790" t="str">
            <v>COMMON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M790">
            <v>0.59419421435740905</v>
          </cell>
          <cell r="N790">
            <v>0</v>
          </cell>
          <cell r="O790">
            <v>0</v>
          </cell>
          <cell r="P790">
            <v>1</v>
          </cell>
          <cell r="Q790">
            <v>0</v>
          </cell>
          <cell r="R790">
            <v>0</v>
          </cell>
          <cell r="S790" t="str">
            <v>DISom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929</v>
          </cell>
          <cell r="AE790" t="str">
            <v>CAGW</v>
          </cell>
          <cell r="AF790" t="str">
            <v>929.CAGW</v>
          </cell>
        </row>
        <row r="791">
          <cell r="A791">
            <v>791</v>
          </cell>
          <cell r="D791" t="str">
            <v>CN</v>
          </cell>
          <cell r="E791" t="str">
            <v>COMMON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M791">
            <v>0.59419421435740905</v>
          </cell>
          <cell r="N791">
            <v>0</v>
          </cell>
          <cell r="O791">
            <v>0</v>
          </cell>
          <cell r="P791">
            <v>1</v>
          </cell>
          <cell r="Q791">
            <v>0</v>
          </cell>
          <cell r="R791">
            <v>0</v>
          </cell>
          <cell r="S791" t="str">
            <v>DISom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929</v>
          </cell>
          <cell r="AE791" t="str">
            <v>CN</v>
          </cell>
          <cell r="AF791" t="str">
            <v>929.CN</v>
          </cell>
        </row>
        <row r="792">
          <cell r="A792">
            <v>792</v>
          </cell>
          <cell r="D792" t="str">
            <v>SG</v>
          </cell>
          <cell r="E792" t="str">
            <v>COMMON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M792">
            <v>0.59419421435740905</v>
          </cell>
          <cell r="N792">
            <v>0</v>
          </cell>
          <cell r="O792">
            <v>0</v>
          </cell>
          <cell r="P792">
            <v>1</v>
          </cell>
          <cell r="Q792">
            <v>0</v>
          </cell>
          <cell r="R792">
            <v>0</v>
          </cell>
          <cell r="S792" t="str">
            <v>DISom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929</v>
          </cell>
          <cell r="AE792" t="str">
            <v>SG</v>
          </cell>
          <cell r="AF792" t="str">
            <v>929.SG</v>
          </cell>
        </row>
        <row r="793">
          <cell r="A793">
            <v>793</v>
          </cell>
          <cell r="D793" t="str">
            <v>SNPD</v>
          </cell>
          <cell r="E793" t="str">
            <v>COMMON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M793">
            <v>0.59419421435740905</v>
          </cell>
          <cell r="N793">
            <v>0</v>
          </cell>
          <cell r="O793">
            <v>0</v>
          </cell>
          <cell r="P793">
            <v>1</v>
          </cell>
          <cell r="Q793">
            <v>0</v>
          </cell>
          <cell r="R793">
            <v>0</v>
          </cell>
          <cell r="S793" t="str">
            <v>DISom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D793">
            <v>929</v>
          </cell>
          <cell r="AE793" t="str">
            <v>SNPD</v>
          </cell>
          <cell r="AF793" t="str">
            <v>929.SNPD</v>
          </cell>
        </row>
        <row r="794">
          <cell r="A794">
            <v>794</v>
          </cell>
          <cell r="D794" t="str">
            <v>SO</v>
          </cell>
          <cell r="E794" t="str">
            <v>COMMON</v>
          </cell>
          <cell r="F794">
            <v>-8722010.6267794874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-8722010.6267794874</v>
          </cell>
          <cell r="M794">
            <v>0.59419421435740905</v>
          </cell>
          <cell r="N794">
            <v>0</v>
          </cell>
          <cell r="O794">
            <v>0</v>
          </cell>
          <cell r="P794">
            <v>1</v>
          </cell>
          <cell r="Q794">
            <v>0</v>
          </cell>
          <cell r="R794">
            <v>0</v>
          </cell>
          <cell r="S794" t="str">
            <v>DISom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D794">
            <v>929</v>
          </cell>
          <cell r="AE794" t="str">
            <v>SO</v>
          </cell>
          <cell r="AF794" t="str">
            <v>929.SO</v>
          </cell>
        </row>
        <row r="795">
          <cell r="A795">
            <v>795</v>
          </cell>
          <cell r="F795">
            <v>-8722010.6267794874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-8722010.6267794874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929</v>
          </cell>
          <cell r="AE795" t="str">
            <v>NA</v>
          </cell>
          <cell r="AF795" t="str">
            <v>929.NA1</v>
          </cell>
        </row>
        <row r="796">
          <cell r="A796">
            <v>796</v>
          </cell>
          <cell r="AD796">
            <v>929</v>
          </cell>
          <cell r="AE796" t="str">
            <v>NA</v>
          </cell>
          <cell r="AF796" t="str">
            <v>929.NA2</v>
          </cell>
        </row>
        <row r="797">
          <cell r="A797">
            <v>797</v>
          </cell>
          <cell r="B797">
            <v>930</v>
          </cell>
          <cell r="C797" t="str">
            <v>Misc General Expenses</v>
          </cell>
          <cell r="AD797">
            <v>930</v>
          </cell>
          <cell r="AE797" t="str">
            <v>NA</v>
          </cell>
          <cell r="AF797" t="str">
            <v>930.NA</v>
          </cell>
        </row>
        <row r="798">
          <cell r="A798">
            <v>798</v>
          </cell>
          <cell r="D798" t="str">
            <v>S</v>
          </cell>
          <cell r="E798" t="str">
            <v>COMMON</v>
          </cell>
          <cell r="F798">
            <v>46294.94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46294.94</v>
          </cell>
          <cell r="M798">
            <v>0.59419421435740905</v>
          </cell>
          <cell r="N798">
            <v>0</v>
          </cell>
          <cell r="O798">
            <v>0</v>
          </cell>
          <cell r="P798">
            <v>1</v>
          </cell>
          <cell r="Q798">
            <v>0</v>
          </cell>
          <cell r="R798">
            <v>0</v>
          </cell>
          <cell r="S798" t="str">
            <v>PLNT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930</v>
          </cell>
          <cell r="AE798" t="str">
            <v>S</v>
          </cell>
          <cell r="AF798" t="str">
            <v>930.S</v>
          </cell>
        </row>
        <row r="799">
          <cell r="A799">
            <v>799</v>
          </cell>
          <cell r="D799" t="str">
            <v>CAGE</v>
          </cell>
          <cell r="E799" t="str">
            <v>COMMON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M799">
            <v>0.59419421435740905</v>
          </cell>
          <cell r="N799">
            <v>0</v>
          </cell>
          <cell r="O799">
            <v>0</v>
          </cell>
          <cell r="P799">
            <v>1</v>
          </cell>
          <cell r="Q799">
            <v>0</v>
          </cell>
          <cell r="R799">
            <v>0</v>
          </cell>
          <cell r="S799" t="str">
            <v>CUST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D799">
            <v>930</v>
          </cell>
          <cell r="AE799" t="str">
            <v>CAGE</v>
          </cell>
          <cell r="AF799" t="str">
            <v>930.CAGE</v>
          </cell>
        </row>
        <row r="800">
          <cell r="A800">
            <v>800</v>
          </cell>
          <cell r="D800" t="str">
            <v>SO</v>
          </cell>
          <cell r="E800" t="str">
            <v>COMMON</v>
          </cell>
          <cell r="F800">
            <v>118789.42476409205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118789.42476409205</v>
          </cell>
          <cell r="M800">
            <v>0.59419421435740905</v>
          </cell>
          <cell r="N800">
            <v>0</v>
          </cell>
          <cell r="O800">
            <v>0</v>
          </cell>
          <cell r="P800">
            <v>1</v>
          </cell>
          <cell r="Q800">
            <v>0</v>
          </cell>
          <cell r="R800">
            <v>0</v>
          </cell>
          <cell r="S800" t="str">
            <v>DISom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930</v>
          </cell>
          <cell r="AE800" t="str">
            <v>SO</v>
          </cell>
          <cell r="AF800" t="str">
            <v>930.SO</v>
          </cell>
        </row>
        <row r="801">
          <cell r="A801">
            <v>801</v>
          </cell>
          <cell r="D801" t="str">
            <v>CAGW</v>
          </cell>
          <cell r="E801" t="str">
            <v>COMMON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M801">
            <v>0.59419421435740905</v>
          </cell>
          <cell r="N801">
            <v>0</v>
          </cell>
          <cell r="O801">
            <v>0</v>
          </cell>
          <cell r="P801">
            <v>1</v>
          </cell>
          <cell r="Q801">
            <v>0</v>
          </cell>
          <cell r="R801">
            <v>0</v>
          </cell>
          <cell r="S801" t="str">
            <v>DISom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D801">
            <v>930</v>
          </cell>
          <cell r="AE801" t="str">
            <v>CAGW</v>
          </cell>
          <cell r="AF801" t="str">
            <v>930.CAGW</v>
          </cell>
        </row>
        <row r="802">
          <cell r="A802">
            <v>802</v>
          </cell>
          <cell r="D802" t="str">
            <v>CN</v>
          </cell>
          <cell r="E802" t="str">
            <v>COMMON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M802">
            <v>0.59419421435740905</v>
          </cell>
          <cell r="N802">
            <v>0</v>
          </cell>
          <cell r="O802">
            <v>0</v>
          </cell>
          <cell r="P802">
            <v>1</v>
          </cell>
          <cell r="Q802">
            <v>0</v>
          </cell>
          <cell r="R802">
            <v>0</v>
          </cell>
          <cell r="S802" t="str">
            <v>CUST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D802">
            <v>930</v>
          </cell>
          <cell r="AE802" t="str">
            <v>CN</v>
          </cell>
          <cell r="AF802" t="str">
            <v>930.CN</v>
          </cell>
        </row>
        <row r="803">
          <cell r="A803">
            <v>803</v>
          </cell>
          <cell r="F803">
            <v>165084.36476409205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165084.36476409205</v>
          </cell>
          <cell r="N803">
            <v>0</v>
          </cell>
          <cell r="O803">
            <v>0</v>
          </cell>
          <cell r="P803">
            <v>5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>
            <v>930</v>
          </cell>
          <cell r="AE803" t="str">
            <v>NA</v>
          </cell>
          <cell r="AF803" t="str">
            <v>930.NA1</v>
          </cell>
        </row>
        <row r="804">
          <cell r="A804">
            <v>804</v>
          </cell>
          <cell r="AD804">
            <v>930</v>
          </cell>
          <cell r="AE804" t="str">
            <v>NA</v>
          </cell>
          <cell r="AF804" t="str">
            <v>930.NA2</v>
          </cell>
        </row>
        <row r="805">
          <cell r="A805">
            <v>805</v>
          </cell>
          <cell r="B805">
            <v>931</v>
          </cell>
          <cell r="C805" t="str">
            <v>Rents</v>
          </cell>
          <cell r="AD805">
            <v>931</v>
          </cell>
          <cell r="AE805" t="str">
            <v>NA</v>
          </cell>
          <cell r="AF805" t="str">
            <v>931.NA</v>
          </cell>
        </row>
        <row r="806">
          <cell r="A806">
            <v>806</v>
          </cell>
          <cell r="D806" t="str">
            <v>S</v>
          </cell>
          <cell r="E806" t="str">
            <v>COMMON</v>
          </cell>
          <cell r="F806">
            <v>41302.43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41302.43</v>
          </cell>
          <cell r="M806">
            <v>0.59419421435740905</v>
          </cell>
          <cell r="N806">
            <v>0</v>
          </cell>
          <cell r="O806">
            <v>0</v>
          </cell>
          <cell r="P806">
            <v>1</v>
          </cell>
          <cell r="Q806">
            <v>0</v>
          </cell>
          <cell r="R806">
            <v>0</v>
          </cell>
          <cell r="S806" t="str">
            <v>PLNT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931</v>
          </cell>
          <cell r="AE806" t="str">
            <v>S</v>
          </cell>
          <cell r="AF806" t="str">
            <v>931.S</v>
          </cell>
        </row>
        <row r="807">
          <cell r="A807">
            <v>807</v>
          </cell>
          <cell r="D807" t="str">
            <v>SO</v>
          </cell>
          <cell r="E807" t="str">
            <v>COMMON</v>
          </cell>
          <cell r="F807">
            <v>143299.94212868126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143299.94212868126</v>
          </cell>
          <cell r="M807">
            <v>0.59419421435740905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0</v>
          </cell>
          <cell r="S807" t="str">
            <v>PLNT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>
            <v>931</v>
          </cell>
          <cell r="AE807" t="str">
            <v>SO</v>
          </cell>
          <cell r="AF807" t="str">
            <v>931.SO</v>
          </cell>
        </row>
        <row r="808">
          <cell r="A808">
            <v>808</v>
          </cell>
          <cell r="F808">
            <v>184602.37212868125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184602.37212868125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>
            <v>931</v>
          </cell>
          <cell r="AE808" t="str">
            <v>NA</v>
          </cell>
          <cell r="AF808" t="str">
            <v>931.NA1</v>
          </cell>
        </row>
        <row r="809">
          <cell r="A809">
            <v>809</v>
          </cell>
          <cell r="AD809">
            <v>931</v>
          </cell>
          <cell r="AE809" t="str">
            <v>NA</v>
          </cell>
          <cell r="AF809" t="str">
            <v>931.NA2</v>
          </cell>
        </row>
        <row r="810">
          <cell r="A810">
            <v>810</v>
          </cell>
          <cell r="B810">
            <v>935</v>
          </cell>
          <cell r="C810" t="str">
            <v>Maintenance of General Plant</v>
          </cell>
          <cell r="AD810">
            <v>935</v>
          </cell>
          <cell r="AE810" t="str">
            <v>NA</v>
          </cell>
          <cell r="AF810" t="str">
            <v>935.NA</v>
          </cell>
        </row>
        <row r="811">
          <cell r="A811">
            <v>811</v>
          </cell>
          <cell r="D811" t="str">
            <v>S</v>
          </cell>
          <cell r="E811" t="str">
            <v>COMMON</v>
          </cell>
          <cell r="F811">
            <v>46372.6020010586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46372.6020010586</v>
          </cell>
          <cell r="M811">
            <v>0.59419421435740905</v>
          </cell>
          <cell r="N811">
            <v>0</v>
          </cell>
          <cell r="O811">
            <v>0</v>
          </cell>
          <cell r="P811">
            <v>1</v>
          </cell>
          <cell r="Q811">
            <v>0</v>
          </cell>
          <cell r="R811">
            <v>0</v>
          </cell>
          <cell r="S811" t="str">
            <v>GENL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D811">
            <v>935</v>
          </cell>
          <cell r="AE811" t="str">
            <v>S</v>
          </cell>
          <cell r="AF811" t="str">
            <v>935.S</v>
          </cell>
        </row>
        <row r="812">
          <cell r="A812">
            <v>812</v>
          </cell>
          <cell r="D812" t="str">
            <v>CN</v>
          </cell>
          <cell r="E812" t="str">
            <v>COMMON</v>
          </cell>
          <cell r="F812">
            <v>4103.2692978159439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4103.2692978159439</v>
          </cell>
          <cell r="M812">
            <v>0.59419421435740905</v>
          </cell>
          <cell r="N812">
            <v>0</v>
          </cell>
          <cell r="O812">
            <v>0</v>
          </cell>
          <cell r="P812">
            <v>1</v>
          </cell>
          <cell r="Q812">
            <v>0</v>
          </cell>
          <cell r="R812">
            <v>0</v>
          </cell>
          <cell r="S812" t="str">
            <v>CUST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D812">
            <v>935</v>
          </cell>
          <cell r="AE812" t="str">
            <v>CN</v>
          </cell>
          <cell r="AF812" t="str">
            <v>935.CN</v>
          </cell>
        </row>
        <row r="813">
          <cell r="A813">
            <v>813</v>
          </cell>
          <cell r="D813" t="str">
            <v>SO</v>
          </cell>
          <cell r="E813" t="str">
            <v>COMMON</v>
          </cell>
          <cell r="F813">
            <v>1563366.733183004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1563366.733183004</v>
          </cell>
          <cell r="M813">
            <v>0.59419421435740905</v>
          </cell>
          <cell r="N813">
            <v>0</v>
          </cell>
          <cell r="O813">
            <v>0</v>
          </cell>
          <cell r="P813">
            <v>1</v>
          </cell>
          <cell r="Q813">
            <v>0</v>
          </cell>
          <cell r="R813">
            <v>0</v>
          </cell>
          <cell r="S813" t="str">
            <v>GENL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>
            <v>935</v>
          </cell>
          <cell r="AE813" t="str">
            <v>SO</v>
          </cell>
          <cell r="AF813" t="str">
            <v>935.SO</v>
          </cell>
        </row>
        <row r="814">
          <cell r="A814">
            <v>814</v>
          </cell>
          <cell r="F814">
            <v>1613842.6044818785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1613842.6044818785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>
            <v>935</v>
          </cell>
          <cell r="AE814" t="str">
            <v>NA</v>
          </cell>
          <cell r="AF814" t="str">
            <v>935.NA1</v>
          </cell>
        </row>
        <row r="815">
          <cell r="A815">
            <v>815</v>
          </cell>
          <cell r="AD815">
            <v>935</v>
          </cell>
          <cell r="AE815" t="str">
            <v>NA</v>
          </cell>
          <cell r="AF815" t="str">
            <v>935.NA2</v>
          </cell>
        </row>
        <row r="816">
          <cell r="A816">
            <v>816</v>
          </cell>
          <cell r="C816" t="str">
            <v>Total Adminsitrative &amp; Gen Expense</v>
          </cell>
          <cell r="F816">
            <v>8678091.6868191902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8678091.6868191902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D816">
            <v>935</v>
          </cell>
          <cell r="AE816" t="str">
            <v>NA</v>
          </cell>
          <cell r="AF816" t="str">
            <v>935.NA3</v>
          </cell>
        </row>
        <row r="817">
          <cell r="A817">
            <v>817</v>
          </cell>
          <cell r="AD817">
            <v>935</v>
          </cell>
          <cell r="AE817" t="str">
            <v>NA</v>
          </cell>
          <cell r="AF817" t="str">
            <v>935.NA4</v>
          </cell>
        </row>
        <row r="818">
          <cell r="A818">
            <v>818</v>
          </cell>
          <cell r="AD818">
            <v>935</v>
          </cell>
          <cell r="AE818" t="str">
            <v>NA</v>
          </cell>
          <cell r="AF818" t="str">
            <v>935.NA5</v>
          </cell>
        </row>
        <row r="819">
          <cell r="A819">
            <v>819</v>
          </cell>
          <cell r="B819" t="str">
            <v>TOTAL O&amp;M EXPENSE</v>
          </cell>
          <cell r="F819">
            <v>167580764.75903341</v>
          </cell>
          <cell r="G819">
            <v>122203933.25547305</v>
          </cell>
          <cell r="H819">
            <v>16190075.964635935</v>
          </cell>
          <cell r="I819">
            <v>12374940.184378542</v>
          </cell>
          <cell r="J819">
            <v>8133723.6677266881</v>
          </cell>
          <cell r="K819">
            <v>8678091.6868191902</v>
          </cell>
          <cell r="N819">
            <v>15478048.012142694</v>
          </cell>
          <cell r="O819">
            <v>106725885.24333036</v>
          </cell>
          <cell r="Q819">
            <v>16190074.62429798</v>
          </cell>
          <cell r="R819">
            <v>1.3403379539612539</v>
          </cell>
          <cell r="T819">
            <v>1819571.6581168014</v>
          </cell>
          <cell r="U819">
            <v>9704447.7605598196</v>
          </cell>
          <cell r="V819">
            <v>329544.33832377516</v>
          </cell>
          <cell r="W819">
            <v>366526.96669084427</v>
          </cell>
          <cell r="X819">
            <v>154849.46068730444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TOTAL O&amp;M EXPENSE</v>
          </cell>
          <cell r="AE819" t="str">
            <v>NA</v>
          </cell>
          <cell r="AF819" t="str">
            <v>TOTAL O&amp;M EXPENSE.NA</v>
          </cell>
        </row>
        <row r="820">
          <cell r="A820">
            <v>820</v>
          </cell>
          <cell r="AD820" t="str">
            <v>TOTAL O&amp;M EXPENSE</v>
          </cell>
          <cell r="AE820" t="str">
            <v>NA</v>
          </cell>
          <cell r="AF820" t="str">
            <v>TOTAL O&amp;M EXPENSE.NA1</v>
          </cell>
        </row>
        <row r="821">
          <cell r="A821">
            <v>821</v>
          </cell>
          <cell r="B821" t="str">
            <v>403SP</v>
          </cell>
          <cell r="C821" t="str">
            <v>Steam Depreciation</v>
          </cell>
          <cell r="AD821" t="str">
            <v>403SP</v>
          </cell>
          <cell r="AE821" t="str">
            <v>NA</v>
          </cell>
          <cell r="AF821" t="str">
            <v>403SP.NA</v>
          </cell>
        </row>
        <row r="822">
          <cell r="A822">
            <v>822</v>
          </cell>
          <cell r="D822" t="str">
            <v>SG</v>
          </cell>
          <cell r="E822" t="str">
            <v>P</v>
          </cell>
          <cell r="F822">
            <v>1090086.8112811148</v>
          </cell>
          <cell r="G822">
            <v>1090086.8112811148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M822">
            <v>0.59419421435740905</v>
          </cell>
          <cell r="N822">
            <v>647723.27641055523</v>
          </cell>
          <cell r="O822">
            <v>442363.53487055958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D822" t="str">
            <v>403SP</v>
          </cell>
          <cell r="AE822" t="str">
            <v>SG</v>
          </cell>
          <cell r="AF822" t="str">
            <v>403SP.SG</v>
          </cell>
        </row>
        <row r="823">
          <cell r="A823">
            <v>823</v>
          </cell>
          <cell r="D823" t="str">
            <v>DGU</v>
          </cell>
          <cell r="E823" t="str">
            <v>P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M823">
            <v>0.59419421435740905</v>
          </cell>
          <cell r="N823">
            <v>0</v>
          </cell>
          <cell r="O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D823" t="str">
            <v>403SP</v>
          </cell>
          <cell r="AE823" t="str">
            <v>DGU</v>
          </cell>
          <cell r="AF823" t="str">
            <v>403SP.DGU</v>
          </cell>
        </row>
        <row r="824">
          <cell r="A824">
            <v>824</v>
          </cell>
          <cell r="D824" t="str">
            <v>JBG</v>
          </cell>
          <cell r="E824" t="str">
            <v>P</v>
          </cell>
          <cell r="F824">
            <v>62819910.850094698</v>
          </cell>
          <cell r="G824">
            <v>62819910.850094698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0.59419421435740905</v>
          </cell>
          <cell r="N824">
            <v>37327227.573574498</v>
          </cell>
          <cell r="O824">
            <v>25492683.276520204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403SP</v>
          </cell>
          <cell r="AE824" t="str">
            <v>JBG</v>
          </cell>
          <cell r="AF824" t="str">
            <v>403SP.JBG</v>
          </cell>
        </row>
        <row r="825">
          <cell r="A825">
            <v>825</v>
          </cell>
          <cell r="D825" t="str">
            <v>CAGE</v>
          </cell>
          <cell r="E825" t="str">
            <v>P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0.59419421435740905</v>
          </cell>
          <cell r="N825">
            <v>0</v>
          </cell>
          <cell r="O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403SP</v>
          </cell>
          <cell r="AE825" t="str">
            <v>CAGE</v>
          </cell>
          <cell r="AF825" t="str">
            <v>403SP.CAGE</v>
          </cell>
        </row>
        <row r="826">
          <cell r="A826">
            <v>826</v>
          </cell>
          <cell r="D826" t="str">
            <v>CAGW</v>
          </cell>
          <cell r="E826" t="str">
            <v>P</v>
          </cell>
          <cell r="F826">
            <v>4445335.3284545122</v>
          </cell>
          <cell r="G826">
            <v>4445335.3284545122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0.59419421435740905</v>
          </cell>
          <cell r="N826">
            <v>2641392.5330462637</v>
          </cell>
          <cell r="O826">
            <v>1803942.7954082484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403SP</v>
          </cell>
          <cell r="AE826" t="str">
            <v>CAGW</v>
          </cell>
          <cell r="AF826" t="str">
            <v>403SP.CAGW</v>
          </cell>
        </row>
        <row r="827">
          <cell r="A827">
            <v>827</v>
          </cell>
          <cell r="F827">
            <v>68355332.98983033</v>
          </cell>
          <cell r="G827">
            <v>68355332.98983033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N827">
            <v>40616343.383031316</v>
          </cell>
          <cell r="O827">
            <v>27738989.606799014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403SP</v>
          </cell>
          <cell r="AE827" t="str">
            <v>NA</v>
          </cell>
          <cell r="AF827" t="str">
            <v>403SP.NA1</v>
          </cell>
        </row>
        <row r="828">
          <cell r="A828">
            <v>828</v>
          </cell>
          <cell r="AD828" t="str">
            <v>403SP</v>
          </cell>
          <cell r="AE828" t="str">
            <v>NA</v>
          </cell>
          <cell r="AF828" t="str">
            <v>403SP.NA2</v>
          </cell>
        </row>
        <row r="829">
          <cell r="A829">
            <v>829</v>
          </cell>
          <cell r="B829" t="str">
            <v>403NP</v>
          </cell>
          <cell r="C829" t="str">
            <v>Nuclear Depreciation</v>
          </cell>
          <cell r="AD829" t="str">
            <v>403NP</v>
          </cell>
          <cell r="AE829" t="str">
            <v>NA</v>
          </cell>
          <cell r="AF829" t="str">
            <v>403NP.NA</v>
          </cell>
        </row>
        <row r="830">
          <cell r="A830">
            <v>830</v>
          </cell>
          <cell r="D830" t="str">
            <v>DGP</v>
          </cell>
          <cell r="E830" t="str">
            <v>P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M830">
            <v>0.59419421435740905</v>
          </cell>
          <cell r="N830">
            <v>0</v>
          </cell>
          <cell r="O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 t="str">
            <v>403NP</v>
          </cell>
          <cell r="AE830" t="str">
            <v>DGP</v>
          </cell>
          <cell r="AF830" t="str">
            <v>403NP.DGP</v>
          </cell>
        </row>
        <row r="831">
          <cell r="A831">
            <v>831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403NP</v>
          </cell>
          <cell r="AE831" t="str">
            <v>NA</v>
          </cell>
          <cell r="AF831" t="str">
            <v>403NP.NA1</v>
          </cell>
        </row>
        <row r="832">
          <cell r="A832">
            <v>832</v>
          </cell>
          <cell r="AD832" t="str">
            <v>403NP</v>
          </cell>
          <cell r="AE832" t="str">
            <v>NA</v>
          </cell>
          <cell r="AF832" t="str">
            <v>403NP.NA2</v>
          </cell>
        </row>
        <row r="833">
          <cell r="A833">
            <v>833</v>
          </cell>
          <cell r="B833" t="str">
            <v>403HP</v>
          </cell>
          <cell r="C833" t="str">
            <v>Hydro Depreciation</v>
          </cell>
          <cell r="AD833" t="str">
            <v>403HP</v>
          </cell>
          <cell r="AE833" t="str">
            <v>NA</v>
          </cell>
          <cell r="AF833" t="str">
            <v>403HP.NA</v>
          </cell>
        </row>
        <row r="834">
          <cell r="A834">
            <v>834</v>
          </cell>
          <cell r="D834" t="str">
            <v>DGP</v>
          </cell>
          <cell r="E834" t="str">
            <v>P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M834">
            <v>0.59419421435740905</v>
          </cell>
          <cell r="N834">
            <v>0</v>
          </cell>
          <cell r="O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403HP</v>
          </cell>
          <cell r="AE834" t="str">
            <v>DGP</v>
          </cell>
          <cell r="AF834" t="str">
            <v>403HP.DGP</v>
          </cell>
        </row>
        <row r="835">
          <cell r="A835">
            <v>835</v>
          </cell>
          <cell r="D835" t="str">
            <v>DGU</v>
          </cell>
          <cell r="E835" t="str">
            <v>P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M835">
            <v>0.59419421435740905</v>
          </cell>
          <cell r="N835">
            <v>0</v>
          </cell>
          <cell r="O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 t="str">
            <v>403HP</v>
          </cell>
          <cell r="AE835" t="str">
            <v>DGU</v>
          </cell>
          <cell r="AF835" t="str">
            <v>403HP.DGU</v>
          </cell>
        </row>
        <row r="836">
          <cell r="A836">
            <v>836</v>
          </cell>
          <cell r="D836" t="str">
            <v>CAGW</v>
          </cell>
          <cell r="E836" t="str">
            <v>P</v>
          </cell>
          <cell r="F836">
            <v>448335.44230797607</v>
          </cell>
          <cell r="G836">
            <v>448335.44230797607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M836">
            <v>0.59419421435740905</v>
          </cell>
          <cell r="N836">
            <v>266398.32591076934</v>
          </cell>
          <cell r="O836">
            <v>181937.11639720673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D836" t="str">
            <v>403HP</v>
          </cell>
          <cell r="AE836" t="str">
            <v>CAGW</v>
          </cell>
          <cell r="AF836" t="str">
            <v>403HP.CAGW</v>
          </cell>
        </row>
        <row r="837">
          <cell r="A837">
            <v>837</v>
          </cell>
          <cell r="D837" t="str">
            <v>SG</v>
          </cell>
          <cell r="E837" t="str">
            <v>P</v>
          </cell>
          <cell r="F837">
            <v>2385778.0526578436</v>
          </cell>
          <cell r="G837">
            <v>2385778.0526578436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M837">
            <v>0.59419421435740905</v>
          </cell>
          <cell r="N837">
            <v>1417615.5156301765</v>
          </cell>
          <cell r="O837">
            <v>968162.53702766693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 t="str">
            <v>403HP</v>
          </cell>
          <cell r="AE837" t="str">
            <v>SG</v>
          </cell>
          <cell r="AF837" t="str">
            <v>403HP.SG</v>
          </cell>
        </row>
        <row r="838">
          <cell r="A838">
            <v>838</v>
          </cell>
          <cell r="F838">
            <v>2834113.4949658196</v>
          </cell>
          <cell r="G838">
            <v>2834113.4949658196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N838">
            <v>1684013.8415409459</v>
          </cell>
          <cell r="O838">
            <v>1150099.6534248737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 t="str">
            <v>403HP</v>
          </cell>
          <cell r="AE838" t="str">
            <v>NA</v>
          </cell>
          <cell r="AF838" t="str">
            <v>403HP.NA1</v>
          </cell>
        </row>
        <row r="839">
          <cell r="A839">
            <v>839</v>
          </cell>
          <cell r="AD839" t="str">
            <v>403HP</v>
          </cell>
          <cell r="AE839" t="str">
            <v>NA</v>
          </cell>
          <cell r="AF839" t="str">
            <v>403HP.NA2</v>
          </cell>
        </row>
        <row r="840">
          <cell r="A840">
            <v>840</v>
          </cell>
          <cell r="B840" t="str">
            <v>403OP</v>
          </cell>
          <cell r="C840" t="str">
            <v>Other Generation Depreciation</v>
          </cell>
          <cell r="AD840" t="str">
            <v>403OP</v>
          </cell>
          <cell r="AE840" t="str">
            <v>NA</v>
          </cell>
          <cell r="AF840" t="str">
            <v>403OP.NA</v>
          </cell>
        </row>
        <row r="841">
          <cell r="A841">
            <v>841</v>
          </cell>
          <cell r="D841" t="str">
            <v>DGU</v>
          </cell>
          <cell r="E841" t="str">
            <v>P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M841">
            <v>0.59419421435740905</v>
          </cell>
          <cell r="N841">
            <v>0</v>
          </cell>
          <cell r="O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 t="str">
            <v>403OP</v>
          </cell>
          <cell r="AE841" t="str">
            <v>DGU</v>
          </cell>
          <cell r="AF841" t="str">
            <v>403OP.DGU</v>
          </cell>
        </row>
        <row r="842">
          <cell r="A842">
            <v>842</v>
          </cell>
          <cell r="D842" t="str">
            <v>SG</v>
          </cell>
          <cell r="E842" t="str">
            <v>P</v>
          </cell>
          <cell r="F842">
            <v>13312684.231893834</v>
          </cell>
          <cell r="G842">
            <v>13312684.231893834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M842">
            <v>0.59419421435740905</v>
          </cell>
          <cell r="N842">
            <v>7910319.9481584243</v>
          </cell>
          <cell r="O842">
            <v>5402364.2837354094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 t="str">
            <v>403OP</v>
          </cell>
          <cell r="AE842" t="str">
            <v>SG</v>
          </cell>
          <cell r="AF842" t="str">
            <v>403OP.SG</v>
          </cell>
        </row>
        <row r="843">
          <cell r="A843">
            <v>843</v>
          </cell>
          <cell r="D843" t="str">
            <v>CAEW</v>
          </cell>
          <cell r="E843" t="str">
            <v>P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M843">
            <v>0.59419421435740905</v>
          </cell>
          <cell r="N843">
            <v>0</v>
          </cell>
          <cell r="O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 t="str">
            <v>403OP</v>
          </cell>
          <cell r="AE843" t="str">
            <v>CAEW</v>
          </cell>
          <cell r="AF843" t="str">
            <v>403OP.CAEW</v>
          </cell>
        </row>
        <row r="844">
          <cell r="A844">
            <v>844</v>
          </cell>
          <cell r="D844" t="str">
            <v>CAGW</v>
          </cell>
          <cell r="E844" t="str">
            <v>P</v>
          </cell>
          <cell r="F844">
            <v>4220823.0662045786</v>
          </cell>
          <cell r="G844">
            <v>4220823.0662045786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M844">
            <v>0.59419421435740905</v>
          </cell>
          <cell r="N844">
            <v>2507988.6457650601</v>
          </cell>
          <cell r="O844">
            <v>1712834.4204395188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 t="str">
            <v>403OP</v>
          </cell>
          <cell r="AE844" t="str">
            <v>CAGW</v>
          </cell>
          <cell r="AF844" t="str">
            <v>403OP.CAGW</v>
          </cell>
        </row>
        <row r="845">
          <cell r="A845">
            <v>845</v>
          </cell>
          <cell r="D845" t="str">
            <v>CAGE</v>
          </cell>
          <cell r="E845" t="str">
            <v>P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M845">
            <v>0.59419421435740905</v>
          </cell>
          <cell r="N845">
            <v>0</v>
          </cell>
          <cell r="O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 t="str">
            <v>403OP</v>
          </cell>
          <cell r="AE845" t="str">
            <v>CAGE</v>
          </cell>
          <cell r="AF845" t="str">
            <v>403OP.CAGE</v>
          </cell>
        </row>
        <row r="846">
          <cell r="A846">
            <v>846</v>
          </cell>
          <cell r="F846">
            <v>17533507.298098411</v>
          </cell>
          <cell r="G846">
            <v>17533507.298098411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N846">
            <v>10418308.593923485</v>
          </cell>
          <cell r="O846">
            <v>7115198.7041749284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 t="str">
            <v>403OP</v>
          </cell>
          <cell r="AE846" t="str">
            <v>NA</v>
          </cell>
          <cell r="AF846" t="str">
            <v>403OP.NA1</v>
          </cell>
        </row>
        <row r="847">
          <cell r="A847">
            <v>847</v>
          </cell>
          <cell r="AD847" t="str">
            <v>403OP</v>
          </cell>
          <cell r="AE847" t="str">
            <v>NA</v>
          </cell>
          <cell r="AF847" t="str">
            <v>403OP.NA2</v>
          </cell>
        </row>
        <row r="848">
          <cell r="A848">
            <v>848</v>
          </cell>
          <cell r="B848" t="str">
            <v>403TP</v>
          </cell>
          <cell r="C848" t="str">
            <v>Transmission Depreciation</v>
          </cell>
          <cell r="AD848" t="str">
            <v>403TP</v>
          </cell>
          <cell r="AE848" t="str">
            <v>NA</v>
          </cell>
          <cell r="AF848" t="str">
            <v>403TP.NA</v>
          </cell>
        </row>
        <row r="849">
          <cell r="A849">
            <v>849</v>
          </cell>
          <cell r="D849" t="str">
            <v>DGP</v>
          </cell>
          <cell r="E849" t="str">
            <v>T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P849">
            <v>1</v>
          </cell>
          <cell r="Q849">
            <v>0</v>
          </cell>
          <cell r="R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 t="str">
            <v>403TP</v>
          </cell>
          <cell r="AE849" t="str">
            <v>DGP</v>
          </cell>
          <cell r="AF849" t="str">
            <v>403TP.DGP</v>
          </cell>
        </row>
        <row r="850">
          <cell r="A850">
            <v>850</v>
          </cell>
          <cell r="D850" t="str">
            <v>SG</v>
          </cell>
          <cell r="E850" t="str">
            <v>T</v>
          </cell>
          <cell r="F850">
            <v>11066964.164807312</v>
          </cell>
          <cell r="G850">
            <v>0</v>
          </cell>
          <cell r="H850">
            <v>11066964.164807312</v>
          </cell>
          <cell r="I850">
            <v>0</v>
          </cell>
          <cell r="J850">
            <v>0</v>
          </cell>
          <cell r="K850">
            <v>0</v>
          </cell>
          <cell r="P850">
            <v>1</v>
          </cell>
          <cell r="Q850">
            <v>11066964.164807312</v>
          </cell>
          <cell r="R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 t="str">
            <v>403TP</v>
          </cell>
          <cell r="AE850" t="str">
            <v>SG</v>
          </cell>
          <cell r="AF850" t="str">
            <v>403TP.SG</v>
          </cell>
        </row>
        <row r="851">
          <cell r="A851">
            <v>851</v>
          </cell>
          <cell r="D851" t="str">
            <v>JBG</v>
          </cell>
          <cell r="E851" t="str">
            <v>T</v>
          </cell>
          <cell r="F851">
            <v>815981.19002637104</v>
          </cell>
          <cell r="G851">
            <v>0</v>
          </cell>
          <cell r="H851">
            <v>815981.19002637104</v>
          </cell>
          <cell r="I851">
            <v>0</v>
          </cell>
          <cell r="J851">
            <v>0</v>
          </cell>
          <cell r="K851">
            <v>0</v>
          </cell>
          <cell r="P851">
            <v>1</v>
          </cell>
          <cell r="Q851">
            <v>815981.19002637104</v>
          </cell>
          <cell r="R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 t="str">
            <v>403TP</v>
          </cell>
          <cell r="AE851" t="str">
            <v>JBG</v>
          </cell>
          <cell r="AF851" t="str">
            <v>403TP.JBG</v>
          </cell>
        </row>
        <row r="852">
          <cell r="A852">
            <v>852</v>
          </cell>
          <cell r="D852" t="str">
            <v>CAGW</v>
          </cell>
          <cell r="E852" t="str">
            <v>T</v>
          </cell>
          <cell r="F852">
            <v>94743.192104611546</v>
          </cell>
          <cell r="G852">
            <v>0</v>
          </cell>
          <cell r="H852">
            <v>94743.192104611546</v>
          </cell>
          <cell r="I852">
            <v>0</v>
          </cell>
          <cell r="J852">
            <v>0</v>
          </cell>
          <cell r="K852">
            <v>0</v>
          </cell>
          <cell r="P852">
            <v>1</v>
          </cell>
          <cell r="Q852">
            <v>94743.192104611546</v>
          </cell>
          <cell r="R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D852" t="str">
            <v>403TP</v>
          </cell>
          <cell r="AE852" t="str">
            <v>CAGW</v>
          </cell>
          <cell r="AF852" t="str">
            <v>403TP.CAGW</v>
          </cell>
        </row>
        <row r="853">
          <cell r="A853">
            <v>853</v>
          </cell>
          <cell r="F853">
            <v>11977688.546938295</v>
          </cell>
          <cell r="G853">
            <v>0</v>
          </cell>
          <cell r="H853">
            <v>11977688.546938295</v>
          </cell>
          <cell r="I853">
            <v>0</v>
          </cell>
          <cell r="J853">
            <v>0</v>
          </cell>
          <cell r="K853">
            <v>0</v>
          </cell>
          <cell r="N853">
            <v>0</v>
          </cell>
          <cell r="O853">
            <v>0</v>
          </cell>
          <cell r="Q853">
            <v>11977688.546938295</v>
          </cell>
          <cell r="R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D853" t="str">
            <v>403TP</v>
          </cell>
          <cell r="AE853" t="str">
            <v>NA</v>
          </cell>
          <cell r="AF853" t="str">
            <v>403TP.NA1</v>
          </cell>
        </row>
        <row r="854">
          <cell r="A854">
            <v>854</v>
          </cell>
          <cell r="AD854" t="str">
            <v>403TP</v>
          </cell>
          <cell r="AE854" t="str">
            <v>NA</v>
          </cell>
          <cell r="AF854" t="str">
            <v>403TP.NA2</v>
          </cell>
        </row>
        <row r="855">
          <cell r="A855">
            <v>855</v>
          </cell>
          <cell r="B855">
            <v>403</v>
          </cell>
          <cell r="C855" t="str">
            <v>Distribution Depreciation</v>
          </cell>
          <cell r="AD855">
            <v>403</v>
          </cell>
          <cell r="AE855" t="str">
            <v>NA</v>
          </cell>
          <cell r="AF855" t="str">
            <v>403.NA</v>
          </cell>
        </row>
        <row r="856">
          <cell r="A856">
            <v>856</v>
          </cell>
          <cell r="B856">
            <v>360</v>
          </cell>
          <cell r="C856" t="str">
            <v>Land &amp; Land Rights</v>
          </cell>
          <cell r="D856" t="str">
            <v>S</v>
          </cell>
          <cell r="E856" t="str">
            <v>DPW</v>
          </cell>
          <cell r="F856">
            <v>1381.5064272959444</v>
          </cell>
          <cell r="G856">
            <v>0</v>
          </cell>
          <cell r="H856">
            <v>0</v>
          </cell>
          <cell r="I856">
            <v>1381.5064272959444</v>
          </cell>
          <cell r="J856">
            <v>0</v>
          </cell>
          <cell r="K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S856" t="str">
            <v>PLNT2</v>
          </cell>
          <cell r="T856">
            <v>334.12710329594137</v>
          </cell>
          <cell r="U856">
            <v>1047.3793240000032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360</v>
          </cell>
          <cell r="AE856" t="str">
            <v>S</v>
          </cell>
          <cell r="AF856" t="str">
            <v>360.S</v>
          </cell>
        </row>
        <row r="857">
          <cell r="A857">
            <v>857</v>
          </cell>
          <cell r="B857">
            <v>361</v>
          </cell>
          <cell r="C857" t="str">
            <v>Structures</v>
          </cell>
          <cell r="D857" t="str">
            <v>S</v>
          </cell>
          <cell r="E857" t="str">
            <v>DPW</v>
          </cell>
          <cell r="F857">
            <v>76494.772119496251</v>
          </cell>
          <cell r="G857">
            <v>0</v>
          </cell>
          <cell r="H857">
            <v>0</v>
          </cell>
          <cell r="I857">
            <v>76494.772119496251</v>
          </cell>
          <cell r="J857">
            <v>0</v>
          </cell>
          <cell r="K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S857" t="str">
            <v>PLNT2</v>
          </cell>
          <cell r="T857">
            <v>18500.801820804856</v>
          </cell>
          <cell r="U857">
            <v>57993.970298691398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>
            <v>361</v>
          </cell>
          <cell r="AE857" t="str">
            <v>S</v>
          </cell>
          <cell r="AF857" t="str">
            <v>361.S</v>
          </cell>
        </row>
        <row r="858">
          <cell r="A858">
            <v>858</v>
          </cell>
          <cell r="B858">
            <v>362</v>
          </cell>
          <cell r="C858" t="str">
            <v>Station Equipment</v>
          </cell>
          <cell r="D858" t="str">
            <v>S</v>
          </cell>
          <cell r="E858" t="str">
            <v>DPW</v>
          </cell>
          <cell r="F858">
            <v>1686292.405655317</v>
          </cell>
          <cell r="G858">
            <v>0</v>
          </cell>
          <cell r="H858">
            <v>0</v>
          </cell>
          <cell r="I858">
            <v>1686292.405655317</v>
          </cell>
          <cell r="J858">
            <v>0</v>
          </cell>
          <cell r="K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S858" t="str">
            <v>SUBS</v>
          </cell>
          <cell r="T858">
            <v>1686292.405655317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362</v>
          </cell>
          <cell r="AE858" t="str">
            <v>S</v>
          </cell>
          <cell r="AF858" t="str">
            <v>362.S</v>
          </cell>
        </row>
        <row r="859">
          <cell r="A859">
            <v>859</v>
          </cell>
          <cell r="B859">
            <v>363</v>
          </cell>
          <cell r="C859" t="str">
            <v>Storage Battery Equipment</v>
          </cell>
          <cell r="D859" t="str">
            <v>S</v>
          </cell>
          <cell r="E859" t="str">
            <v>DPW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S859" t="str">
            <v>PLNT2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>
            <v>363</v>
          </cell>
          <cell r="AE859" t="str">
            <v>S</v>
          </cell>
          <cell r="AF859" t="str">
            <v>363.S</v>
          </cell>
        </row>
        <row r="860">
          <cell r="A860">
            <v>860</v>
          </cell>
          <cell r="B860">
            <v>364</v>
          </cell>
          <cell r="C860" t="str">
            <v>Poles &amp; Towers</v>
          </cell>
          <cell r="D860" t="str">
            <v>S</v>
          </cell>
          <cell r="E860" t="str">
            <v>DPW</v>
          </cell>
          <cell r="F860">
            <v>3857981.4426840572</v>
          </cell>
          <cell r="G860">
            <v>0</v>
          </cell>
          <cell r="H860">
            <v>0</v>
          </cell>
          <cell r="I860">
            <v>3857981.4426840572</v>
          </cell>
          <cell r="J860">
            <v>0</v>
          </cell>
          <cell r="K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S860" t="str">
            <v>PC</v>
          </cell>
          <cell r="T860">
            <v>0</v>
          </cell>
          <cell r="U860">
            <v>3857981.4426840572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364</v>
          </cell>
          <cell r="AE860" t="str">
            <v>S</v>
          </cell>
          <cell r="AF860" t="str">
            <v>364.S</v>
          </cell>
        </row>
        <row r="861">
          <cell r="A861">
            <v>861</v>
          </cell>
          <cell r="B861">
            <v>365</v>
          </cell>
          <cell r="C861" t="str">
            <v>OH Conductors</v>
          </cell>
          <cell r="D861" t="str">
            <v>S</v>
          </cell>
          <cell r="E861" t="str">
            <v>DPW</v>
          </cell>
          <cell r="F861">
            <v>1773583.5291496383</v>
          </cell>
          <cell r="G861">
            <v>0</v>
          </cell>
          <cell r="H861">
            <v>0</v>
          </cell>
          <cell r="I861">
            <v>1773583.5291496383</v>
          </cell>
          <cell r="J861">
            <v>0</v>
          </cell>
          <cell r="K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S861" t="str">
            <v>PC</v>
          </cell>
          <cell r="T861">
            <v>0</v>
          </cell>
          <cell r="U861">
            <v>1773583.5291496383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>
            <v>365</v>
          </cell>
          <cell r="AE861" t="str">
            <v>S</v>
          </cell>
          <cell r="AF861" t="str">
            <v>365.S</v>
          </cell>
        </row>
        <row r="862">
          <cell r="A862">
            <v>862</v>
          </cell>
          <cell r="B862">
            <v>366</v>
          </cell>
          <cell r="C862" t="str">
            <v>UG Conduit</v>
          </cell>
          <cell r="D862" t="str">
            <v>S</v>
          </cell>
          <cell r="E862" t="str">
            <v>DPW</v>
          </cell>
          <cell r="F862">
            <v>493919.89480047929</v>
          </cell>
          <cell r="G862">
            <v>0</v>
          </cell>
          <cell r="H862">
            <v>0</v>
          </cell>
          <cell r="I862">
            <v>493919.89480047929</v>
          </cell>
          <cell r="J862">
            <v>0</v>
          </cell>
          <cell r="K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S862" t="str">
            <v>PC</v>
          </cell>
          <cell r="T862">
            <v>0</v>
          </cell>
          <cell r="U862">
            <v>493919.89480047929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>
            <v>366</v>
          </cell>
          <cell r="AE862" t="str">
            <v>S</v>
          </cell>
          <cell r="AF862" t="str">
            <v>366.S</v>
          </cell>
        </row>
        <row r="863">
          <cell r="A863">
            <v>863</v>
          </cell>
          <cell r="B863">
            <v>367</v>
          </cell>
          <cell r="C863" t="str">
            <v>UG Conductor</v>
          </cell>
          <cell r="D863" t="str">
            <v>S</v>
          </cell>
          <cell r="E863" t="str">
            <v>DPW</v>
          </cell>
          <cell r="F863">
            <v>650995.11945848539</v>
          </cell>
          <cell r="G863">
            <v>0</v>
          </cell>
          <cell r="H863">
            <v>0</v>
          </cell>
          <cell r="I863">
            <v>650995.11945848539</v>
          </cell>
          <cell r="J863">
            <v>0</v>
          </cell>
          <cell r="K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S863" t="str">
            <v>PC</v>
          </cell>
          <cell r="T863">
            <v>0</v>
          </cell>
          <cell r="U863">
            <v>650995.11945848539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367</v>
          </cell>
          <cell r="AE863" t="str">
            <v>S</v>
          </cell>
          <cell r="AF863" t="str">
            <v>367.S</v>
          </cell>
        </row>
        <row r="864">
          <cell r="A864">
            <v>864</v>
          </cell>
          <cell r="B864">
            <v>368</v>
          </cell>
          <cell r="C864" t="str">
            <v>Line Trans</v>
          </cell>
          <cell r="D864" t="str">
            <v>S</v>
          </cell>
          <cell r="E864" t="str">
            <v>DPW</v>
          </cell>
          <cell r="F864">
            <v>2890422.3862622199</v>
          </cell>
          <cell r="G864">
            <v>0</v>
          </cell>
          <cell r="H864">
            <v>0</v>
          </cell>
          <cell r="I864">
            <v>2890422.3862622199</v>
          </cell>
          <cell r="J864">
            <v>0</v>
          </cell>
          <cell r="K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S864" t="str">
            <v>XFMR</v>
          </cell>
          <cell r="T864">
            <v>0</v>
          </cell>
          <cell r="U864">
            <v>0</v>
          </cell>
          <cell r="V864">
            <v>2890422.3862622199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D864">
            <v>368</v>
          </cell>
          <cell r="AE864" t="str">
            <v>S</v>
          </cell>
          <cell r="AF864" t="str">
            <v>368.S</v>
          </cell>
        </row>
        <row r="865">
          <cell r="A865">
            <v>865</v>
          </cell>
          <cell r="B865">
            <v>369</v>
          </cell>
          <cell r="C865" t="str">
            <v>Services</v>
          </cell>
          <cell r="D865" t="str">
            <v>S</v>
          </cell>
          <cell r="E865" t="str">
            <v>DPW</v>
          </cell>
          <cell r="F865">
            <v>1560444.0640836393</v>
          </cell>
          <cell r="G865">
            <v>0</v>
          </cell>
          <cell r="H865">
            <v>0</v>
          </cell>
          <cell r="I865">
            <v>1560444.0640836393</v>
          </cell>
          <cell r="J865">
            <v>0</v>
          </cell>
          <cell r="K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S865" t="str">
            <v>SERV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1560444.0640836393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D865">
            <v>369</v>
          </cell>
          <cell r="AE865" t="str">
            <v>S</v>
          </cell>
          <cell r="AF865" t="str">
            <v>369.S</v>
          </cell>
        </row>
        <row r="866">
          <cell r="A866">
            <v>866</v>
          </cell>
          <cell r="B866">
            <v>370</v>
          </cell>
          <cell r="C866" t="str">
            <v>Meters</v>
          </cell>
          <cell r="D866" t="str">
            <v>S</v>
          </cell>
          <cell r="E866" t="str">
            <v>DPW</v>
          </cell>
          <cell r="F866">
            <v>492335.50963888469</v>
          </cell>
          <cell r="G866">
            <v>0</v>
          </cell>
          <cell r="H866">
            <v>0</v>
          </cell>
          <cell r="I866">
            <v>492335.50963888469</v>
          </cell>
          <cell r="J866">
            <v>0</v>
          </cell>
          <cell r="K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METR</v>
          </cell>
          <cell r="T866">
            <v>0</v>
          </cell>
          <cell r="U866">
            <v>0</v>
          </cell>
          <cell r="V866">
            <v>0</v>
          </cell>
          <cell r="W866">
            <v>492335.50963888469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>
            <v>370</v>
          </cell>
          <cell r="AE866" t="str">
            <v>S</v>
          </cell>
          <cell r="AF866" t="str">
            <v>370.S</v>
          </cell>
        </row>
        <row r="867">
          <cell r="A867">
            <v>867</v>
          </cell>
          <cell r="B867">
            <v>371</v>
          </cell>
          <cell r="C867" t="str">
            <v>Inst Cust Prem</v>
          </cell>
          <cell r="D867" t="str">
            <v>S</v>
          </cell>
          <cell r="E867" t="str">
            <v>DPW</v>
          </cell>
          <cell r="F867">
            <v>16888.27491198029</v>
          </cell>
          <cell r="G867">
            <v>0</v>
          </cell>
          <cell r="H867">
            <v>0</v>
          </cell>
          <cell r="I867">
            <v>16888.27491198029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S867" t="str">
            <v>PC</v>
          </cell>
          <cell r="T867">
            <v>0</v>
          </cell>
          <cell r="U867">
            <v>16888.27491198029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>
            <v>371</v>
          </cell>
          <cell r="AE867" t="str">
            <v>S</v>
          </cell>
          <cell r="AF867" t="str">
            <v>371.S</v>
          </cell>
        </row>
        <row r="868">
          <cell r="A868">
            <v>868</v>
          </cell>
          <cell r="B868">
            <v>372</v>
          </cell>
          <cell r="C868" t="str">
            <v>Leased Property</v>
          </cell>
          <cell r="D868" t="str">
            <v>S</v>
          </cell>
          <cell r="E868" t="str">
            <v>DPW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N868">
            <v>0</v>
          </cell>
          <cell r="O868">
            <v>0</v>
          </cell>
          <cell r="Q868">
            <v>0</v>
          </cell>
          <cell r="R868">
            <v>0</v>
          </cell>
          <cell r="S868" t="str">
            <v>PLNT2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D868">
            <v>372</v>
          </cell>
          <cell r="AE868" t="str">
            <v>S</v>
          </cell>
          <cell r="AF868" t="str">
            <v>372.S</v>
          </cell>
        </row>
        <row r="869">
          <cell r="A869">
            <v>869</v>
          </cell>
          <cell r="B869">
            <v>373</v>
          </cell>
          <cell r="C869" t="str">
            <v>Street Lighting</v>
          </cell>
          <cell r="D869" t="str">
            <v>S</v>
          </cell>
          <cell r="E869" t="str">
            <v>DPW</v>
          </cell>
          <cell r="F869">
            <v>119374.86383537661</v>
          </cell>
          <cell r="G869">
            <v>0</v>
          </cell>
          <cell r="H869">
            <v>0</v>
          </cell>
          <cell r="I869">
            <v>119374.86383537661</v>
          </cell>
          <cell r="J869">
            <v>0</v>
          </cell>
          <cell r="K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S869" t="str">
            <v>PC</v>
          </cell>
          <cell r="T869">
            <v>0</v>
          </cell>
          <cell r="U869">
            <v>119374.86383537661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D869">
            <v>373</v>
          </cell>
          <cell r="AE869" t="str">
            <v>S</v>
          </cell>
          <cell r="AF869" t="str">
            <v>373.S</v>
          </cell>
        </row>
        <row r="870">
          <cell r="A870">
            <v>870</v>
          </cell>
          <cell r="F870">
            <v>13620113.76902687</v>
          </cell>
          <cell r="G870">
            <v>0</v>
          </cell>
          <cell r="H870">
            <v>0</v>
          </cell>
          <cell r="I870">
            <v>13620113.76902687</v>
          </cell>
          <cell r="J870">
            <v>0</v>
          </cell>
          <cell r="K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1705127.3345794177</v>
          </cell>
          <cell r="U870">
            <v>6971784.4744627085</v>
          </cell>
          <cell r="V870">
            <v>2890422.3862622199</v>
          </cell>
          <cell r="W870">
            <v>492335.50963888469</v>
          </cell>
          <cell r="X870">
            <v>1560444.0640836393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>
            <v>373</v>
          </cell>
          <cell r="AE870" t="str">
            <v>NA</v>
          </cell>
          <cell r="AF870" t="str">
            <v>373.NA</v>
          </cell>
        </row>
        <row r="871">
          <cell r="A871">
            <v>871</v>
          </cell>
          <cell r="AD871">
            <v>373</v>
          </cell>
          <cell r="AE871" t="str">
            <v>NA</v>
          </cell>
          <cell r="AF871" t="str">
            <v>373.NA1</v>
          </cell>
        </row>
        <row r="872">
          <cell r="A872">
            <v>872</v>
          </cell>
          <cell r="B872" t="str">
            <v>403GP</v>
          </cell>
          <cell r="C872" t="str">
            <v>General Depreciation</v>
          </cell>
          <cell r="AD872" t="str">
            <v>403GP</v>
          </cell>
          <cell r="AE872" t="str">
            <v>NA</v>
          </cell>
          <cell r="AF872" t="str">
            <v>403GP.NA</v>
          </cell>
        </row>
        <row r="873">
          <cell r="A873">
            <v>873</v>
          </cell>
          <cell r="D873" t="str">
            <v>S</v>
          </cell>
          <cell r="E873" t="str">
            <v>G-SITUS</v>
          </cell>
          <cell r="F873">
            <v>950711.49909151648</v>
          </cell>
          <cell r="G873">
            <v>0</v>
          </cell>
          <cell r="H873">
            <v>290767.44004282466</v>
          </cell>
          <cell r="I873">
            <v>659944.059048692</v>
          </cell>
          <cell r="J873">
            <v>0</v>
          </cell>
          <cell r="K873">
            <v>0</v>
          </cell>
          <cell r="M873">
            <v>0.59419421435740905</v>
          </cell>
          <cell r="N873">
            <v>0</v>
          </cell>
          <cell r="O873">
            <v>0</v>
          </cell>
          <cell r="P873">
            <v>1</v>
          </cell>
          <cell r="Q873">
            <v>290767.44004282466</v>
          </cell>
          <cell r="R873">
            <v>0</v>
          </cell>
          <cell r="S873" t="str">
            <v>PLNT</v>
          </cell>
          <cell r="T873">
            <v>98607.697717530784</v>
          </cell>
          <cell r="U873">
            <v>309102.92148646113</v>
          </cell>
          <cell r="V873">
            <v>148783.99469971654</v>
          </cell>
          <cell r="W873">
            <v>17433.571634910775</v>
          </cell>
          <cell r="X873">
            <v>86015.873510072764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D873" t="str">
            <v>403GP</v>
          </cell>
          <cell r="AE873" t="str">
            <v>S</v>
          </cell>
          <cell r="AF873" t="str">
            <v>403GP.S</v>
          </cell>
        </row>
        <row r="874">
          <cell r="A874">
            <v>874</v>
          </cell>
          <cell r="D874" t="str">
            <v>DGP</v>
          </cell>
          <cell r="E874" t="str">
            <v>G-DGP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0.59419421435740905</v>
          </cell>
          <cell r="N874">
            <v>0</v>
          </cell>
          <cell r="O874">
            <v>0</v>
          </cell>
          <cell r="P874">
            <v>1</v>
          </cell>
          <cell r="Q874">
            <v>0</v>
          </cell>
          <cell r="R874">
            <v>0</v>
          </cell>
          <cell r="S874" t="str">
            <v>PLNT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403GP</v>
          </cell>
          <cell r="AE874" t="str">
            <v>DGP</v>
          </cell>
          <cell r="AF874" t="str">
            <v>403GP.DGP</v>
          </cell>
        </row>
        <row r="875">
          <cell r="A875">
            <v>875</v>
          </cell>
          <cell r="D875" t="str">
            <v>DGU</v>
          </cell>
          <cell r="E875" t="str">
            <v>G-DGU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0.59419421435740905</v>
          </cell>
          <cell r="N875">
            <v>0</v>
          </cell>
          <cell r="O875">
            <v>0</v>
          </cell>
          <cell r="P875">
            <v>1</v>
          </cell>
          <cell r="Q875">
            <v>0</v>
          </cell>
          <cell r="R875">
            <v>0</v>
          </cell>
          <cell r="S875" t="str">
            <v>PLNT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403GP</v>
          </cell>
          <cell r="AE875" t="str">
            <v>DGU</v>
          </cell>
          <cell r="AF875" t="str">
            <v>403GP.DGU</v>
          </cell>
        </row>
        <row r="876">
          <cell r="A876">
            <v>876</v>
          </cell>
          <cell r="D876" t="str">
            <v>SE</v>
          </cell>
          <cell r="E876" t="str">
            <v>P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M876">
            <v>0.59419421435740905</v>
          </cell>
          <cell r="N876">
            <v>0</v>
          </cell>
          <cell r="O876">
            <v>0</v>
          </cell>
          <cell r="P876">
            <v>1</v>
          </cell>
          <cell r="Q876">
            <v>0</v>
          </cell>
          <cell r="R876">
            <v>0</v>
          </cell>
          <cell r="S876" t="str">
            <v>PLNT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403GP</v>
          </cell>
          <cell r="AE876" t="str">
            <v>SE</v>
          </cell>
          <cell r="AF876" t="str">
            <v>403GP.SE</v>
          </cell>
        </row>
        <row r="877">
          <cell r="A877">
            <v>877</v>
          </cell>
          <cell r="D877" t="str">
            <v>CN</v>
          </cell>
          <cell r="E877" t="str">
            <v>CUST</v>
          </cell>
          <cell r="F877">
            <v>58680.065445934095</v>
          </cell>
          <cell r="G877">
            <v>0</v>
          </cell>
          <cell r="H877">
            <v>0</v>
          </cell>
          <cell r="I877">
            <v>0</v>
          </cell>
          <cell r="J877">
            <v>58680.065445934095</v>
          </cell>
          <cell r="K877">
            <v>0</v>
          </cell>
          <cell r="M877">
            <v>0.59419421435740905</v>
          </cell>
          <cell r="N877">
            <v>0</v>
          </cell>
          <cell r="O877">
            <v>0</v>
          </cell>
          <cell r="P877">
            <v>1</v>
          </cell>
          <cell r="Q877">
            <v>0</v>
          </cell>
          <cell r="R877">
            <v>0</v>
          </cell>
          <cell r="S877" t="str">
            <v>CUST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D877" t="str">
            <v>403GP</v>
          </cell>
          <cell r="AE877" t="str">
            <v>CN</v>
          </cell>
          <cell r="AF877" t="str">
            <v>403GP.CN</v>
          </cell>
        </row>
        <row r="878">
          <cell r="A878">
            <v>878</v>
          </cell>
          <cell r="D878" t="str">
            <v>CAGW</v>
          </cell>
          <cell r="E878" t="str">
            <v>G-SG</v>
          </cell>
          <cell r="F878">
            <v>688224.33278071217</v>
          </cell>
          <cell r="G878">
            <v>285755.68040388706</v>
          </cell>
          <cell r="H878">
            <v>402468.65237682511</v>
          </cell>
          <cell r="I878">
            <v>0</v>
          </cell>
          <cell r="J878">
            <v>0</v>
          </cell>
          <cell r="K878">
            <v>0</v>
          </cell>
          <cell r="M878">
            <v>0.59419421435740905</v>
          </cell>
          <cell r="N878">
            <v>169794.37201575455</v>
          </cell>
          <cell r="O878">
            <v>115961.30838813251</v>
          </cell>
          <cell r="P878">
            <v>1</v>
          </cell>
          <cell r="Q878">
            <v>402468.65237682511</v>
          </cell>
          <cell r="R878">
            <v>0</v>
          </cell>
          <cell r="S878" t="str">
            <v>PLNT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403GP</v>
          </cell>
          <cell r="AE878" t="str">
            <v>CAGW</v>
          </cell>
          <cell r="AF878" t="str">
            <v>403GP.CAGW</v>
          </cell>
        </row>
        <row r="879">
          <cell r="A879">
            <v>879</v>
          </cell>
          <cell r="D879" t="str">
            <v>SO</v>
          </cell>
          <cell r="E879" t="str">
            <v>PTD</v>
          </cell>
          <cell r="F879">
            <v>1197013.9756094757</v>
          </cell>
          <cell r="G879">
            <v>586119.25431965163</v>
          </cell>
          <cell r="H879">
            <v>243479.51944709613</v>
          </cell>
          <cell r="I879">
            <v>367415.20184272801</v>
          </cell>
          <cell r="J879">
            <v>0</v>
          </cell>
          <cell r="K879">
            <v>0</v>
          </cell>
          <cell r="M879">
            <v>0.59419421435740905</v>
          </cell>
          <cell r="N879">
            <v>348268.66984021582</v>
          </cell>
          <cell r="O879">
            <v>237850.58447943581</v>
          </cell>
          <cell r="P879">
            <v>1</v>
          </cell>
          <cell r="Q879">
            <v>243479.51944709613</v>
          </cell>
          <cell r="R879">
            <v>0</v>
          </cell>
          <cell r="S879" t="str">
            <v>PLNT</v>
          </cell>
          <cell r="T879">
            <v>54898.54278309393</v>
          </cell>
          <cell r="U879">
            <v>172088.99865215039</v>
          </cell>
          <cell r="V879">
            <v>82833.538228018806</v>
          </cell>
          <cell r="W879">
            <v>9705.9124228100663</v>
          </cell>
          <cell r="X879">
            <v>47888.209756654804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D879" t="str">
            <v>403GP</v>
          </cell>
          <cell r="AE879" t="str">
            <v>SO</v>
          </cell>
          <cell r="AF879" t="str">
            <v>403GP.SO</v>
          </cell>
        </row>
        <row r="880">
          <cell r="A880">
            <v>880</v>
          </cell>
          <cell r="D880" t="str">
            <v>SG</v>
          </cell>
          <cell r="E880" t="str">
            <v>G-SG</v>
          </cell>
          <cell r="F880">
            <v>465.80667581591388</v>
          </cell>
          <cell r="G880">
            <v>193.40627357164507</v>
          </cell>
          <cell r="H880">
            <v>272.40040224426883</v>
          </cell>
          <cell r="I880">
            <v>0</v>
          </cell>
          <cell r="J880">
            <v>0</v>
          </cell>
          <cell r="K880">
            <v>0</v>
          </cell>
          <cell r="M880">
            <v>0.59419421435740905</v>
          </cell>
          <cell r="N880">
            <v>114.92088877669777</v>
          </cell>
          <cell r="O880">
            <v>78.485384794947308</v>
          </cell>
          <cell r="P880">
            <v>1</v>
          </cell>
          <cell r="Q880">
            <v>272.40040224426883</v>
          </cell>
          <cell r="R880">
            <v>0</v>
          </cell>
          <cell r="S880" t="str">
            <v>PLNT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D880" t="str">
            <v>403GP</v>
          </cell>
          <cell r="AE880" t="str">
            <v>SG</v>
          </cell>
          <cell r="AF880" t="str">
            <v>403GP.SG</v>
          </cell>
        </row>
        <row r="881">
          <cell r="A881">
            <v>881</v>
          </cell>
          <cell r="D881" t="str">
            <v>JBG</v>
          </cell>
          <cell r="E881" t="str">
            <v>G-SG</v>
          </cell>
          <cell r="F881">
            <v>93755.589993043803</v>
          </cell>
          <cell r="G881">
            <v>38927.993582968149</v>
          </cell>
          <cell r="H881">
            <v>54827.596410075661</v>
          </cell>
          <cell r="I881">
            <v>0</v>
          </cell>
          <cell r="J881">
            <v>0</v>
          </cell>
          <cell r="K881">
            <v>0</v>
          </cell>
          <cell r="M881">
            <v>0.59419421435740905</v>
          </cell>
          <cell r="N881">
            <v>23130.788563542021</v>
          </cell>
          <cell r="O881">
            <v>15797.205019426128</v>
          </cell>
          <cell r="P881">
            <v>1</v>
          </cell>
          <cell r="Q881">
            <v>54827.596410075661</v>
          </cell>
          <cell r="R881">
            <v>0</v>
          </cell>
          <cell r="S881" t="str">
            <v>PLNT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403GP</v>
          </cell>
          <cell r="AE881" t="str">
            <v>JBG</v>
          </cell>
          <cell r="AF881" t="str">
            <v>403GP.JBG</v>
          </cell>
        </row>
        <row r="882">
          <cell r="A882">
            <v>882</v>
          </cell>
          <cell r="D882" t="str">
            <v>JBE</v>
          </cell>
          <cell r="E882" t="str">
            <v>P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0.59419421435740905</v>
          </cell>
          <cell r="N882">
            <v>0</v>
          </cell>
          <cell r="O882">
            <v>0</v>
          </cell>
          <cell r="P882">
            <v>1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403GP</v>
          </cell>
          <cell r="AE882" t="str">
            <v>JBE</v>
          </cell>
          <cell r="AF882" t="str">
            <v>403GP.JBE</v>
          </cell>
        </row>
        <row r="883">
          <cell r="A883">
            <v>883</v>
          </cell>
          <cell r="F883">
            <v>2988851.2695964985</v>
          </cell>
          <cell r="G883">
            <v>910996.33458007849</v>
          </cell>
          <cell r="H883">
            <v>991815.60867906583</v>
          </cell>
          <cell r="I883">
            <v>1027359.2608914201</v>
          </cell>
          <cell r="J883">
            <v>58680.065445934095</v>
          </cell>
          <cell r="K883">
            <v>0</v>
          </cell>
          <cell r="N883">
            <v>541308.75130828912</v>
          </cell>
          <cell r="O883">
            <v>369687.58327178936</v>
          </cell>
          <cell r="Q883">
            <v>991815.60867906583</v>
          </cell>
          <cell r="R883">
            <v>0</v>
          </cell>
          <cell r="T883">
            <v>153506.2405006247</v>
          </cell>
          <cell r="U883">
            <v>481191.92013861152</v>
          </cell>
          <cell r="V883">
            <v>231617.53292773536</v>
          </cell>
          <cell r="W883">
            <v>27139.484057720842</v>
          </cell>
          <cell r="X883">
            <v>133904.08326672757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403GP</v>
          </cell>
          <cell r="AE883" t="str">
            <v>NA</v>
          </cell>
          <cell r="AF883" t="str">
            <v>403GP.NA1</v>
          </cell>
        </row>
        <row r="884">
          <cell r="A884">
            <v>884</v>
          </cell>
          <cell r="AD884" t="str">
            <v>403GP</v>
          </cell>
          <cell r="AE884" t="str">
            <v>NA</v>
          </cell>
          <cell r="AF884" t="str">
            <v>403GP.NA2</v>
          </cell>
        </row>
        <row r="885">
          <cell r="A885">
            <v>885</v>
          </cell>
          <cell r="B885" t="str">
            <v>403GV0</v>
          </cell>
          <cell r="C885" t="str">
            <v>General Vehicles</v>
          </cell>
          <cell r="AD885" t="str">
            <v>403GV0</v>
          </cell>
          <cell r="AE885" t="str">
            <v>NA</v>
          </cell>
          <cell r="AF885" t="str">
            <v>403GV0.NA</v>
          </cell>
        </row>
        <row r="886">
          <cell r="A886">
            <v>886</v>
          </cell>
          <cell r="D886" t="str">
            <v>SG</v>
          </cell>
          <cell r="E886" t="str">
            <v>G-SG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0.59419421435740905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403GV0</v>
          </cell>
          <cell r="AE886" t="str">
            <v>SG</v>
          </cell>
          <cell r="AF886" t="str">
            <v>403GV0.SG</v>
          </cell>
        </row>
        <row r="887">
          <cell r="A887">
            <v>887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403GV0</v>
          </cell>
          <cell r="AE887" t="str">
            <v>NA</v>
          </cell>
          <cell r="AF887" t="str">
            <v>403GV0.NA1</v>
          </cell>
        </row>
        <row r="888">
          <cell r="A888">
            <v>888</v>
          </cell>
          <cell r="AD888" t="str">
            <v>403GV0</v>
          </cell>
          <cell r="AE888" t="str">
            <v>NA</v>
          </cell>
          <cell r="AF888" t="str">
            <v>403GV0.NA2</v>
          </cell>
        </row>
        <row r="889">
          <cell r="A889">
            <v>889</v>
          </cell>
          <cell r="B889" t="str">
            <v>403MP</v>
          </cell>
          <cell r="C889" t="str">
            <v>Mining Depreciation</v>
          </cell>
          <cell r="AD889" t="str">
            <v>403MP</v>
          </cell>
          <cell r="AE889" t="str">
            <v>NA</v>
          </cell>
          <cell r="AF889" t="str">
            <v>403MP.NA</v>
          </cell>
        </row>
        <row r="890">
          <cell r="A890">
            <v>890</v>
          </cell>
          <cell r="D890" t="str">
            <v>SE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0.59419421435740905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403MP</v>
          </cell>
          <cell r="AE890" t="str">
            <v>SE</v>
          </cell>
          <cell r="AF890" t="str">
            <v>403MP.SE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403MP</v>
          </cell>
          <cell r="AE891" t="str">
            <v>NA</v>
          </cell>
          <cell r="AF891" t="str">
            <v>403MP.NA1</v>
          </cell>
        </row>
        <row r="892">
          <cell r="A892">
            <v>892</v>
          </cell>
          <cell r="AD892" t="str">
            <v>403MP</v>
          </cell>
          <cell r="AE892" t="str">
            <v>NA</v>
          </cell>
          <cell r="AF892" t="str">
            <v>403MP.NA2</v>
          </cell>
        </row>
        <row r="893">
          <cell r="A893">
            <v>893</v>
          </cell>
          <cell r="B893" t="str">
            <v>403EP</v>
          </cell>
          <cell r="C893" t="str">
            <v>Experimental Plant Depreciation</v>
          </cell>
          <cell r="AD893" t="str">
            <v>403EP</v>
          </cell>
          <cell r="AE893" t="str">
            <v>NA</v>
          </cell>
          <cell r="AF893" t="str">
            <v>403EP.NA</v>
          </cell>
        </row>
        <row r="894">
          <cell r="A894">
            <v>894</v>
          </cell>
          <cell r="D894" t="str">
            <v>DGP</v>
          </cell>
          <cell r="E894" t="str">
            <v>P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M894">
            <v>0.59419421435740905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403EP</v>
          </cell>
          <cell r="AE894" t="str">
            <v>DGP</v>
          </cell>
          <cell r="AF894" t="str">
            <v>403EP.DGP</v>
          </cell>
        </row>
        <row r="895">
          <cell r="A895">
            <v>895</v>
          </cell>
          <cell r="D895" t="str">
            <v>SG</v>
          </cell>
          <cell r="E895" t="str">
            <v>P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0.59419421435740905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403EP</v>
          </cell>
          <cell r="AE895" t="str">
            <v>SG</v>
          </cell>
          <cell r="AF895" t="str">
            <v>403EP.SG</v>
          </cell>
        </row>
        <row r="896">
          <cell r="A896">
            <v>896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403EP</v>
          </cell>
          <cell r="AE896" t="str">
            <v>NA</v>
          </cell>
          <cell r="AF896" t="str">
            <v>403EP.NA1</v>
          </cell>
        </row>
        <row r="897">
          <cell r="A897">
            <v>897</v>
          </cell>
          <cell r="AD897" t="str">
            <v>403EP</v>
          </cell>
          <cell r="AE897" t="str">
            <v>NA</v>
          </cell>
          <cell r="AF897" t="str">
            <v>403EP.NA2</v>
          </cell>
        </row>
        <row r="898">
          <cell r="A898">
            <v>898</v>
          </cell>
          <cell r="B898" t="str">
            <v>TOTAL DEPRECIATION EXPENSE</v>
          </cell>
          <cell r="F898">
            <v>117309607.36845624</v>
          </cell>
          <cell r="G898">
            <v>89633950.117474645</v>
          </cell>
          <cell r="H898">
            <v>12969504.15561736</v>
          </cell>
          <cell r="I898">
            <v>14647473.029918291</v>
          </cell>
          <cell r="J898">
            <v>58680.065445934095</v>
          </cell>
          <cell r="K898">
            <v>0</v>
          </cell>
          <cell r="N898">
            <v>53259974.569804043</v>
          </cell>
          <cell r="O898">
            <v>36373975.547670603</v>
          </cell>
          <cell r="Q898">
            <v>12969504.15561736</v>
          </cell>
          <cell r="R898">
            <v>0</v>
          </cell>
          <cell r="T898">
            <v>1858633.5750800425</v>
          </cell>
          <cell r="U898">
            <v>7452976.3946013199</v>
          </cell>
          <cell r="V898">
            <v>3122039.9191899551</v>
          </cell>
          <cell r="W898">
            <v>519474.99369660555</v>
          </cell>
          <cell r="X898">
            <v>1694348.1473503669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TOTAL DEPRECIATION EXPENSE</v>
          </cell>
          <cell r="AE898" t="str">
            <v>NA</v>
          </cell>
          <cell r="AF898" t="str">
            <v>TOTAL DEPRECIATION EXPENSE.NA</v>
          </cell>
        </row>
        <row r="899">
          <cell r="A899">
            <v>899</v>
          </cell>
          <cell r="AD899" t="str">
            <v>TOTAL DEPRECIATION EXPENSE</v>
          </cell>
          <cell r="AE899" t="str">
            <v>NA</v>
          </cell>
          <cell r="AF899" t="str">
            <v>TOTAL DEPRECIATION EXPENSE.NA1</v>
          </cell>
        </row>
        <row r="900">
          <cell r="A900">
            <v>900</v>
          </cell>
          <cell r="B900" t="str">
            <v>404GP</v>
          </cell>
          <cell r="C900" t="str">
            <v>Amort of LT Plant - Capital Lease Gen</v>
          </cell>
          <cell r="AD900" t="str">
            <v>404GP</v>
          </cell>
          <cell r="AE900" t="str">
            <v>NA</v>
          </cell>
          <cell r="AF900" t="str">
            <v>404GP.NA</v>
          </cell>
        </row>
        <row r="901">
          <cell r="A901">
            <v>901</v>
          </cell>
          <cell r="D901" t="str">
            <v>S</v>
          </cell>
          <cell r="E901" t="str">
            <v>I-SITUS</v>
          </cell>
          <cell r="F901">
            <v>80507.37</v>
          </cell>
          <cell r="G901">
            <v>257596.79342236021</v>
          </cell>
          <cell r="H901">
            <v>-106075.58569387099</v>
          </cell>
          <cell r="I901">
            <v>-71013.837728489219</v>
          </cell>
          <cell r="J901">
            <v>0</v>
          </cell>
          <cell r="K901">
            <v>0</v>
          </cell>
          <cell r="M901">
            <v>0.59419421435740905</v>
          </cell>
          <cell r="N901">
            <v>153062.52428858713</v>
          </cell>
          <cell r="O901">
            <v>104534.26913377309</v>
          </cell>
          <cell r="P901">
            <v>1</v>
          </cell>
          <cell r="Q901">
            <v>-106075.58569387099</v>
          </cell>
          <cell r="R901">
            <v>0</v>
          </cell>
          <cell r="S901" t="str">
            <v>PLNT</v>
          </cell>
          <cell r="T901">
            <v>-10610.764576904827</v>
          </cell>
          <cell r="U901">
            <v>-33261.280872023024</v>
          </cell>
          <cell r="V901">
            <v>-16010.027382370163</v>
          </cell>
          <cell r="W901">
            <v>-1875.9541966241145</v>
          </cell>
          <cell r="X901">
            <v>-9255.8107005670881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404GP</v>
          </cell>
          <cell r="AE901" t="str">
            <v>S</v>
          </cell>
          <cell r="AF901" t="str">
            <v>404GP.S</v>
          </cell>
        </row>
        <row r="902">
          <cell r="A902">
            <v>902</v>
          </cell>
          <cell r="D902" t="str">
            <v>SG/CAGW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0.59419421435740905</v>
          </cell>
          <cell r="N902">
            <v>0</v>
          </cell>
          <cell r="O902">
            <v>0</v>
          </cell>
          <cell r="P902">
            <v>1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404GP</v>
          </cell>
          <cell r="AE902" t="str">
            <v>SG/CAGW</v>
          </cell>
          <cell r="AF902" t="str">
            <v>404GP.SG/CAGW</v>
          </cell>
        </row>
        <row r="903">
          <cell r="A903">
            <v>903</v>
          </cell>
          <cell r="D903" t="str">
            <v>SO</v>
          </cell>
          <cell r="E903" t="str">
            <v>PTD</v>
          </cell>
          <cell r="F903">
            <v>19056.66559239518</v>
          </cell>
          <cell r="G903">
            <v>9331.1179772538053</v>
          </cell>
          <cell r="H903">
            <v>3876.2352614453971</v>
          </cell>
          <cell r="I903">
            <v>5849.3123536959802</v>
          </cell>
          <cell r="J903">
            <v>0</v>
          </cell>
          <cell r="K903">
            <v>0</v>
          </cell>
          <cell r="M903">
            <v>0.59419421435740905</v>
          </cell>
          <cell r="N903">
            <v>5544.4963155706209</v>
          </cell>
          <cell r="O903">
            <v>3786.6216616831848</v>
          </cell>
          <cell r="P903">
            <v>1</v>
          </cell>
          <cell r="Q903">
            <v>3876.2352614453971</v>
          </cell>
          <cell r="R903">
            <v>0</v>
          </cell>
          <cell r="S903" t="str">
            <v>PLNT</v>
          </cell>
          <cell r="T903">
            <v>873.99411589538261</v>
          </cell>
          <cell r="U903">
            <v>2739.6860573615299</v>
          </cell>
          <cell r="V903">
            <v>1318.723983187002</v>
          </cell>
          <cell r="W903">
            <v>154.51977260030694</v>
          </cell>
          <cell r="X903">
            <v>762.38842465175856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404GP</v>
          </cell>
          <cell r="AE903" t="str">
            <v>SO</v>
          </cell>
          <cell r="AF903" t="str">
            <v>404GP.SO</v>
          </cell>
        </row>
        <row r="904">
          <cell r="A904">
            <v>904</v>
          </cell>
          <cell r="D904" t="str">
            <v>DGU</v>
          </cell>
          <cell r="E904" t="str">
            <v>I-DGU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0.59419421435740905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404GP</v>
          </cell>
          <cell r="AE904" t="str">
            <v>DGU</v>
          </cell>
          <cell r="AF904" t="str">
            <v>404GP.DGU</v>
          </cell>
        </row>
        <row r="905">
          <cell r="A905">
            <v>905</v>
          </cell>
          <cell r="D905" t="str">
            <v>CN</v>
          </cell>
          <cell r="E905" t="str">
            <v>CUST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M905">
            <v>0.59419421435740905</v>
          </cell>
          <cell r="N905">
            <v>0</v>
          </cell>
          <cell r="O905">
            <v>0</v>
          </cell>
          <cell r="P905">
            <v>1</v>
          </cell>
          <cell r="Q905">
            <v>0</v>
          </cell>
          <cell r="R905">
            <v>0</v>
          </cell>
          <cell r="S905" t="str">
            <v>CUST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404GP</v>
          </cell>
          <cell r="AE905" t="str">
            <v>CN</v>
          </cell>
          <cell r="AF905" t="str">
            <v>404GP.CN</v>
          </cell>
        </row>
        <row r="906">
          <cell r="A906">
            <v>906</v>
          </cell>
          <cell r="D906" t="str">
            <v>DGP</v>
          </cell>
          <cell r="E906" t="str">
            <v>I-DGP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M906">
            <v>0.59419421435740905</v>
          </cell>
          <cell r="N906">
            <v>0</v>
          </cell>
          <cell r="O906">
            <v>0</v>
          </cell>
          <cell r="P906">
            <v>1</v>
          </cell>
          <cell r="Q906">
            <v>0</v>
          </cell>
          <cell r="R906">
            <v>0</v>
          </cell>
          <cell r="S906" t="str">
            <v>PLNT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D906" t="str">
            <v>404GP</v>
          </cell>
          <cell r="AE906" t="str">
            <v>DGP</v>
          </cell>
          <cell r="AF906" t="str">
            <v>404GP.DGP</v>
          </cell>
        </row>
        <row r="907">
          <cell r="A907">
            <v>907</v>
          </cell>
          <cell r="D907" t="str">
            <v>SG</v>
          </cell>
          <cell r="E907" t="str">
            <v>I-DGP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M907">
            <v>0.59419421435740905</v>
          </cell>
          <cell r="N907">
            <v>0</v>
          </cell>
          <cell r="O907">
            <v>0</v>
          </cell>
          <cell r="P907">
            <v>1</v>
          </cell>
          <cell r="Q907">
            <v>0</v>
          </cell>
          <cell r="R907">
            <v>0</v>
          </cell>
          <cell r="S907" t="str">
            <v>PLNT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D907" t="str">
            <v>404GP</v>
          </cell>
          <cell r="AE907" t="str">
            <v>SG</v>
          </cell>
          <cell r="AF907" t="str">
            <v>404GP.SG</v>
          </cell>
        </row>
        <row r="908">
          <cell r="A908">
            <v>908</v>
          </cell>
          <cell r="F908">
            <v>99564.035592395172</v>
          </cell>
          <cell r="G908">
            <v>266927.91139961401</v>
          </cell>
          <cell r="H908">
            <v>-102199.35043242559</v>
          </cell>
          <cell r="I908">
            <v>-65164.525374793237</v>
          </cell>
          <cell r="J908">
            <v>0</v>
          </cell>
          <cell r="K908">
            <v>0</v>
          </cell>
          <cell r="N908">
            <v>158607.02060415776</v>
          </cell>
          <cell r="O908">
            <v>108320.89079545627</v>
          </cell>
          <cell r="Q908">
            <v>-102199.35043242559</v>
          </cell>
          <cell r="R908">
            <v>0</v>
          </cell>
          <cell r="T908">
            <v>-9736.7704610094443</v>
          </cell>
          <cell r="U908">
            <v>-30521.594814661494</v>
          </cell>
          <cell r="V908">
            <v>-14691.303399183162</v>
          </cell>
          <cell r="W908">
            <v>-1721.4344240238077</v>
          </cell>
          <cell r="X908">
            <v>-8493.422275915329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404GP</v>
          </cell>
          <cell r="AE908" t="str">
            <v>NA</v>
          </cell>
          <cell r="AF908" t="str">
            <v>404GP.NA1</v>
          </cell>
        </row>
        <row r="909">
          <cell r="A909">
            <v>909</v>
          </cell>
          <cell r="AD909" t="str">
            <v>404GP</v>
          </cell>
          <cell r="AE909" t="str">
            <v>NA</v>
          </cell>
          <cell r="AF909" t="str">
            <v>404GP.NA2</v>
          </cell>
        </row>
        <row r="910">
          <cell r="A910">
            <v>910</v>
          </cell>
          <cell r="B910" t="str">
            <v>404SP</v>
          </cell>
          <cell r="C910" t="str">
            <v>Amort of LT Plant - Cap Lease Steam</v>
          </cell>
          <cell r="AD910" t="str">
            <v>404SP</v>
          </cell>
          <cell r="AE910" t="str">
            <v>NA</v>
          </cell>
          <cell r="AF910" t="str">
            <v>404SP.NA</v>
          </cell>
        </row>
        <row r="911">
          <cell r="A911">
            <v>911</v>
          </cell>
          <cell r="D911" t="str">
            <v>SG</v>
          </cell>
          <cell r="E911" t="str">
            <v>P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M911">
            <v>0.59419421435740905</v>
          </cell>
          <cell r="N911">
            <v>0</v>
          </cell>
          <cell r="O911">
            <v>0</v>
          </cell>
          <cell r="P911">
            <v>1</v>
          </cell>
          <cell r="Q911">
            <v>0</v>
          </cell>
          <cell r="R911">
            <v>0</v>
          </cell>
          <cell r="S911" t="str">
            <v>DRB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D911" t="str">
            <v>404SP</v>
          </cell>
          <cell r="AE911" t="str">
            <v>SG</v>
          </cell>
          <cell r="AF911" t="str">
            <v>404SP.SG</v>
          </cell>
        </row>
        <row r="912">
          <cell r="A912">
            <v>912</v>
          </cell>
          <cell r="D912" t="str">
            <v>DGP</v>
          </cell>
          <cell r="E912" t="str">
            <v>P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0.59419421435740905</v>
          </cell>
          <cell r="N912">
            <v>0</v>
          </cell>
          <cell r="O912">
            <v>0</v>
          </cell>
          <cell r="P912">
            <v>1</v>
          </cell>
          <cell r="Q912">
            <v>0</v>
          </cell>
          <cell r="R912">
            <v>0</v>
          </cell>
          <cell r="S912" t="str">
            <v>DRB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404SP</v>
          </cell>
          <cell r="AE912" t="str">
            <v>DGP</v>
          </cell>
          <cell r="AF912" t="str">
            <v>404SP.DGP</v>
          </cell>
        </row>
        <row r="913">
          <cell r="A913">
            <v>913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404SP</v>
          </cell>
          <cell r="AE913" t="str">
            <v>NA</v>
          </cell>
          <cell r="AF913" t="str">
            <v>404SP.NA1</v>
          </cell>
        </row>
        <row r="914">
          <cell r="A914">
            <v>914</v>
          </cell>
          <cell r="AD914" t="str">
            <v>404SP</v>
          </cell>
          <cell r="AE914" t="str">
            <v>NA</v>
          </cell>
          <cell r="AF914" t="str">
            <v>404SP.NA2</v>
          </cell>
        </row>
        <row r="915">
          <cell r="A915">
            <v>915</v>
          </cell>
          <cell r="B915" t="str">
            <v>404IP</v>
          </cell>
          <cell r="C915" t="str">
            <v>Amort of LT Plant - Intangible Plant</v>
          </cell>
          <cell r="AD915" t="str">
            <v>404IP</v>
          </cell>
          <cell r="AE915" t="str">
            <v>NA</v>
          </cell>
          <cell r="AF915" t="str">
            <v>404IP.NA</v>
          </cell>
        </row>
        <row r="916">
          <cell r="A916">
            <v>916</v>
          </cell>
          <cell r="D916" t="str">
            <v>S</v>
          </cell>
          <cell r="E916" t="str">
            <v>I-SITUS</v>
          </cell>
          <cell r="F916">
            <v>3023.6</v>
          </cell>
          <cell r="G916">
            <v>9674.513831365357</v>
          </cell>
          <cell r="H916">
            <v>-3983.8606192698671</v>
          </cell>
          <cell r="I916">
            <v>-2667.053212095489</v>
          </cell>
          <cell r="J916">
            <v>0</v>
          </cell>
          <cell r="K916">
            <v>0</v>
          </cell>
          <cell r="M916">
            <v>0.59419421435740905</v>
          </cell>
          <cell r="N916">
            <v>5748.5401453180257</v>
          </cell>
          <cell r="O916">
            <v>3925.9736860473313</v>
          </cell>
          <cell r="P916">
            <v>1</v>
          </cell>
          <cell r="Q916">
            <v>-3983.8606192698671</v>
          </cell>
          <cell r="R916">
            <v>0</v>
          </cell>
          <cell r="S916" t="str">
            <v>PLNT</v>
          </cell>
          <cell r="T916">
            <v>-398.50646934224073</v>
          </cell>
          <cell r="U916">
            <v>-1249.1876066085481</v>
          </cell>
          <cell r="V916">
            <v>-601.28555675504515</v>
          </cell>
          <cell r="W916">
            <v>-70.454855361846654</v>
          </cell>
          <cell r="X916">
            <v>-347.61872402780824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404IP</v>
          </cell>
          <cell r="AE916" t="str">
            <v>S</v>
          </cell>
          <cell r="AF916" t="str">
            <v>404IP.S</v>
          </cell>
        </row>
        <row r="917">
          <cell r="A917">
            <v>917</v>
          </cell>
          <cell r="D917" t="str">
            <v>SE</v>
          </cell>
          <cell r="E917" t="str">
            <v>P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M917">
            <v>0.59419421435740905</v>
          </cell>
          <cell r="N917">
            <v>0</v>
          </cell>
          <cell r="O917">
            <v>0</v>
          </cell>
          <cell r="P917">
            <v>1</v>
          </cell>
          <cell r="Q917">
            <v>0</v>
          </cell>
          <cell r="R917">
            <v>0</v>
          </cell>
          <cell r="S917" t="str">
            <v>PLNT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D917" t="str">
            <v>404IP</v>
          </cell>
          <cell r="AE917" t="str">
            <v>SE</v>
          </cell>
          <cell r="AF917" t="str">
            <v>404IP.SE</v>
          </cell>
        </row>
        <row r="918">
          <cell r="A918">
            <v>918</v>
          </cell>
          <cell r="D918" t="str">
            <v>SG</v>
          </cell>
          <cell r="E918" t="str">
            <v>I-SG</v>
          </cell>
          <cell r="F918">
            <v>281345.59732807055</v>
          </cell>
          <cell r="G918">
            <v>234480.50706055705</v>
          </cell>
          <cell r="H918">
            <v>46865.090267513493</v>
          </cell>
          <cell r="I918">
            <v>0</v>
          </cell>
          <cell r="J918">
            <v>0</v>
          </cell>
          <cell r="K918">
            <v>0</v>
          </cell>
          <cell r="M918">
            <v>0.59419421435740905</v>
          </cell>
          <cell r="N918">
            <v>139326.9606749746</v>
          </cell>
          <cell r="O918">
            <v>95153.546385582449</v>
          </cell>
          <cell r="P918">
            <v>1</v>
          </cell>
          <cell r="Q918">
            <v>46865.090267513493</v>
          </cell>
          <cell r="R918">
            <v>0</v>
          </cell>
          <cell r="S918" t="str">
            <v>PLNT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D918" t="str">
            <v>404IP</v>
          </cell>
          <cell r="AE918" t="str">
            <v>SG</v>
          </cell>
          <cell r="AF918" t="str">
            <v>404IP.SG</v>
          </cell>
        </row>
        <row r="919">
          <cell r="A919">
            <v>919</v>
          </cell>
          <cell r="D919" t="str">
            <v>SO</v>
          </cell>
          <cell r="E919" t="str">
            <v>PTD</v>
          </cell>
          <cell r="F919">
            <v>1101916.1325233215</v>
          </cell>
          <cell r="G919">
            <v>539554.4873137495</v>
          </cell>
          <cell r="H919">
            <v>224136.07182921615</v>
          </cell>
          <cell r="I919">
            <v>338225.57338035601</v>
          </cell>
          <cell r="J919">
            <v>0</v>
          </cell>
          <cell r="K919">
            <v>0</v>
          </cell>
          <cell r="M919">
            <v>0.59419421435740905</v>
          </cell>
          <cell r="N919">
            <v>320600.15469240799</v>
          </cell>
          <cell r="O919">
            <v>218954.33262134148</v>
          </cell>
          <cell r="P919">
            <v>1</v>
          </cell>
          <cell r="Q919">
            <v>224136.07182921615</v>
          </cell>
          <cell r="R919">
            <v>0</v>
          </cell>
          <cell r="S919" t="str">
            <v>PLNT</v>
          </cell>
          <cell r="T919">
            <v>50537.079079558651</v>
          </cell>
          <cell r="U919">
            <v>158417.23464259238</v>
          </cell>
          <cell r="V919">
            <v>76252.753892006134</v>
          </cell>
          <cell r="W919">
            <v>8934.8175522406709</v>
          </cell>
          <cell r="X919">
            <v>44083.688213958172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D919" t="str">
            <v>404IP</v>
          </cell>
          <cell r="AE919" t="str">
            <v>SO</v>
          </cell>
          <cell r="AF919" t="str">
            <v>404IP.SO</v>
          </cell>
        </row>
        <row r="920">
          <cell r="A920">
            <v>920</v>
          </cell>
          <cell r="D920" t="str">
            <v>CN</v>
          </cell>
          <cell r="E920" t="str">
            <v>CUST</v>
          </cell>
          <cell r="F920">
            <v>738703.81661462539</v>
          </cell>
          <cell r="G920">
            <v>0</v>
          </cell>
          <cell r="H920">
            <v>0</v>
          </cell>
          <cell r="I920">
            <v>0</v>
          </cell>
          <cell r="J920">
            <v>738703.81661462539</v>
          </cell>
          <cell r="K920">
            <v>0</v>
          </cell>
          <cell r="M920">
            <v>0.59419421435740905</v>
          </cell>
          <cell r="N920">
            <v>0</v>
          </cell>
          <cell r="O920">
            <v>0</v>
          </cell>
          <cell r="P920">
            <v>1</v>
          </cell>
          <cell r="Q920">
            <v>0</v>
          </cell>
          <cell r="R920">
            <v>0</v>
          </cell>
          <cell r="S920" t="str">
            <v>CUST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 t="str">
            <v>404IP</v>
          </cell>
          <cell r="AE920" t="str">
            <v>CN</v>
          </cell>
          <cell r="AF920" t="str">
            <v>404IP.CN</v>
          </cell>
        </row>
        <row r="921">
          <cell r="A921">
            <v>921</v>
          </cell>
          <cell r="D921" t="str">
            <v>DGP</v>
          </cell>
          <cell r="E921" t="str">
            <v>I-DGP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M921">
            <v>0.59419421435740905</v>
          </cell>
          <cell r="N921">
            <v>0</v>
          </cell>
          <cell r="O921">
            <v>0</v>
          </cell>
          <cell r="P921">
            <v>1</v>
          </cell>
          <cell r="Q921">
            <v>0</v>
          </cell>
          <cell r="R921">
            <v>0</v>
          </cell>
          <cell r="S921" t="str">
            <v>PLNT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 t="str">
            <v>404IP</v>
          </cell>
          <cell r="AE921" t="str">
            <v>DGP</v>
          </cell>
          <cell r="AF921" t="str">
            <v>404IP.DGP</v>
          </cell>
        </row>
        <row r="922">
          <cell r="A922">
            <v>922</v>
          </cell>
          <cell r="D922" t="str">
            <v>DGU</v>
          </cell>
          <cell r="E922" t="str">
            <v>I-DGU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M922">
            <v>0.59419421435740905</v>
          </cell>
          <cell r="N922">
            <v>0</v>
          </cell>
          <cell r="O922">
            <v>0</v>
          </cell>
          <cell r="P922">
            <v>1</v>
          </cell>
          <cell r="Q922">
            <v>0</v>
          </cell>
          <cell r="R922">
            <v>0</v>
          </cell>
          <cell r="S922" t="str">
            <v>PLNT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 t="str">
            <v>404IP</v>
          </cell>
          <cell r="AE922" t="str">
            <v>DGU</v>
          </cell>
          <cell r="AF922" t="str">
            <v>404IP.DGU</v>
          </cell>
        </row>
        <row r="923">
          <cell r="A923">
            <v>923</v>
          </cell>
          <cell r="D923" t="str">
            <v>CAEW</v>
          </cell>
          <cell r="E923" t="str">
            <v>P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M923">
            <v>0.59419421435740905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 t="str">
            <v>PLNT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D923" t="str">
            <v>404IP</v>
          </cell>
          <cell r="AE923" t="str">
            <v>CAEW</v>
          </cell>
          <cell r="AF923" t="str">
            <v>404IP.CAEW</v>
          </cell>
        </row>
        <row r="924">
          <cell r="A924">
            <v>924</v>
          </cell>
          <cell r="D924" t="str">
            <v>CAGW1</v>
          </cell>
          <cell r="E924" t="str">
            <v>I-SG</v>
          </cell>
          <cell r="F924">
            <v>519890.58234160021</v>
          </cell>
          <cell r="G924">
            <v>433289.90579979488</v>
          </cell>
          <cell r="H924">
            <v>86600.67654180534</v>
          </cell>
          <cell r="I924">
            <v>0</v>
          </cell>
          <cell r="J924">
            <v>0</v>
          </cell>
          <cell r="K924">
            <v>0</v>
          </cell>
          <cell r="M924">
            <v>0.59419421435740905</v>
          </cell>
          <cell r="N924">
            <v>257458.35516570488</v>
          </cell>
          <cell r="O924">
            <v>175831.55063409</v>
          </cell>
          <cell r="P924">
            <v>1</v>
          </cell>
          <cell r="Q924">
            <v>86600.67654180534</v>
          </cell>
          <cell r="R924">
            <v>0</v>
          </cell>
          <cell r="S924" t="str">
            <v>PLNT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D924" t="str">
            <v>404IP</v>
          </cell>
          <cell r="AE924" t="str">
            <v>CAGW1</v>
          </cell>
          <cell r="AF924" t="str">
            <v>404IP.CAGW1</v>
          </cell>
        </row>
        <row r="925">
          <cell r="A925">
            <v>925</v>
          </cell>
          <cell r="D925" t="str">
            <v>JBG</v>
          </cell>
          <cell r="E925" t="str">
            <v>I-SG</v>
          </cell>
          <cell r="F925">
            <v>48447.124171576521</v>
          </cell>
          <cell r="G925">
            <v>40377.053521582253</v>
          </cell>
          <cell r="H925">
            <v>8070.0706499942698</v>
          </cell>
          <cell r="I925">
            <v>0</v>
          </cell>
          <cell r="J925">
            <v>0</v>
          </cell>
          <cell r="K925">
            <v>0</v>
          </cell>
          <cell r="M925">
            <v>0.59419421435740905</v>
          </cell>
          <cell r="N925">
            <v>23991.811595323623</v>
          </cell>
          <cell r="O925">
            <v>16385.24192625863</v>
          </cell>
          <cell r="P925">
            <v>1</v>
          </cell>
          <cell r="Q925">
            <v>8070.0706499942698</v>
          </cell>
          <cell r="R925">
            <v>0</v>
          </cell>
          <cell r="S925" t="str">
            <v>PLNT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 t="str">
            <v>404IP</v>
          </cell>
          <cell r="AE925" t="str">
            <v>JBG</v>
          </cell>
          <cell r="AF925" t="str">
            <v>404IP.JBG</v>
          </cell>
        </row>
        <row r="926">
          <cell r="A926">
            <v>926</v>
          </cell>
          <cell r="F926">
            <v>2693326.8529791944</v>
          </cell>
          <cell r="G926">
            <v>1257376.4675270489</v>
          </cell>
          <cell r="H926">
            <v>361688.04866925935</v>
          </cell>
          <cell r="I926">
            <v>335558.5201682605</v>
          </cell>
          <cell r="J926">
            <v>738703.81661462539</v>
          </cell>
          <cell r="K926">
            <v>0</v>
          </cell>
          <cell r="N926">
            <v>747125.82227372914</v>
          </cell>
          <cell r="O926">
            <v>510250.64525331982</v>
          </cell>
          <cell r="Q926">
            <v>361688.04866925935</v>
          </cell>
          <cell r="R926">
            <v>0</v>
          </cell>
          <cell r="T926">
            <v>50138.572610216412</v>
          </cell>
          <cell r="U926">
            <v>157168.04703598382</v>
          </cell>
          <cell r="V926">
            <v>75651.468335251091</v>
          </cell>
          <cell r="W926">
            <v>8864.3626968788249</v>
          </cell>
          <cell r="X926">
            <v>43736.069489930363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 t="str">
            <v>404IP</v>
          </cell>
          <cell r="AE926" t="str">
            <v>NA</v>
          </cell>
          <cell r="AF926" t="str">
            <v>404IP.NA1</v>
          </cell>
        </row>
        <row r="927">
          <cell r="A927">
            <v>927</v>
          </cell>
          <cell r="AD927" t="str">
            <v>404IP</v>
          </cell>
          <cell r="AE927" t="str">
            <v>NA</v>
          </cell>
          <cell r="AF927" t="str">
            <v>404IP.NA2</v>
          </cell>
        </row>
        <row r="928">
          <cell r="A928">
            <v>928</v>
          </cell>
          <cell r="B928" t="str">
            <v>404OP</v>
          </cell>
          <cell r="C928" t="str">
            <v>Amort of LT Plant - Other Plant</v>
          </cell>
          <cell r="AD928" t="str">
            <v>404OP</v>
          </cell>
          <cell r="AE928" t="str">
            <v>NA</v>
          </cell>
          <cell r="AF928" t="str">
            <v>404OP.NA</v>
          </cell>
        </row>
        <row r="929">
          <cell r="A929">
            <v>929</v>
          </cell>
          <cell r="D929" t="str">
            <v>CAGE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0.59419421435740905</v>
          </cell>
          <cell r="N929">
            <v>0</v>
          </cell>
          <cell r="O929">
            <v>0</v>
          </cell>
          <cell r="P929">
            <v>1</v>
          </cell>
          <cell r="Q929">
            <v>0</v>
          </cell>
          <cell r="R929">
            <v>0</v>
          </cell>
          <cell r="S929" t="str">
            <v>PLNT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 t="str">
            <v>404OP</v>
          </cell>
          <cell r="AE929" t="str">
            <v>CAGE</v>
          </cell>
          <cell r="AF929" t="str">
            <v>404OP.CAGE</v>
          </cell>
        </row>
        <row r="930">
          <cell r="A930">
            <v>930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 t="str">
            <v>404OP</v>
          </cell>
          <cell r="AE930" t="str">
            <v>NA</v>
          </cell>
          <cell r="AF930" t="str">
            <v>404OP.NA1</v>
          </cell>
        </row>
        <row r="931">
          <cell r="A931">
            <v>931</v>
          </cell>
          <cell r="AD931" t="str">
            <v>404OP</v>
          </cell>
          <cell r="AE931" t="str">
            <v>NA</v>
          </cell>
          <cell r="AF931" t="str">
            <v>404OP.NA2</v>
          </cell>
        </row>
        <row r="932">
          <cell r="A932">
            <v>932</v>
          </cell>
          <cell r="B932" t="str">
            <v>404HP</v>
          </cell>
          <cell r="C932" t="str">
            <v>Amortization of Other Electric Plant</v>
          </cell>
          <cell r="AD932" t="str">
            <v>404HP</v>
          </cell>
          <cell r="AE932" t="str">
            <v>NA</v>
          </cell>
          <cell r="AF932" t="str">
            <v>404HP.NA</v>
          </cell>
        </row>
        <row r="933">
          <cell r="A933">
            <v>933</v>
          </cell>
          <cell r="D933" t="str">
            <v>DGP</v>
          </cell>
          <cell r="E933" t="str">
            <v>P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0.59419421435740905</v>
          </cell>
          <cell r="N933">
            <v>0</v>
          </cell>
          <cell r="O933">
            <v>0</v>
          </cell>
          <cell r="P933">
            <v>1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 t="str">
            <v>404HP</v>
          </cell>
          <cell r="AE933" t="str">
            <v>DGP</v>
          </cell>
          <cell r="AF933" t="str">
            <v>404HP.DGP</v>
          </cell>
        </row>
        <row r="934">
          <cell r="A934">
            <v>934</v>
          </cell>
          <cell r="D934" t="str">
            <v>DGU</v>
          </cell>
          <cell r="E934" t="str">
            <v>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0.59419421435740905</v>
          </cell>
          <cell r="N934">
            <v>0</v>
          </cell>
          <cell r="O934">
            <v>0</v>
          </cell>
          <cell r="P934">
            <v>1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 t="str">
            <v>404HP</v>
          </cell>
          <cell r="AE934" t="str">
            <v>DGU</v>
          </cell>
          <cell r="AF934" t="str">
            <v>404HP.DGU</v>
          </cell>
        </row>
        <row r="935">
          <cell r="A935">
            <v>935</v>
          </cell>
          <cell r="D935" t="str">
            <v>CAGW</v>
          </cell>
          <cell r="E935" t="str">
            <v>P</v>
          </cell>
          <cell r="F935">
            <v>67255.186318601714</v>
          </cell>
          <cell r="G935">
            <v>67255.186318601714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0.59419421435740905</v>
          </cell>
          <cell r="N935">
            <v>39962.642596042708</v>
          </cell>
          <cell r="O935">
            <v>27292.543722559003</v>
          </cell>
          <cell r="P935">
            <v>1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 t="str">
            <v>404HP</v>
          </cell>
          <cell r="AE935" t="str">
            <v>CAGW</v>
          </cell>
          <cell r="AF935" t="str">
            <v>404HP.CAGW</v>
          </cell>
        </row>
        <row r="936">
          <cell r="A936">
            <v>936</v>
          </cell>
          <cell r="F936">
            <v>67255.186318601714</v>
          </cell>
          <cell r="G936">
            <v>67255.186318601714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N936">
            <v>39962.642596042708</v>
          </cell>
          <cell r="O936">
            <v>27292.543722559003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 t="str">
            <v>404HP</v>
          </cell>
          <cell r="AE936" t="str">
            <v>NA</v>
          </cell>
          <cell r="AF936" t="str">
            <v>404HP.NA1</v>
          </cell>
        </row>
        <row r="937">
          <cell r="A937">
            <v>937</v>
          </cell>
          <cell r="AD937" t="str">
            <v>404HP</v>
          </cell>
          <cell r="AE937" t="str">
            <v>NA</v>
          </cell>
          <cell r="AF937" t="str">
            <v>404HP.NA2</v>
          </cell>
        </row>
        <row r="938">
          <cell r="A938">
            <v>938</v>
          </cell>
          <cell r="B938" t="str">
            <v>Total Amortization of Limited Term Plant</v>
          </cell>
          <cell r="F938">
            <v>2860146.0748901917</v>
          </cell>
          <cell r="G938">
            <v>1591559.5652452647</v>
          </cell>
          <cell r="H938">
            <v>259488.69823683376</v>
          </cell>
          <cell r="I938">
            <v>270393.99479346728</v>
          </cell>
          <cell r="J938">
            <v>738703.81661462539</v>
          </cell>
          <cell r="K938">
            <v>0</v>
          </cell>
          <cell r="N938">
            <v>945695.48547392967</v>
          </cell>
          <cell r="O938">
            <v>645864.07977133512</v>
          </cell>
          <cell r="Q938">
            <v>259488.69823683376</v>
          </cell>
          <cell r="R938">
            <v>0</v>
          </cell>
          <cell r="T938">
            <v>40401.802149206967</v>
          </cell>
          <cell r="U938">
            <v>126646.45222132232</v>
          </cell>
          <cell r="V938">
            <v>60960.164936067929</v>
          </cell>
          <cell r="W938">
            <v>7142.928272855017</v>
          </cell>
          <cell r="X938">
            <v>35242.647214015036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 t="str">
            <v>Total Amortization of Limited Term Plant</v>
          </cell>
          <cell r="AE938" t="str">
            <v>NA</v>
          </cell>
          <cell r="AF938" t="str">
            <v>Total Amortization of Limited Term Plant.NA</v>
          </cell>
        </row>
        <row r="939">
          <cell r="A939">
            <v>939</v>
          </cell>
          <cell r="AD939" t="str">
            <v>Total Amortization of Limited Term Plant</v>
          </cell>
          <cell r="AE939" t="str">
            <v>NA</v>
          </cell>
          <cell r="AF939" t="str">
            <v>Total Amortization of Limited Term Plant.NA1</v>
          </cell>
        </row>
        <row r="940">
          <cell r="A940">
            <v>940</v>
          </cell>
          <cell r="AD940" t="str">
            <v>Total Amortization of Limited Term Plant</v>
          </cell>
          <cell r="AE940" t="str">
            <v>NA</v>
          </cell>
          <cell r="AF940" t="str">
            <v>Total Amortization of Limited Term Plant.NA2</v>
          </cell>
        </row>
        <row r="941">
          <cell r="A941">
            <v>941</v>
          </cell>
          <cell r="B941">
            <v>405</v>
          </cell>
          <cell r="C941" t="str">
            <v>Amortization of Other Electric Plant</v>
          </cell>
          <cell r="AD941">
            <v>405</v>
          </cell>
          <cell r="AE941" t="str">
            <v>NA</v>
          </cell>
          <cell r="AF941" t="str">
            <v>405.NA</v>
          </cell>
        </row>
        <row r="942">
          <cell r="A942">
            <v>942</v>
          </cell>
          <cell r="D942" t="str">
            <v>S</v>
          </cell>
          <cell r="E942" t="str">
            <v>GP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M942">
            <v>0.59419421435740905</v>
          </cell>
          <cell r="N942">
            <v>0</v>
          </cell>
          <cell r="O942">
            <v>0</v>
          </cell>
          <cell r="P942">
            <v>1</v>
          </cell>
          <cell r="Q942">
            <v>0</v>
          </cell>
          <cell r="R942">
            <v>0</v>
          </cell>
          <cell r="S942" t="str">
            <v>PLNT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D942">
            <v>405</v>
          </cell>
          <cell r="AE942" t="str">
            <v>S</v>
          </cell>
          <cell r="AF942" t="str">
            <v>405.S</v>
          </cell>
        </row>
        <row r="943">
          <cell r="A943">
            <v>943</v>
          </cell>
          <cell r="AD943">
            <v>405</v>
          </cell>
          <cell r="AE943" t="str">
            <v>NA</v>
          </cell>
          <cell r="AF943" t="str">
            <v>405.NA1</v>
          </cell>
        </row>
        <row r="944">
          <cell r="A944">
            <v>944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405</v>
          </cell>
          <cell r="AE944" t="str">
            <v>NA</v>
          </cell>
          <cell r="AF944" t="str">
            <v>405.NA2</v>
          </cell>
        </row>
        <row r="945">
          <cell r="A945">
            <v>945</v>
          </cell>
          <cell r="AD945">
            <v>405</v>
          </cell>
          <cell r="AE945" t="str">
            <v>NA</v>
          </cell>
          <cell r="AF945" t="str">
            <v>405.NA3</v>
          </cell>
        </row>
        <row r="946">
          <cell r="A946">
            <v>946</v>
          </cell>
          <cell r="B946">
            <v>406</v>
          </cell>
          <cell r="C946" t="str">
            <v>Amortization of Plant Acquisition Adj</v>
          </cell>
          <cell r="AD946">
            <v>406</v>
          </cell>
          <cell r="AE946" t="str">
            <v>NA</v>
          </cell>
          <cell r="AF946" t="str">
            <v>406.NA</v>
          </cell>
        </row>
        <row r="947">
          <cell r="A947">
            <v>947</v>
          </cell>
          <cell r="D947" t="str">
            <v>S</v>
          </cell>
          <cell r="E947" t="str">
            <v>P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0.59419421435740905</v>
          </cell>
          <cell r="N947">
            <v>0</v>
          </cell>
          <cell r="O947">
            <v>0</v>
          </cell>
          <cell r="P947">
            <v>1</v>
          </cell>
          <cell r="Q947">
            <v>0</v>
          </cell>
          <cell r="R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406</v>
          </cell>
          <cell r="AE947" t="str">
            <v>S</v>
          </cell>
          <cell r="AF947" t="str">
            <v>406.S</v>
          </cell>
        </row>
        <row r="948">
          <cell r="A948">
            <v>948</v>
          </cell>
          <cell r="D948" t="str">
            <v>DGP</v>
          </cell>
          <cell r="E948" t="str">
            <v>P</v>
          </cell>
          <cell r="F948">
            <v>0</v>
          </cell>
          <cell r="AD948">
            <v>406</v>
          </cell>
          <cell r="AE948" t="str">
            <v>DGP</v>
          </cell>
          <cell r="AF948" t="str">
            <v>406.DGP</v>
          </cell>
        </row>
        <row r="949">
          <cell r="A949">
            <v>949</v>
          </cell>
          <cell r="D949" t="str">
            <v>DGU</v>
          </cell>
          <cell r="E949" t="str">
            <v>P</v>
          </cell>
          <cell r="F949">
            <v>0</v>
          </cell>
          <cell r="AD949">
            <v>406</v>
          </cell>
          <cell r="AE949" t="str">
            <v>DGU</v>
          </cell>
          <cell r="AF949" t="str">
            <v>406.DGU</v>
          </cell>
        </row>
        <row r="950">
          <cell r="A950">
            <v>950</v>
          </cell>
          <cell r="D950" t="str">
            <v>SG/CAGW/CAGE</v>
          </cell>
          <cell r="E950" t="str">
            <v>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0.59419421435740905</v>
          </cell>
          <cell r="N950">
            <v>0</v>
          </cell>
          <cell r="O950">
            <v>0</v>
          </cell>
          <cell r="P950">
            <v>1</v>
          </cell>
          <cell r="Q950">
            <v>0</v>
          </cell>
          <cell r="R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406</v>
          </cell>
          <cell r="AE950" t="str">
            <v>SG/CAGW/CAGE</v>
          </cell>
          <cell r="AF950" t="str">
            <v>406.SG/CAGW/CAGE</v>
          </cell>
        </row>
        <row r="951">
          <cell r="A951">
            <v>951</v>
          </cell>
          <cell r="D951" t="str">
            <v>SO</v>
          </cell>
          <cell r="E951" t="str">
            <v>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0.59419421435740905</v>
          </cell>
          <cell r="N951">
            <v>0</v>
          </cell>
          <cell r="O951">
            <v>0</v>
          </cell>
          <cell r="P951">
            <v>1</v>
          </cell>
          <cell r="Q951">
            <v>0</v>
          </cell>
          <cell r="R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406</v>
          </cell>
          <cell r="AE951" t="str">
            <v>SO</v>
          </cell>
          <cell r="AF951" t="str">
            <v>406.SO</v>
          </cell>
        </row>
        <row r="952">
          <cell r="A952">
            <v>952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406</v>
          </cell>
          <cell r="AE952" t="str">
            <v>NA</v>
          </cell>
          <cell r="AF952" t="str">
            <v>406.NA1</v>
          </cell>
        </row>
        <row r="953">
          <cell r="A953">
            <v>953</v>
          </cell>
          <cell r="AD953">
            <v>406</v>
          </cell>
          <cell r="AE953" t="str">
            <v>NA</v>
          </cell>
          <cell r="AF953" t="str">
            <v>406.NA2</v>
          </cell>
        </row>
        <row r="954">
          <cell r="A954">
            <v>954</v>
          </cell>
          <cell r="B954">
            <v>407</v>
          </cell>
          <cell r="C954" t="str">
            <v>Amort of Prop Losses, Unrec Plant, etc</v>
          </cell>
          <cell r="AD954">
            <v>407</v>
          </cell>
          <cell r="AE954" t="str">
            <v>NA</v>
          </cell>
          <cell r="AF954" t="str">
            <v>407.NA</v>
          </cell>
        </row>
        <row r="955">
          <cell r="A955">
            <v>955</v>
          </cell>
          <cell r="D955" t="str">
            <v>S</v>
          </cell>
          <cell r="E955" t="str">
            <v>DPW</v>
          </cell>
          <cell r="F955">
            <v>574016.59356392443</v>
          </cell>
          <cell r="G955">
            <v>0</v>
          </cell>
          <cell r="H955">
            <v>0</v>
          </cell>
          <cell r="I955">
            <v>574016.59356392443</v>
          </cell>
          <cell r="J955">
            <v>0</v>
          </cell>
          <cell r="K955">
            <v>0</v>
          </cell>
          <cell r="M955">
            <v>0.59419421435740905</v>
          </cell>
          <cell r="N955">
            <v>0</v>
          </cell>
          <cell r="O955">
            <v>0</v>
          </cell>
          <cell r="P955">
            <v>1</v>
          </cell>
          <cell r="Q955">
            <v>0</v>
          </cell>
          <cell r="R955">
            <v>0</v>
          </cell>
          <cell r="S955" t="str">
            <v>PLNT</v>
          </cell>
          <cell r="T955">
            <v>85768.56472439575</v>
          </cell>
          <cell r="U955">
            <v>268856.4335408684</v>
          </cell>
          <cell r="V955">
            <v>129411.69883016245</v>
          </cell>
          <cell r="W955">
            <v>15163.647988511993</v>
          </cell>
          <cell r="X955">
            <v>74816.248479985821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407</v>
          </cell>
          <cell r="AE955" t="str">
            <v>S</v>
          </cell>
          <cell r="AF955" t="str">
            <v>407.S</v>
          </cell>
        </row>
        <row r="956">
          <cell r="A956">
            <v>956</v>
          </cell>
          <cell r="D956" t="str">
            <v>SO</v>
          </cell>
          <cell r="E956" t="str">
            <v>GP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M956">
            <v>0.59419421435740905</v>
          </cell>
          <cell r="N956">
            <v>0</v>
          </cell>
          <cell r="O956">
            <v>0</v>
          </cell>
          <cell r="P956">
            <v>1</v>
          </cell>
          <cell r="Q956">
            <v>0</v>
          </cell>
          <cell r="R956">
            <v>0</v>
          </cell>
          <cell r="S956" t="str">
            <v>PLNT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D956">
            <v>407</v>
          </cell>
          <cell r="AE956" t="str">
            <v>SO</v>
          </cell>
          <cell r="AF956" t="str">
            <v>407.SO</v>
          </cell>
        </row>
        <row r="957">
          <cell r="A957">
            <v>957</v>
          </cell>
          <cell r="D957" t="str">
            <v>JBG</v>
          </cell>
          <cell r="E957" t="str">
            <v>P</v>
          </cell>
          <cell r="F957">
            <v>3526245.1742366794</v>
          </cell>
          <cell r="G957">
            <v>3526245.1742366794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M957">
            <v>0.59419421435740905</v>
          </cell>
          <cell r="N957">
            <v>2095274.4809371687</v>
          </cell>
          <cell r="O957">
            <v>1430970.6932995107</v>
          </cell>
          <cell r="P957">
            <v>1</v>
          </cell>
          <cell r="Q957">
            <v>0</v>
          </cell>
          <cell r="R957">
            <v>0</v>
          </cell>
          <cell r="S957" t="str">
            <v>PLNT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407</v>
          </cell>
          <cell r="AE957" t="str">
            <v>JBG</v>
          </cell>
          <cell r="AF957" t="str">
            <v>407.JBG</v>
          </cell>
        </row>
        <row r="958">
          <cell r="A958">
            <v>958</v>
          </cell>
          <cell r="D958" t="str">
            <v>SE</v>
          </cell>
          <cell r="E958" t="str">
            <v>P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M958">
            <v>0.59419421435740905</v>
          </cell>
          <cell r="N958">
            <v>0</v>
          </cell>
          <cell r="O958">
            <v>0</v>
          </cell>
          <cell r="P958">
            <v>1</v>
          </cell>
          <cell r="Q958">
            <v>0</v>
          </cell>
          <cell r="R958">
            <v>0</v>
          </cell>
          <cell r="S958" t="str">
            <v>PLNT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D958">
            <v>407</v>
          </cell>
          <cell r="AE958" t="str">
            <v>SE</v>
          </cell>
          <cell r="AF958" t="str">
            <v>407.SE</v>
          </cell>
        </row>
        <row r="959">
          <cell r="A959">
            <v>959</v>
          </cell>
          <cell r="D959" t="str">
            <v>CAGW</v>
          </cell>
          <cell r="E959" t="str">
            <v>P</v>
          </cell>
          <cell r="F959">
            <v>174337.46008776425</v>
          </cell>
          <cell r="G959">
            <v>174337.46008776425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M959">
            <v>0.59419421435740905</v>
          </cell>
          <cell r="N959">
            <v>103590.31012991523</v>
          </cell>
          <cell r="O959">
            <v>70747.149957849018</v>
          </cell>
          <cell r="P959">
            <v>1</v>
          </cell>
          <cell r="Q959">
            <v>0</v>
          </cell>
          <cell r="R959">
            <v>0</v>
          </cell>
          <cell r="S959" t="str">
            <v>PLNT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D959">
            <v>407</v>
          </cell>
          <cell r="AE959" t="str">
            <v>CAGW</v>
          </cell>
          <cell r="AF959" t="str">
            <v>407.CAGW</v>
          </cell>
        </row>
        <row r="960">
          <cell r="A960">
            <v>960</v>
          </cell>
          <cell r="D960" t="str">
            <v>TROJP</v>
          </cell>
          <cell r="E960" t="str">
            <v>P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0.59419421435740905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407</v>
          </cell>
          <cell r="AE960" t="str">
            <v>TROJP</v>
          </cell>
          <cell r="AF960" t="str">
            <v>407.TROJP</v>
          </cell>
        </row>
        <row r="961">
          <cell r="A961">
            <v>961</v>
          </cell>
          <cell r="F961">
            <v>4274599.2278883681</v>
          </cell>
          <cell r="G961">
            <v>3700582.6343244435</v>
          </cell>
          <cell r="H961">
            <v>0</v>
          </cell>
          <cell r="I961">
            <v>574016.59356392443</v>
          </cell>
          <cell r="J961">
            <v>0</v>
          </cell>
          <cell r="K961">
            <v>0</v>
          </cell>
          <cell r="N961">
            <v>2198864.7910670838</v>
          </cell>
          <cell r="O961">
            <v>1501717.8432573597</v>
          </cell>
          <cell r="Q961">
            <v>0</v>
          </cell>
          <cell r="R961">
            <v>0</v>
          </cell>
          <cell r="T961">
            <v>85768.56472439575</v>
          </cell>
          <cell r="U961">
            <v>268856.4335408684</v>
          </cell>
          <cell r="V961">
            <v>129411.69883016245</v>
          </cell>
          <cell r="W961">
            <v>15163.647988511993</v>
          </cell>
          <cell r="X961">
            <v>74816.248479985821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D961">
            <v>407</v>
          </cell>
          <cell r="AE961" t="str">
            <v>NA</v>
          </cell>
          <cell r="AF961" t="str">
            <v>407.NA1</v>
          </cell>
        </row>
        <row r="962">
          <cell r="A962">
            <v>962</v>
          </cell>
          <cell r="AD962">
            <v>407</v>
          </cell>
          <cell r="AE962" t="str">
            <v>NA</v>
          </cell>
          <cell r="AF962" t="str">
            <v>407.NA2</v>
          </cell>
        </row>
        <row r="963">
          <cell r="A963">
            <v>963</v>
          </cell>
          <cell r="B963" t="str">
            <v>TOTAL AMORTIZATION EXPENSE</v>
          </cell>
          <cell r="F963">
            <v>7134745.3027785597</v>
          </cell>
          <cell r="G963">
            <v>5292142.1995697077</v>
          </cell>
          <cell r="H963">
            <v>259488.69823683376</v>
          </cell>
          <cell r="I963">
            <v>844410.58835739177</v>
          </cell>
          <cell r="J963">
            <v>738703.81661462539</v>
          </cell>
          <cell r="K963">
            <v>0</v>
          </cell>
          <cell r="N963">
            <v>3144560.2765410133</v>
          </cell>
          <cell r="O963">
            <v>2147581.9230286949</v>
          </cell>
          <cell r="Q963">
            <v>259488.69823683376</v>
          </cell>
          <cell r="R963">
            <v>0</v>
          </cell>
          <cell r="T963">
            <v>126170.36687360272</v>
          </cell>
          <cell r="U963">
            <v>395502.88576219074</v>
          </cell>
          <cell r="V963">
            <v>190371.86376623038</v>
          </cell>
          <cell r="W963">
            <v>22306.576261367009</v>
          </cell>
          <cell r="X963">
            <v>110058.89569400085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D963" t="str">
            <v>TOTAL AMORTIZATION EXPENSE</v>
          </cell>
          <cell r="AE963" t="str">
            <v>NA</v>
          </cell>
          <cell r="AF963" t="str">
            <v>TOTAL AMORTIZATION EXPENSE.NA</v>
          </cell>
        </row>
        <row r="964">
          <cell r="A964">
            <v>964</v>
          </cell>
          <cell r="AD964" t="str">
            <v>TOTAL AMORTIZATION EXPENSE</v>
          </cell>
          <cell r="AE964" t="str">
            <v>NA</v>
          </cell>
          <cell r="AF964" t="str">
            <v>TOTAL AMORTIZATION EXPENSE.NA1</v>
          </cell>
        </row>
        <row r="965">
          <cell r="A965">
            <v>965</v>
          </cell>
          <cell r="B965">
            <v>408</v>
          </cell>
          <cell r="C965" t="str">
            <v>Taxes Other Than Income</v>
          </cell>
          <cell r="AD965">
            <v>408</v>
          </cell>
          <cell r="AE965" t="str">
            <v>NA</v>
          </cell>
          <cell r="AF965" t="str">
            <v>408.NA</v>
          </cell>
        </row>
        <row r="966">
          <cell r="A966">
            <v>966</v>
          </cell>
          <cell r="D966" t="str">
            <v>S</v>
          </cell>
          <cell r="E966" t="str">
            <v>GP</v>
          </cell>
          <cell r="F966">
            <v>12322409.84</v>
          </cell>
          <cell r="G966">
            <v>5823237.3448975496</v>
          </cell>
          <cell r="H966">
            <v>3056016.6098474814</v>
          </cell>
          <cell r="I966">
            <v>3358951.9171525366</v>
          </cell>
          <cell r="J966">
            <v>84203.968102432045</v>
          </cell>
          <cell r="K966">
            <v>0</v>
          </cell>
          <cell r="M966">
            <v>0.59419421435740905</v>
          </cell>
          <cell r="N966">
            <v>3460133.939168124</v>
          </cell>
          <cell r="O966">
            <v>2363103.4057294256</v>
          </cell>
          <cell r="P966">
            <v>1</v>
          </cell>
          <cell r="Q966">
            <v>3056016.6098474814</v>
          </cell>
          <cell r="R966">
            <v>0</v>
          </cell>
          <cell r="S966" t="str">
            <v>PLNT</v>
          </cell>
          <cell r="T966">
            <v>501888.77489366091</v>
          </cell>
          <cell r="U966">
            <v>1573257.3639969588</v>
          </cell>
          <cell r="V966">
            <v>757273.70734820503</v>
          </cell>
          <cell r="W966">
            <v>88732.564621176556</v>
          </cell>
          <cell r="X966">
            <v>437799.50629253511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D966">
            <v>408</v>
          </cell>
          <cell r="AE966" t="str">
            <v>S</v>
          </cell>
          <cell r="AF966" t="str">
            <v>408.S</v>
          </cell>
        </row>
        <row r="967">
          <cell r="A967">
            <v>967</v>
          </cell>
          <cell r="D967" t="str">
            <v>GPS</v>
          </cell>
          <cell r="E967" t="str">
            <v>GP</v>
          </cell>
          <cell r="F967">
            <v>12114911.3894525</v>
          </cell>
          <cell r="G967">
            <v>5725179.193778906</v>
          </cell>
          <cell r="H967">
            <v>3004556.0011171703</v>
          </cell>
          <cell r="I967">
            <v>3302390.1465798491</v>
          </cell>
          <cell r="J967">
            <v>82786.047976574118</v>
          </cell>
          <cell r="K967">
            <v>0</v>
          </cell>
          <cell r="M967">
            <v>0.59419421435740905</v>
          </cell>
          <cell r="N967">
            <v>3401868.3531028414</v>
          </cell>
          <cell r="O967">
            <v>2323310.8406760646</v>
          </cell>
          <cell r="P967">
            <v>1</v>
          </cell>
          <cell r="Q967">
            <v>3004556.0011171703</v>
          </cell>
          <cell r="R967">
            <v>0</v>
          </cell>
          <cell r="S967" t="str">
            <v>PLNT</v>
          </cell>
          <cell r="T967">
            <v>493437.41314787936</v>
          </cell>
          <cell r="U967">
            <v>1546765.1056172608</v>
          </cell>
          <cell r="V967">
            <v>744521.88989079162</v>
          </cell>
          <cell r="W967">
            <v>87238.386947241961</v>
          </cell>
          <cell r="X967">
            <v>430427.35097667511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408</v>
          </cell>
          <cell r="AE967" t="str">
            <v>GPS</v>
          </cell>
          <cell r="AF967" t="str">
            <v>408.GPS</v>
          </cell>
        </row>
        <row r="968">
          <cell r="A968">
            <v>968</v>
          </cell>
          <cell r="D968" t="str">
            <v>SO</v>
          </cell>
          <cell r="E968" t="str">
            <v>GP</v>
          </cell>
          <cell r="F968">
            <v>-12696.726872602581</v>
          </cell>
          <cell r="G968">
            <v>-6000.1294424162434</v>
          </cell>
          <cell r="H968">
            <v>-3148.8490252463762</v>
          </cell>
          <cell r="I968">
            <v>-3460.9865784411022</v>
          </cell>
          <cell r="J968">
            <v>-86.761826498859534</v>
          </cell>
          <cell r="K968">
            <v>0</v>
          </cell>
          <cell r="M968">
            <v>0.59419421435740905</v>
          </cell>
          <cell r="N968">
            <v>-3565.2422000792785</v>
          </cell>
          <cell r="O968">
            <v>-2434.8872423369648</v>
          </cell>
          <cell r="P968">
            <v>1</v>
          </cell>
          <cell r="Q968">
            <v>-3148.8490252463762</v>
          </cell>
          <cell r="R968">
            <v>0</v>
          </cell>
          <cell r="S968" t="str">
            <v>PLNT</v>
          </cell>
          <cell r="T968">
            <v>-517.13461717240955</v>
          </cell>
          <cell r="U968">
            <v>-1621.0480993854112</v>
          </cell>
          <cell r="V968">
            <v>-780.27736090973394</v>
          </cell>
          <cell r="W968">
            <v>-91.427987895964804</v>
          </cell>
          <cell r="X968">
            <v>-451.09851307758271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408</v>
          </cell>
          <cell r="AE968" t="str">
            <v>SO</v>
          </cell>
          <cell r="AF968" t="str">
            <v>408.SO</v>
          </cell>
        </row>
        <row r="969">
          <cell r="A969">
            <v>969</v>
          </cell>
          <cell r="D969" t="str">
            <v>SE</v>
          </cell>
          <cell r="E969" t="str">
            <v>P</v>
          </cell>
          <cell r="F969">
            <v>29510.352417666239</v>
          </cell>
          <cell r="G969">
            <v>29510.352417666239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M969">
            <v>0.59419421435740905</v>
          </cell>
          <cell r="N969">
            <v>17534.880670225459</v>
          </cell>
          <cell r="O969">
            <v>11975.471747440783</v>
          </cell>
          <cell r="P969">
            <v>1</v>
          </cell>
          <cell r="Q969">
            <v>0</v>
          </cell>
          <cell r="R969">
            <v>0</v>
          </cell>
          <cell r="S969" t="str">
            <v>PLNT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408</v>
          </cell>
          <cell r="AE969" t="str">
            <v>SE</v>
          </cell>
          <cell r="AF969" t="str">
            <v>408.SE</v>
          </cell>
        </row>
        <row r="970">
          <cell r="A970">
            <v>970</v>
          </cell>
          <cell r="D970" t="str">
            <v>SG</v>
          </cell>
          <cell r="E970" t="str">
            <v>P</v>
          </cell>
          <cell r="F970">
            <v>180412.60365467297</v>
          </cell>
          <cell r="G970">
            <v>180412.60365467297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M970">
            <v>0.59419421435740905</v>
          </cell>
          <cell r="N970">
            <v>107200.12528876303</v>
          </cell>
          <cell r="O970">
            <v>73212.478365909948</v>
          </cell>
          <cell r="P970">
            <v>1</v>
          </cell>
          <cell r="Q970">
            <v>0</v>
          </cell>
          <cell r="R970">
            <v>0</v>
          </cell>
          <cell r="S970" t="str">
            <v>PLNT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D970">
            <v>408</v>
          </cell>
          <cell r="AE970" t="str">
            <v>SG</v>
          </cell>
          <cell r="AF970" t="str">
            <v>408.SG</v>
          </cell>
        </row>
        <row r="971">
          <cell r="A971">
            <v>971</v>
          </cell>
          <cell r="D971" t="str">
            <v>OPRV-ID</v>
          </cell>
          <cell r="E971" t="str">
            <v>COMMON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M971">
            <v>0.59419421435740905</v>
          </cell>
          <cell r="N971">
            <v>0</v>
          </cell>
          <cell r="O971">
            <v>0</v>
          </cell>
          <cell r="P971">
            <v>1</v>
          </cell>
          <cell r="Q971">
            <v>0</v>
          </cell>
          <cell r="R971">
            <v>0</v>
          </cell>
          <cell r="S971" t="str">
            <v>PLNT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D971">
            <v>408</v>
          </cell>
          <cell r="AE971" t="str">
            <v>OPRV-ID</v>
          </cell>
          <cell r="AF971" t="str">
            <v>408.OPRV-ID</v>
          </cell>
        </row>
        <row r="972">
          <cell r="A972">
            <v>972</v>
          </cell>
          <cell r="D972" t="str">
            <v>EXCTAX</v>
          </cell>
          <cell r="E972" t="str">
            <v>GP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M972">
            <v>0.59419421435740905</v>
          </cell>
          <cell r="N972">
            <v>0</v>
          </cell>
          <cell r="O972">
            <v>0</v>
          </cell>
          <cell r="P972">
            <v>1</v>
          </cell>
          <cell r="Q972">
            <v>0</v>
          </cell>
          <cell r="R972">
            <v>0</v>
          </cell>
          <cell r="S972" t="str">
            <v>PLNT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408</v>
          </cell>
          <cell r="AE972" t="str">
            <v>EXCTAX</v>
          </cell>
          <cell r="AF972" t="str">
            <v>408.EXCTAX</v>
          </cell>
        </row>
        <row r="973">
          <cell r="A973">
            <v>973</v>
          </cell>
          <cell r="D973" t="str">
            <v>DGP</v>
          </cell>
          <cell r="E973" t="str">
            <v>GP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M973">
            <v>0.59419421435740905</v>
          </cell>
          <cell r="N973">
            <v>0</v>
          </cell>
          <cell r="O973">
            <v>0</v>
          </cell>
          <cell r="P973">
            <v>1</v>
          </cell>
          <cell r="Q973">
            <v>0</v>
          </cell>
          <cell r="R973">
            <v>0</v>
          </cell>
          <cell r="S973" t="str">
            <v>PLNT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408</v>
          </cell>
          <cell r="AE973" t="str">
            <v>DGP</v>
          </cell>
          <cell r="AF973" t="str">
            <v>408.DGP</v>
          </cell>
        </row>
        <row r="974">
          <cell r="A974">
            <v>974</v>
          </cell>
          <cell r="F974">
            <v>24634547.458652232</v>
          </cell>
          <cell r="G974">
            <v>11752339.365306379</v>
          </cell>
          <cell r="H974">
            <v>6057423.7619394055</v>
          </cell>
          <cell r="I974">
            <v>6657881.0771539444</v>
          </cell>
          <cell r="J974">
            <v>166903.25425250729</v>
          </cell>
          <cell r="K974">
            <v>0</v>
          </cell>
          <cell r="N974">
            <v>6983172.0560298748</v>
          </cell>
          <cell r="O974">
            <v>4769167.3092765044</v>
          </cell>
          <cell r="Q974">
            <v>6057423.7619394055</v>
          </cell>
          <cell r="R974">
            <v>0</v>
          </cell>
          <cell r="T974">
            <v>994809.05342436791</v>
          </cell>
          <cell r="U974">
            <v>3118401.4215148343</v>
          </cell>
          <cell r="V974">
            <v>1501015.3198780869</v>
          </cell>
          <cell r="W974">
            <v>175879.52358052257</v>
          </cell>
          <cell r="X974">
            <v>867775.75875613268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D974">
            <v>408</v>
          </cell>
          <cell r="AE974" t="str">
            <v>NA</v>
          </cell>
          <cell r="AF974" t="str">
            <v>408.NA1</v>
          </cell>
        </row>
        <row r="975">
          <cell r="A975">
            <v>975</v>
          </cell>
          <cell r="AD975">
            <v>408</v>
          </cell>
          <cell r="AE975" t="str">
            <v>NA</v>
          </cell>
          <cell r="AF975" t="str">
            <v>408.NA2</v>
          </cell>
        </row>
        <row r="976">
          <cell r="A976">
            <v>976</v>
          </cell>
          <cell r="B976">
            <v>41140</v>
          </cell>
          <cell r="C976" t="str">
            <v>Deferred Investment Tax Credit - Fed</v>
          </cell>
          <cell r="AD976">
            <v>41140</v>
          </cell>
          <cell r="AE976" t="str">
            <v>NA</v>
          </cell>
          <cell r="AF976" t="str">
            <v>41140.NA</v>
          </cell>
        </row>
        <row r="977">
          <cell r="A977">
            <v>977</v>
          </cell>
          <cell r="D977" t="str">
            <v>CAGE</v>
          </cell>
          <cell r="E977" t="str">
            <v>PTD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M977">
            <v>0.59419421435740905</v>
          </cell>
          <cell r="N977">
            <v>0</v>
          </cell>
          <cell r="O977">
            <v>0</v>
          </cell>
          <cell r="P977">
            <v>1</v>
          </cell>
          <cell r="Q977">
            <v>0</v>
          </cell>
          <cell r="R977">
            <v>0</v>
          </cell>
          <cell r="S977" t="str">
            <v>PLNT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41140</v>
          </cell>
          <cell r="AE977" t="str">
            <v>CAGE</v>
          </cell>
          <cell r="AF977" t="str">
            <v>41140.CAGE</v>
          </cell>
        </row>
        <row r="978">
          <cell r="A978">
            <v>978</v>
          </cell>
          <cell r="AD978">
            <v>41140</v>
          </cell>
          <cell r="AE978" t="str">
            <v>NA</v>
          </cell>
          <cell r="AF978" t="str">
            <v>41140.NA1</v>
          </cell>
        </row>
        <row r="979">
          <cell r="A979">
            <v>979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N979">
            <v>0</v>
          </cell>
          <cell r="O979">
            <v>0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D979">
            <v>41140</v>
          </cell>
          <cell r="AE979" t="str">
            <v>NA</v>
          </cell>
          <cell r="AF979" t="str">
            <v>41140.NA2</v>
          </cell>
        </row>
        <row r="980">
          <cell r="A980">
            <v>980</v>
          </cell>
          <cell r="AD980">
            <v>41140</v>
          </cell>
          <cell r="AE980" t="str">
            <v>NA</v>
          </cell>
          <cell r="AF980" t="str">
            <v>41140.NA3</v>
          </cell>
        </row>
        <row r="981">
          <cell r="A981">
            <v>981</v>
          </cell>
          <cell r="B981">
            <v>41141</v>
          </cell>
          <cell r="C981" t="str">
            <v>Deferred Investment Tax Credit - Idaho</v>
          </cell>
          <cell r="AD981">
            <v>41141</v>
          </cell>
          <cell r="AE981" t="str">
            <v>NA</v>
          </cell>
          <cell r="AF981" t="str">
            <v>41141.NA</v>
          </cell>
        </row>
        <row r="982">
          <cell r="A982">
            <v>982</v>
          </cell>
          <cell r="D982" t="str">
            <v>CAGE</v>
          </cell>
          <cell r="E982" t="str">
            <v>PTD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M982">
            <v>0.59419421435740905</v>
          </cell>
          <cell r="N982">
            <v>0</v>
          </cell>
          <cell r="O982">
            <v>0</v>
          </cell>
          <cell r="P982">
            <v>1</v>
          </cell>
          <cell r="Q982">
            <v>0</v>
          </cell>
          <cell r="R982">
            <v>0</v>
          </cell>
          <cell r="S982" t="str">
            <v>PLNT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41141</v>
          </cell>
          <cell r="AE982" t="str">
            <v>CAGE</v>
          </cell>
          <cell r="AF982" t="str">
            <v>41141.CAGE</v>
          </cell>
        </row>
        <row r="983">
          <cell r="A983">
            <v>983</v>
          </cell>
          <cell r="AD983">
            <v>41141</v>
          </cell>
          <cell r="AE983" t="str">
            <v>NA</v>
          </cell>
          <cell r="AF983" t="str">
            <v>41141.NA1</v>
          </cell>
        </row>
        <row r="984">
          <cell r="A984">
            <v>984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D984">
            <v>41141</v>
          </cell>
          <cell r="AE984" t="str">
            <v>NA</v>
          </cell>
          <cell r="AF984" t="str">
            <v>41141.NA2</v>
          </cell>
        </row>
        <row r="985">
          <cell r="A985">
            <v>985</v>
          </cell>
          <cell r="AD985">
            <v>41141</v>
          </cell>
          <cell r="AE985" t="str">
            <v>NA</v>
          </cell>
          <cell r="AF985" t="str">
            <v>41141.NA3</v>
          </cell>
        </row>
        <row r="986">
          <cell r="A986">
            <v>986</v>
          </cell>
          <cell r="B986" t="str">
            <v>TOTAL DEFERRED ITC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 t="str">
            <v>TOTAL DEFERRED ITC</v>
          </cell>
          <cell r="AE986" t="str">
            <v>NA</v>
          </cell>
          <cell r="AF986" t="str">
            <v>TOTAL DEFERRED ITC.NA</v>
          </cell>
        </row>
        <row r="987">
          <cell r="A987">
            <v>987</v>
          </cell>
          <cell r="AD987" t="str">
            <v>TOTAL DEFERRED ITC</v>
          </cell>
          <cell r="AE987" t="str">
            <v>NA</v>
          </cell>
          <cell r="AF987" t="str">
            <v>TOTAL DEFERRED ITC.NA1</v>
          </cell>
        </row>
        <row r="988">
          <cell r="A988">
            <v>988</v>
          </cell>
          <cell r="B988">
            <v>427</v>
          </cell>
          <cell r="C988" t="str">
            <v>Interest on Long-Term Debt</v>
          </cell>
          <cell r="AD988">
            <v>427</v>
          </cell>
          <cell r="AE988" t="str">
            <v>NA</v>
          </cell>
          <cell r="AF988" t="str">
            <v>427.NA</v>
          </cell>
        </row>
        <row r="989">
          <cell r="A989">
            <v>989</v>
          </cell>
          <cell r="D989" t="str">
            <v>S</v>
          </cell>
          <cell r="E989" t="str">
            <v>GP</v>
          </cell>
          <cell r="F989">
            <v>5170152.6116125211</v>
          </cell>
          <cell r="G989">
            <v>2443274.1775095537</v>
          </cell>
          <cell r="H989">
            <v>1282222.5897117376</v>
          </cell>
          <cell r="I989">
            <v>1409326.1182057122</v>
          </cell>
          <cell r="J989">
            <v>35329.726185517495</v>
          </cell>
          <cell r="K989">
            <v>0</v>
          </cell>
          <cell r="M989">
            <v>0.59419421435740905</v>
          </cell>
          <cell r="N989">
            <v>1451779.3803650341</v>
          </cell>
          <cell r="O989">
            <v>991494.79714451963</v>
          </cell>
          <cell r="P989">
            <v>1</v>
          </cell>
          <cell r="Q989">
            <v>1282222.5897117376</v>
          </cell>
          <cell r="R989">
            <v>0</v>
          </cell>
          <cell r="S989" t="str">
            <v>PLNT</v>
          </cell>
          <cell r="T989">
            <v>210579.06642841134</v>
          </cell>
          <cell r="U989">
            <v>660096.58620537387</v>
          </cell>
          <cell r="V989">
            <v>317731.73320713197</v>
          </cell>
          <cell r="W989">
            <v>37229.803802017741</v>
          </cell>
          <cell r="X989">
            <v>183688.9285627772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D989">
            <v>427</v>
          </cell>
          <cell r="AE989" t="str">
            <v>S</v>
          </cell>
          <cell r="AF989" t="str">
            <v>427.S</v>
          </cell>
        </row>
        <row r="990">
          <cell r="A990">
            <v>990</v>
          </cell>
          <cell r="D990" t="str">
            <v>SNP</v>
          </cell>
          <cell r="E990" t="str">
            <v>GP</v>
          </cell>
          <cell r="F990">
            <v>21983354.026434023</v>
          </cell>
          <cell r="G990">
            <v>10388738.063011425</v>
          </cell>
          <cell r="H990">
            <v>5451977.0010295222</v>
          </cell>
          <cell r="I990">
            <v>5992417.8883286919</v>
          </cell>
          <cell r="J990">
            <v>150221.07406438296</v>
          </cell>
          <cell r="K990">
            <v>0</v>
          </cell>
          <cell r="M990">
            <v>0.59419421435740905</v>
          </cell>
          <cell r="N990">
            <v>6172928.0515159853</v>
          </cell>
          <cell r="O990">
            <v>4215810.0114954393</v>
          </cell>
          <cell r="P990">
            <v>1</v>
          </cell>
          <cell r="Q990">
            <v>5451977.0010295222</v>
          </cell>
          <cell r="R990">
            <v>0</v>
          </cell>
          <cell r="S990" t="str">
            <v>PLNT</v>
          </cell>
          <cell r="T990">
            <v>895376.6968994597</v>
          </cell>
          <cell r="U990">
            <v>2806713.4640475097</v>
          </cell>
          <cell r="V990">
            <v>1350987.0406603666</v>
          </cell>
          <cell r="W990">
            <v>158300.15452081076</v>
          </cell>
          <cell r="X990">
            <v>781040.53220054472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D990">
            <v>427</v>
          </cell>
          <cell r="AE990" t="str">
            <v>SNP</v>
          </cell>
          <cell r="AF990" t="str">
            <v>427.SNP</v>
          </cell>
        </row>
        <row r="991">
          <cell r="A991">
            <v>991</v>
          </cell>
          <cell r="F991">
            <v>27153506.638046544</v>
          </cell>
          <cell r="G991">
            <v>12832012.240520978</v>
          </cell>
          <cell r="H991">
            <v>6734199.59074126</v>
          </cell>
          <cell r="I991">
            <v>7401744.0065344041</v>
          </cell>
          <cell r="J991">
            <v>185550.80024990047</v>
          </cell>
          <cell r="K991">
            <v>0</v>
          </cell>
          <cell r="N991">
            <v>7624707.4318810198</v>
          </cell>
          <cell r="O991">
            <v>5207304.8086399585</v>
          </cell>
          <cell r="Q991">
            <v>6734199.59074126</v>
          </cell>
          <cell r="R991">
            <v>0</v>
          </cell>
          <cell r="T991">
            <v>1105955.763327871</v>
          </cell>
          <cell r="U991">
            <v>3466810.0502528837</v>
          </cell>
          <cell r="V991">
            <v>1668718.7738674986</v>
          </cell>
          <cell r="W991">
            <v>195529.95832282849</v>
          </cell>
          <cell r="X991">
            <v>964729.46076332196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427</v>
          </cell>
          <cell r="AE991" t="str">
            <v>NA</v>
          </cell>
          <cell r="AF991" t="str">
            <v>427.NA1</v>
          </cell>
        </row>
        <row r="992">
          <cell r="A992">
            <v>992</v>
          </cell>
          <cell r="AD992">
            <v>427</v>
          </cell>
          <cell r="AE992" t="str">
            <v>NA</v>
          </cell>
          <cell r="AF992" t="str">
            <v>427.NA2</v>
          </cell>
        </row>
        <row r="993">
          <cell r="A993">
            <v>993</v>
          </cell>
          <cell r="B993">
            <v>428</v>
          </cell>
          <cell r="C993" t="str">
            <v>Amortization of Debt Disc &amp; Exp</v>
          </cell>
          <cell r="AD993">
            <v>428</v>
          </cell>
          <cell r="AE993" t="str">
            <v>NA</v>
          </cell>
          <cell r="AF993" t="str">
            <v>428.NA</v>
          </cell>
        </row>
        <row r="994">
          <cell r="A994">
            <v>994</v>
          </cell>
          <cell r="D994" t="str">
            <v>SNP</v>
          </cell>
          <cell r="E994" t="str">
            <v>GP</v>
          </cell>
          <cell r="F994">
            <v>271598.15647054726</v>
          </cell>
          <cell r="G994">
            <v>128349.93707404711</v>
          </cell>
          <cell r="H994">
            <v>67357.642551673765</v>
          </cell>
          <cell r="I994">
            <v>74034.637722440762</v>
          </cell>
          <cell r="J994">
            <v>1855.9391223856021</v>
          </cell>
          <cell r="K994">
            <v>0</v>
          </cell>
          <cell r="M994">
            <v>0.59419421435740905</v>
          </cell>
          <cell r="N994">
            <v>76264.790022536312</v>
          </cell>
          <cell r="O994">
            <v>52085.147051510794</v>
          </cell>
          <cell r="P994">
            <v>1</v>
          </cell>
          <cell r="Q994">
            <v>67357.642551673765</v>
          </cell>
          <cell r="R994">
            <v>0</v>
          </cell>
          <cell r="S994" t="str">
            <v>PLNT</v>
          </cell>
          <cell r="T994">
            <v>11062.127277401103</v>
          </cell>
          <cell r="U994">
            <v>34676.155497461259</v>
          </cell>
          <cell r="V994">
            <v>16691.064940215394</v>
          </cell>
          <cell r="W994">
            <v>1955.7538892908026</v>
          </cell>
          <cell r="X994">
            <v>9649.5361180722011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D994">
            <v>428</v>
          </cell>
          <cell r="AE994" t="str">
            <v>SNP</v>
          </cell>
          <cell r="AF994" t="str">
            <v>428.SNP</v>
          </cell>
        </row>
        <row r="995">
          <cell r="A995">
            <v>995</v>
          </cell>
          <cell r="F995">
            <v>271598.15647054726</v>
          </cell>
          <cell r="G995">
            <v>128349.93707404711</v>
          </cell>
          <cell r="H995">
            <v>67357.642551673765</v>
          </cell>
          <cell r="I995">
            <v>74034.637722440762</v>
          </cell>
          <cell r="J995">
            <v>1855.9391223856021</v>
          </cell>
          <cell r="K995">
            <v>0</v>
          </cell>
          <cell r="N995">
            <v>76264.790022536312</v>
          </cell>
          <cell r="O995">
            <v>52085.147051510794</v>
          </cell>
          <cell r="Q995">
            <v>67357.642551673765</v>
          </cell>
          <cell r="R995">
            <v>0</v>
          </cell>
          <cell r="T995">
            <v>11062.127277401103</v>
          </cell>
          <cell r="U995">
            <v>34676.155497461259</v>
          </cell>
          <cell r="V995">
            <v>16691.064940215394</v>
          </cell>
          <cell r="W995">
            <v>1955.7538892908026</v>
          </cell>
          <cell r="X995">
            <v>9649.5361180722011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D995">
            <v>428</v>
          </cell>
          <cell r="AE995" t="str">
            <v>NA</v>
          </cell>
          <cell r="AF995" t="str">
            <v>428.NA1</v>
          </cell>
        </row>
        <row r="996">
          <cell r="A996">
            <v>996</v>
          </cell>
          <cell r="AD996">
            <v>428</v>
          </cell>
          <cell r="AE996" t="str">
            <v>NA</v>
          </cell>
          <cell r="AF996" t="str">
            <v>428.NA2</v>
          </cell>
        </row>
        <row r="997">
          <cell r="A997">
            <v>997</v>
          </cell>
          <cell r="B997">
            <v>429</v>
          </cell>
          <cell r="C997" t="str">
            <v>Amortization of Premium on Debt</v>
          </cell>
          <cell r="AD997">
            <v>429</v>
          </cell>
          <cell r="AE997" t="str">
            <v>NA</v>
          </cell>
          <cell r="AF997" t="str">
            <v>429.NA</v>
          </cell>
        </row>
        <row r="998">
          <cell r="A998">
            <v>998</v>
          </cell>
          <cell r="D998" t="str">
            <v>SNP</v>
          </cell>
          <cell r="E998" t="str">
            <v>GP</v>
          </cell>
          <cell r="F998">
            <v>-671.40872782011525</v>
          </cell>
          <cell r="G998">
            <v>-317.28959094029369</v>
          </cell>
          <cell r="H998">
            <v>-166.51257756046513</v>
          </cell>
          <cell r="I998">
            <v>-183.01855422659125</v>
          </cell>
          <cell r="J998">
            <v>-4.5880050927651554</v>
          </cell>
          <cell r="K998">
            <v>0</v>
          </cell>
          <cell r="M998">
            <v>0.59419421435740905</v>
          </cell>
          <cell r="N998">
            <v>-188.53163921255151</v>
          </cell>
          <cell r="O998">
            <v>-128.75795172774218</v>
          </cell>
          <cell r="P998">
            <v>1</v>
          </cell>
          <cell r="Q998">
            <v>-166.51257756046513</v>
          </cell>
          <cell r="R998">
            <v>0</v>
          </cell>
          <cell r="S998" t="str">
            <v>PLNT</v>
          </cell>
          <cell r="T998">
            <v>-27.346315228430111</v>
          </cell>
          <cell r="U998">
            <v>-85.721765386016898</v>
          </cell>
          <cell r="V998">
            <v>-41.261423947434665</v>
          </cell>
          <cell r="W998">
            <v>-4.8347538429642363</v>
          </cell>
          <cell r="X998">
            <v>-23.854295821745328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D998">
            <v>429</v>
          </cell>
          <cell r="AE998" t="str">
            <v>SNP</v>
          </cell>
          <cell r="AF998" t="str">
            <v>429.SNP</v>
          </cell>
        </row>
        <row r="999">
          <cell r="A999">
            <v>999</v>
          </cell>
          <cell r="F999">
            <v>-671.40872782011525</v>
          </cell>
          <cell r="G999">
            <v>-317.28959094029369</v>
          </cell>
          <cell r="H999">
            <v>-166.51257756046513</v>
          </cell>
          <cell r="I999">
            <v>-183.01855422659125</v>
          </cell>
          <cell r="J999">
            <v>-4.5880050927651554</v>
          </cell>
          <cell r="K999">
            <v>0</v>
          </cell>
          <cell r="N999">
            <v>-188.53163921255151</v>
          </cell>
          <cell r="O999">
            <v>-128.75795172774218</v>
          </cell>
          <cell r="Q999">
            <v>-166.51257756046513</v>
          </cell>
          <cell r="R999">
            <v>0</v>
          </cell>
          <cell r="T999">
            <v>-27.346315228430111</v>
          </cell>
          <cell r="U999">
            <v>-85.721765386016898</v>
          </cell>
          <cell r="V999">
            <v>-41.261423947434665</v>
          </cell>
          <cell r="W999">
            <v>-4.8347538429642363</v>
          </cell>
          <cell r="X999">
            <v>-23.854295821745328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429</v>
          </cell>
          <cell r="AE999" t="str">
            <v>NA</v>
          </cell>
          <cell r="AF999" t="str">
            <v>429.NA1</v>
          </cell>
        </row>
        <row r="1000">
          <cell r="A1000">
            <v>1000</v>
          </cell>
          <cell r="AD1000">
            <v>429</v>
          </cell>
          <cell r="AE1000" t="str">
            <v>NA</v>
          </cell>
          <cell r="AF1000" t="str">
            <v>429.NA2</v>
          </cell>
        </row>
        <row r="1001">
          <cell r="A1001">
            <v>1001</v>
          </cell>
          <cell r="B1001">
            <v>431</v>
          </cell>
          <cell r="C1001" t="str">
            <v>Other Interest Expense</v>
          </cell>
          <cell r="AD1001">
            <v>431</v>
          </cell>
          <cell r="AE1001" t="str">
            <v>NA</v>
          </cell>
          <cell r="AF1001" t="str">
            <v>431.NA</v>
          </cell>
        </row>
        <row r="1002">
          <cell r="A1002">
            <v>1002</v>
          </cell>
          <cell r="D1002" t="str">
            <v>SNP</v>
          </cell>
          <cell r="E1002" t="str">
            <v>GP</v>
          </cell>
          <cell r="F1002">
            <v>1338967.6245788431</v>
          </cell>
          <cell r="G1002">
            <v>632759.85592898296</v>
          </cell>
          <cell r="H1002">
            <v>332070.37859414122</v>
          </cell>
          <cell r="I1002">
            <v>364987.68730973185</v>
          </cell>
          <cell r="J1002">
            <v>9149.7027459870715</v>
          </cell>
          <cell r="K1002">
            <v>0</v>
          </cell>
          <cell r="M1002">
            <v>0.59419421435740905</v>
          </cell>
          <cell r="N1002">
            <v>375982.24547062936</v>
          </cell>
          <cell r="O1002">
            <v>256777.61045835359</v>
          </cell>
          <cell r="P1002">
            <v>1</v>
          </cell>
          <cell r="Q1002">
            <v>332070.37859414122</v>
          </cell>
          <cell r="R1002">
            <v>0</v>
          </cell>
          <cell r="S1002" t="str">
            <v>PLNT</v>
          </cell>
          <cell r="T1002">
            <v>54535.827768097581</v>
          </cell>
          <cell r="U1002">
            <v>170952.00556340042</v>
          </cell>
          <cell r="V1002">
            <v>82286.256523670381</v>
          </cell>
          <cell r="W1002">
            <v>9641.7853988214265</v>
          </cell>
          <cell r="X1002">
            <v>47571.812055742012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431</v>
          </cell>
          <cell r="AE1002" t="str">
            <v>SNP</v>
          </cell>
          <cell r="AF1002" t="str">
            <v>431.SNP</v>
          </cell>
        </row>
        <row r="1003">
          <cell r="A1003">
            <v>1003</v>
          </cell>
          <cell r="F1003">
            <v>1338967.6245788431</v>
          </cell>
          <cell r="G1003">
            <v>632759.85592898296</v>
          </cell>
          <cell r="H1003">
            <v>332070.37859414122</v>
          </cell>
          <cell r="I1003">
            <v>364987.68730973185</v>
          </cell>
          <cell r="J1003">
            <v>9149.7027459870715</v>
          </cell>
          <cell r="K1003">
            <v>0</v>
          </cell>
          <cell r="N1003">
            <v>375982.24547062936</v>
          </cell>
          <cell r="O1003">
            <v>256777.61045835359</v>
          </cell>
          <cell r="Q1003">
            <v>332070.37859414122</v>
          </cell>
          <cell r="R1003">
            <v>0</v>
          </cell>
          <cell r="T1003">
            <v>54535.827768097581</v>
          </cell>
          <cell r="U1003">
            <v>170952.00556340042</v>
          </cell>
          <cell r="V1003">
            <v>82286.256523670381</v>
          </cell>
          <cell r="W1003">
            <v>9641.7853988214265</v>
          </cell>
          <cell r="X1003">
            <v>47571.812055742012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431</v>
          </cell>
          <cell r="AE1003" t="str">
            <v>NA</v>
          </cell>
          <cell r="AF1003" t="str">
            <v>431.NA1</v>
          </cell>
        </row>
        <row r="1004">
          <cell r="A1004">
            <v>1004</v>
          </cell>
          <cell r="AD1004">
            <v>431</v>
          </cell>
          <cell r="AE1004" t="str">
            <v>NA</v>
          </cell>
          <cell r="AF1004" t="str">
            <v>431.NA2</v>
          </cell>
        </row>
        <row r="1005">
          <cell r="A1005">
            <v>1005</v>
          </cell>
          <cell r="B1005">
            <v>432</v>
          </cell>
          <cell r="C1005" t="str">
            <v>AFUDC - Borrowed</v>
          </cell>
          <cell r="AD1005">
            <v>432</v>
          </cell>
          <cell r="AE1005" t="str">
            <v>NA</v>
          </cell>
          <cell r="AF1005" t="str">
            <v>432.NA</v>
          </cell>
        </row>
        <row r="1006">
          <cell r="A1006">
            <v>1006</v>
          </cell>
          <cell r="D1006" t="str">
            <v>SNP</v>
          </cell>
          <cell r="E1006" t="str">
            <v>GP</v>
          </cell>
          <cell r="F1006">
            <v>-1550777.6401968305</v>
          </cell>
          <cell r="G1006">
            <v>-732855.5359936218</v>
          </cell>
          <cell r="H1006">
            <v>-384600.27609515016</v>
          </cell>
          <cell r="I1006">
            <v>-422724.74258301657</v>
          </cell>
          <cell r="J1006">
            <v>-10597.085525041972</v>
          </cell>
          <cell r="K1006">
            <v>0</v>
          </cell>
          <cell r="M1006">
            <v>0.59419421435740905</v>
          </cell>
          <cell r="N1006">
            <v>-435458.51944720803</v>
          </cell>
          <cell r="O1006">
            <v>-297397.01654641377</v>
          </cell>
          <cell r="P1006">
            <v>1</v>
          </cell>
          <cell r="Q1006">
            <v>-384600.27609515016</v>
          </cell>
          <cell r="R1006">
            <v>0</v>
          </cell>
          <cell r="S1006" t="str">
            <v>PLNT</v>
          </cell>
          <cell r="T1006">
            <v>-63162.79851724764</v>
          </cell>
          <cell r="U1006">
            <v>-197994.74080481404</v>
          </cell>
          <cell r="V1006">
            <v>-95303.041216210229</v>
          </cell>
          <cell r="W1006">
            <v>-11167.010264920791</v>
          </cell>
          <cell r="X1006">
            <v>-55097.151779823864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432</v>
          </cell>
          <cell r="AE1006" t="str">
            <v>SNP</v>
          </cell>
          <cell r="AF1006" t="str">
            <v>432.SNP</v>
          </cell>
        </row>
        <row r="1007">
          <cell r="A1007">
            <v>1007</v>
          </cell>
          <cell r="F1007">
            <v>-1550777.6401968305</v>
          </cell>
          <cell r="G1007">
            <v>-732855.5359936218</v>
          </cell>
          <cell r="H1007">
            <v>-384600.27609515016</v>
          </cell>
          <cell r="I1007">
            <v>-422724.74258301657</v>
          </cell>
          <cell r="J1007">
            <v>-10597.085525041972</v>
          </cell>
          <cell r="K1007">
            <v>0</v>
          </cell>
          <cell r="N1007">
            <v>-435458.51944720803</v>
          </cell>
          <cell r="O1007">
            <v>-297397.01654641377</v>
          </cell>
          <cell r="Q1007">
            <v>-384600.27609515016</v>
          </cell>
          <cell r="R1007">
            <v>0</v>
          </cell>
          <cell r="T1007">
            <v>-63162.79851724764</v>
          </cell>
          <cell r="U1007">
            <v>-197994.74080481404</v>
          </cell>
          <cell r="V1007">
            <v>-95303.041216210229</v>
          </cell>
          <cell r="W1007">
            <v>-11167.010264920791</v>
          </cell>
          <cell r="X1007">
            <v>-55097.151779823864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432</v>
          </cell>
          <cell r="AE1007" t="str">
            <v>NA</v>
          </cell>
          <cell r="AF1007" t="str">
            <v>432.NA1</v>
          </cell>
        </row>
        <row r="1008">
          <cell r="A1008">
            <v>1008</v>
          </cell>
          <cell r="AD1008">
            <v>432</v>
          </cell>
          <cell r="AE1008" t="str">
            <v>NA</v>
          </cell>
          <cell r="AF1008" t="str">
            <v>432.NA2</v>
          </cell>
        </row>
        <row r="1009">
          <cell r="A1009">
            <v>1009</v>
          </cell>
          <cell r="C1009" t="str">
            <v>Electric Interest Deductions for Tax</v>
          </cell>
          <cell r="F1009">
            <v>59116.732124739792</v>
          </cell>
          <cell r="G1009">
            <v>27936.967418467975</v>
          </cell>
          <cell r="H1009">
            <v>14661.232473104377</v>
          </cell>
          <cell r="I1009">
            <v>16114.563894929423</v>
          </cell>
          <cell r="J1009">
            <v>403.96833823793713</v>
          </cell>
          <cell r="K1009">
            <v>0</v>
          </cell>
          <cell r="N1009">
            <v>16599.984406745061</v>
          </cell>
          <cell r="O1009">
            <v>11336.983011722856</v>
          </cell>
          <cell r="Q1009">
            <v>14661.232473104377</v>
          </cell>
          <cell r="R1009">
            <v>0</v>
          </cell>
          <cell r="T1009">
            <v>2407.8102130226107</v>
          </cell>
          <cell r="U1009">
            <v>7547.6984906616271</v>
          </cell>
          <cell r="V1009">
            <v>3633.0188237281109</v>
          </cell>
          <cell r="W1009">
            <v>425.69426934847434</v>
          </cell>
          <cell r="X1009">
            <v>2100.3420981686068</v>
          </cell>
          <cell r="AD1009">
            <v>432</v>
          </cell>
          <cell r="AE1009" t="str">
            <v>NA</v>
          </cell>
          <cell r="AF1009" t="str">
            <v>432.NA3</v>
          </cell>
        </row>
        <row r="1010">
          <cell r="A1010">
            <v>1010</v>
          </cell>
          <cell r="AD1010">
            <v>432</v>
          </cell>
          <cell r="AE1010" t="str">
            <v>NA</v>
          </cell>
          <cell r="AF1010" t="str">
            <v>432.NA4</v>
          </cell>
        </row>
        <row r="1011">
          <cell r="A1011">
            <v>1011</v>
          </cell>
          <cell r="C1011" t="str">
            <v>Total Electric Interest Deductions for Tax</v>
          </cell>
          <cell r="F1011">
            <v>27212623.370171286</v>
          </cell>
          <cell r="G1011">
            <v>12859949.207939446</v>
          </cell>
          <cell r="H1011">
            <v>6748860.8232143642</v>
          </cell>
          <cell r="I1011">
            <v>7417858.5704293335</v>
          </cell>
          <cell r="J1011">
            <v>185954.76858813842</v>
          </cell>
          <cell r="K1011">
            <v>0</v>
          </cell>
          <cell r="N1011">
            <v>7641307.416287764</v>
          </cell>
          <cell r="O1011">
            <v>5218641.7916516811</v>
          </cell>
          <cell r="Q1011">
            <v>6748860.8232143642</v>
          </cell>
          <cell r="R1011">
            <v>0</v>
          </cell>
          <cell r="T1011">
            <v>1108363.5735408936</v>
          </cell>
          <cell r="U1011">
            <v>3474357.7487435453</v>
          </cell>
          <cell r="V1011">
            <v>1672351.7926912266</v>
          </cell>
          <cell r="W1011">
            <v>195955.65259217695</v>
          </cell>
          <cell r="X1011">
            <v>966829.80286149064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432</v>
          </cell>
          <cell r="AE1011" t="str">
            <v>NA</v>
          </cell>
          <cell r="AF1011" t="str">
            <v>432.NA5</v>
          </cell>
        </row>
        <row r="1012">
          <cell r="A1012">
            <v>1012</v>
          </cell>
          <cell r="AD1012">
            <v>432</v>
          </cell>
          <cell r="AE1012" t="str">
            <v>NA</v>
          </cell>
          <cell r="AF1012" t="str">
            <v>432.NA6</v>
          </cell>
        </row>
        <row r="1013">
          <cell r="A1013">
            <v>1013</v>
          </cell>
          <cell r="AD1013">
            <v>432</v>
          </cell>
          <cell r="AE1013" t="str">
            <v>NA</v>
          </cell>
          <cell r="AF1013" t="str">
            <v>432.NA7</v>
          </cell>
        </row>
        <row r="1014">
          <cell r="A1014">
            <v>1014</v>
          </cell>
          <cell r="B1014">
            <v>419</v>
          </cell>
          <cell r="C1014" t="str">
            <v>Interest &amp; Dividends</v>
          </cell>
          <cell r="AD1014">
            <v>419</v>
          </cell>
          <cell r="AE1014" t="str">
            <v>NA</v>
          </cell>
          <cell r="AF1014" t="str">
            <v>419.NA</v>
          </cell>
        </row>
        <row r="1015">
          <cell r="A1015">
            <v>1015</v>
          </cell>
          <cell r="D1015" t="str">
            <v>SNP</v>
          </cell>
          <cell r="E1015" t="str">
            <v>GP</v>
          </cell>
          <cell r="F1015">
            <v>-3016519.6037139692</v>
          </cell>
          <cell r="G1015">
            <v>-1425525.5129513484</v>
          </cell>
          <cell r="H1015">
            <v>-748111.29743112263</v>
          </cell>
          <cell r="I1015">
            <v>-822269.70516209083</v>
          </cell>
          <cell r="J1015">
            <v>-20613.088169407292</v>
          </cell>
          <cell r="K1015">
            <v>0</v>
          </cell>
          <cell r="M1015">
            <v>0.59419421435740905</v>
          </cell>
          <cell r="N1015">
            <v>-847039.01221456903</v>
          </cell>
          <cell r="O1015">
            <v>-578486.50073677942</v>
          </cell>
          <cell r="P1015">
            <v>1</v>
          </cell>
          <cell r="Q1015">
            <v>-748111.29743112263</v>
          </cell>
          <cell r="R1015">
            <v>0</v>
          </cell>
          <cell r="S1015" t="str">
            <v>PLNT</v>
          </cell>
          <cell r="T1015">
            <v>-122862.11447343935</v>
          </cell>
          <cell r="U1015">
            <v>-385132.59515025106</v>
          </cell>
          <cell r="V1015">
            <v>-185380.21484870653</v>
          </cell>
          <cell r="W1015">
            <v>-21721.686272658149</v>
          </cell>
          <cell r="X1015">
            <v>-107173.09441703567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419</v>
          </cell>
          <cell r="AE1015" t="str">
            <v>SNP</v>
          </cell>
          <cell r="AF1015" t="str">
            <v>419.SNP</v>
          </cell>
        </row>
        <row r="1016">
          <cell r="A1016">
            <v>1016</v>
          </cell>
          <cell r="C1016" t="str">
            <v>Total Operating Deductions for Tax</v>
          </cell>
          <cell r="F1016">
            <v>-3016519.6037139692</v>
          </cell>
          <cell r="G1016">
            <v>-1425525.5129513484</v>
          </cell>
          <cell r="H1016">
            <v>-748111.29743112263</v>
          </cell>
          <cell r="I1016">
            <v>-822269.70516209083</v>
          </cell>
          <cell r="J1016">
            <v>-20613.088169407292</v>
          </cell>
          <cell r="K1016">
            <v>0</v>
          </cell>
          <cell r="N1016">
            <v>-847039.01221456903</v>
          </cell>
          <cell r="O1016">
            <v>-578486.50073677942</v>
          </cell>
          <cell r="Q1016">
            <v>-748111.29743112263</v>
          </cell>
          <cell r="R1016">
            <v>0</v>
          </cell>
          <cell r="T1016">
            <v>-122862.11447343935</v>
          </cell>
          <cell r="U1016">
            <v>-385132.59515025106</v>
          </cell>
          <cell r="V1016">
            <v>-185380.21484870653</v>
          </cell>
          <cell r="W1016">
            <v>-21721.686272658149</v>
          </cell>
          <cell r="X1016">
            <v>-107173.09441703567</v>
          </cell>
          <cell r="AD1016">
            <v>419</v>
          </cell>
          <cell r="AE1016" t="str">
            <v>NA</v>
          </cell>
          <cell r="AF1016" t="str">
            <v>419.NA1</v>
          </cell>
        </row>
        <row r="1017">
          <cell r="A1017">
            <v>1017</v>
          </cell>
          <cell r="AD1017">
            <v>419</v>
          </cell>
          <cell r="AE1017" t="str">
            <v>NA</v>
          </cell>
          <cell r="AF1017" t="str">
            <v>419.NA2</v>
          </cell>
        </row>
        <row r="1018">
          <cell r="A1018">
            <v>1018</v>
          </cell>
          <cell r="B1018">
            <v>41010</v>
          </cell>
          <cell r="C1018" t="str">
            <v>Deferred Income Tax - Federal-DR</v>
          </cell>
          <cell r="AD1018">
            <v>41010</v>
          </cell>
          <cell r="AE1018" t="str">
            <v>NA</v>
          </cell>
          <cell r="AF1018" t="str">
            <v>41010.NA</v>
          </cell>
        </row>
        <row r="1019">
          <cell r="A1019">
            <v>1019</v>
          </cell>
          <cell r="D1019" t="str">
            <v>S</v>
          </cell>
          <cell r="E1019" t="str">
            <v>P</v>
          </cell>
          <cell r="F1019">
            <v>1731860.6372</v>
          </cell>
          <cell r="G1019">
            <v>1731860.6372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0.59419421435740905</v>
          </cell>
          <cell r="N1019">
            <v>1029061.5706975758</v>
          </cell>
          <cell r="O1019">
            <v>702799.06650242419</v>
          </cell>
          <cell r="P1019">
            <v>1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41010</v>
          </cell>
          <cell r="AE1019" t="str">
            <v>S</v>
          </cell>
          <cell r="AF1019" t="str">
            <v>41010.S</v>
          </cell>
        </row>
        <row r="1020">
          <cell r="A1020">
            <v>1020</v>
          </cell>
          <cell r="D1020" t="str">
            <v>JBG</v>
          </cell>
          <cell r="E1020" t="str">
            <v>P</v>
          </cell>
          <cell r="F1020">
            <v>2167648.8786045355</v>
          </cell>
          <cell r="G1020">
            <v>2167648.8786045355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0.59419421435740905</v>
          </cell>
          <cell r="N1020">
            <v>1288004.4224251406</v>
          </cell>
          <cell r="O1020">
            <v>879644.45617939474</v>
          </cell>
          <cell r="P1020">
            <v>1</v>
          </cell>
          <cell r="Q1020">
            <v>0</v>
          </cell>
          <cell r="R1020">
            <v>0</v>
          </cell>
          <cell r="S1020" t="str">
            <v>PLNT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41010</v>
          </cell>
          <cell r="AE1020" t="str">
            <v>JBG</v>
          </cell>
          <cell r="AF1020" t="str">
            <v>41010.JBG</v>
          </cell>
        </row>
        <row r="1021">
          <cell r="A1021">
            <v>1021</v>
          </cell>
          <cell r="D1021" t="str">
            <v>DGP</v>
          </cell>
          <cell r="E1021" t="str">
            <v>GP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0.59419421435740905</v>
          </cell>
          <cell r="N1021">
            <v>0</v>
          </cell>
          <cell r="O1021">
            <v>0</v>
          </cell>
          <cell r="P1021">
            <v>1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41010</v>
          </cell>
          <cell r="AE1021" t="str">
            <v>DGP</v>
          </cell>
          <cell r="AF1021" t="str">
            <v>41010.DGP</v>
          </cell>
        </row>
        <row r="1022">
          <cell r="A1022">
            <v>1022</v>
          </cell>
          <cell r="D1022" t="str">
            <v>SO</v>
          </cell>
          <cell r="E1022" t="str">
            <v>LABOR</v>
          </cell>
          <cell r="F1022">
            <v>30758.821877680413</v>
          </cell>
          <cell r="G1022">
            <v>12418.587662858148</v>
          </cell>
          <cell r="H1022">
            <v>2338.170509145782</v>
          </cell>
          <cell r="I1022">
            <v>8206.7532529446635</v>
          </cell>
          <cell r="J1022">
            <v>3952.7652400376896</v>
          </cell>
          <cell r="K1022">
            <v>3842.54521269413</v>
          </cell>
          <cell r="M1022">
            <v>0.59419421435740905</v>
          </cell>
          <cell r="N1022">
            <v>7379.0529397606097</v>
          </cell>
          <cell r="O1022">
            <v>5039.5347230975385</v>
          </cell>
          <cell r="P1022">
            <v>1</v>
          </cell>
          <cell r="Q1022">
            <v>2338.170509145782</v>
          </cell>
          <cell r="R1022">
            <v>0</v>
          </cell>
          <cell r="S1022" t="str">
            <v>DISom</v>
          </cell>
          <cell r="T1022">
            <v>677.8693942731818</v>
          </cell>
          <cell r="U1022">
            <v>7156.3383542523961</v>
          </cell>
          <cell r="V1022">
            <v>59.991003866900968</v>
          </cell>
          <cell r="W1022">
            <v>312.55450055218603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41010</v>
          </cell>
          <cell r="AE1022" t="str">
            <v>SO</v>
          </cell>
          <cell r="AF1022" t="str">
            <v>41010.SO</v>
          </cell>
        </row>
        <row r="1023">
          <cell r="A1023">
            <v>1023</v>
          </cell>
          <cell r="D1023" t="str">
            <v>SNP</v>
          </cell>
          <cell r="E1023" t="str">
            <v>GP</v>
          </cell>
          <cell r="F1023">
            <v>1118472.5278824323</v>
          </cell>
          <cell r="G1023">
            <v>528559.84163621569</v>
          </cell>
          <cell r="H1023">
            <v>277386.5394227801</v>
          </cell>
          <cell r="I1023">
            <v>304883.17549849808</v>
          </cell>
          <cell r="J1023">
            <v>7642.9713249384076</v>
          </cell>
          <cell r="K1023">
            <v>0</v>
          </cell>
          <cell r="M1023">
            <v>0.59419421435740905</v>
          </cell>
          <cell r="N1023">
            <v>314067.19984190771</v>
          </cell>
          <cell r="O1023">
            <v>214492.64179430797</v>
          </cell>
          <cell r="P1023">
            <v>1</v>
          </cell>
          <cell r="Q1023">
            <v>277386.5394227801</v>
          </cell>
          <cell r="R1023">
            <v>0</v>
          </cell>
          <cell r="S1023" t="str">
            <v>PLNT</v>
          </cell>
          <cell r="T1023">
            <v>45555.115765499475</v>
          </cell>
          <cell r="U1023">
            <v>142800.40704435215</v>
          </cell>
          <cell r="V1023">
            <v>68735.730165963061</v>
          </cell>
          <cell r="W1023">
            <v>8054.0200452656445</v>
          </cell>
          <cell r="X1023">
            <v>39737.902477417723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41010</v>
          </cell>
          <cell r="AE1023" t="str">
            <v>SNP</v>
          </cell>
          <cell r="AF1023" t="str">
            <v>41010.SNP</v>
          </cell>
        </row>
        <row r="1024">
          <cell r="A1024">
            <v>1024</v>
          </cell>
          <cell r="D1024" t="str">
            <v>SE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0.59419421435740905</v>
          </cell>
          <cell r="N1024">
            <v>0</v>
          </cell>
          <cell r="O1024">
            <v>0</v>
          </cell>
          <cell r="P1024">
            <v>1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41010</v>
          </cell>
          <cell r="AE1024" t="str">
            <v>SE</v>
          </cell>
          <cell r="AF1024" t="str">
            <v>41010.SE</v>
          </cell>
        </row>
        <row r="1025">
          <cell r="A1025">
            <v>1025</v>
          </cell>
          <cell r="D1025" t="str">
            <v>SG</v>
          </cell>
          <cell r="E1025" t="str">
            <v>PT</v>
          </cell>
          <cell r="F1025">
            <v>7928670.3703204002</v>
          </cell>
          <cell r="G1025">
            <v>5601679.4047300676</v>
          </cell>
          <cell r="H1025">
            <v>2326990.9655903336</v>
          </cell>
          <cell r="I1025">
            <v>0</v>
          </cell>
          <cell r="J1025">
            <v>0</v>
          </cell>
          <cell r="K1025">
            <v>0</v>
          </cell>
          <cell r="M1025">
            <v>0.59419421435740905</v>
          </cell>
          <cell r="N1025">
            <v>3328485.4929756611</v>
          </cell>
          <cell r="O1025">
            <v>2273193.9117544065</v>
          </cell>
          <cell r="P1025">
            <v>1</v>
          </cell>
          <cell r="Q1025">
            <v>2326990.9655903336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41010</v>
          </cell>
          <cell r="AE1025" t="str">
            <v>SG</v>
          </cell>
          <cell r="AF1025" t="str">
            <v>41010.SG</v>
          </cell>
        </row>
        <row r="1026">
          <cell r="A1026">
            <v>1026</v>
          </cell>
          <cell r="D1026" t="str">
            <v>GPS</v>
          </cell>
          <cell r="E1026" t="str">
            <v>GP</v>
          </cell>
          <cell r="F1026">
            <v>1121823.1701610393</v>
          </cell>
          <cell r="G1026">
            <v>530143.26448122121</v>
          </cell>
          <cell r="H1026">
            <v>278217.51474254596</v>
          </cell>
          <cell r="I1026">
            <v>305796.52332993329</v>
          </cell>
          <cell r="J1026">
            <v>7665.8676073388378</v>
          </cell>
          <cell r="K1026">
            <v>0</v>
          </cell>
          <cell r="M1026">
            <v>0.59419421435740905</v>
          </cell>
          <cell r="N1026">
            <v>315008.06053529133</v>
          </cell>
          <cell r="O1026">
            <v>215135.20394592985</v>
          </cell>
          <cell r="P1026">
            <v>1</v>
          </cell>
          <cell r="Q1026">
            <v>278217.51474254596</v>
          </cell>
          <cell r="R1026">
            <v>0</v>
          </cell>
          <cell r="S1026" t="str">
            <v>PLNT</v>
          </cell>
          <cell r="T1026">
            <v>45691.586615775712</v>
          </cell>
          <cell r="U1026">
            <v>143228.19858086042</v>
          </cell>
          <cell r="V1026">
            <v>68941.643890085586</v>
          </cell>
          <cell r="W1026">
            <v>8078.1477188594772</v>
          </cell>
          <cell r="X1026">
            <v>39856.946524352061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41010</v>
          </cell>
          <cell r="AE1026" t="str">
            <v>GPS</v>
          </cell>
          <cell r="AF1026" t="str">
            <v>41010.GPS</v>
          </cell>
        </row>
        <row r="1027">
          <cell r="A1027">
            <v>1027</v>
          </cell>
          <cell r="D1027" t="str">
            <v>TAXDEPR</v>
          </cell>
          <cell r="E1027" t="str">
            <v>TAXDEPR</v>
          </cell>
          <cell r="F1027">
            <v>13753029.160264557</v>
          </cell>
          <cell r="G1027">
            <v>6129847.1637325939</v>
          </cell>
          <cell r="H1027">
            <v>3601729.0643563303</v>
          </cell>
          <cell r="I1027">
            <v>3883052.6253237613</v>
          </cell>
          <cell r="J1027">
            <v>138400.30685187341</v>
          </cell>
          <cell r="K1027">
            <v>0</v>
          </cell>
          <cell r="M1027">
            <v>0.59419421435740905</v>
          </cell>
          <cell r="N1027">
            <v>3642319.7195850806</v>
          </cell>
          <cell r="O1027">
            <v>2487527.4441475132</v>
          </cell>
          <cell r="P1027">
            <v>1</v>
          </cell>
          <cell r="Q1027">
            <v>3601729.0643563303</v>
          </cell>
          <cell r="R1027">
            <v>0</v>
          </cell>
          <cell r="S1027" t="str">
            <v>PLNT</v>
          </cell>
          <cell r="T1027">
            <v>580198.99451953208</v>
          </cell>
          <cell r="U1027">
            <v>1818734.3219718104</v>
          </cell>
          <cell r="V1027">
            <v>875431.8995729672</v>
          </cell>
          <cell r="W1027">
            <v>102577.59756681956</v>
          </cell>
          <cell r="X1027">
            <v>506109.81169263186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41010</v>
          </cell>
          <cell r="AE1027" t="str">
            <v>TAXDEPR</v>
          </cell>
          <cell r="AF1027" t="str">
            <v>41010.TAXDEPR</v>
          </cell>
        </row>
        <row r="1028">
          <cell r="A1028">
            <v>1028</v>
          </cell>
          <cell r="D1028" t="str">
            <v>CAGW</v>
          </cell>
          <cell r="E1028" t="str">
            <v>PT</v>
          </cell>
          <cell r="F1028">
            <v>552159.51204005652</v>
          </cell>
          <cell r="G1028">
            <v>390105.83392377786</v>
          </cell>
          <cell r="H1028">
            <v>162053.67811627869</v>
          </cell>
          <cell r="I1028">
            <v>0</v>
          </cell>
          <cell r="J1028">
            <v>0</v>
          </cell>
          <cell r="K1028">
            <v>0</v>
          </cell>
          <cell r="M1028">
            <v>0.59419421435740905</v>
          </cell>
          <cell r="N1028">
            <v>231798.62950458107</v>
          </cell>
          <cell r="O1028">
            <v>158307.20441919679</v>
          </cell>
          <cell r="P1028">
            <v>1</v>
          </cell>
          <cell r="Q1028">
            <v>162053.67811627869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41010</v>
          </cell>
          <cell r="AE1028" t="str">
            <v>CAGW</v>
          </cell>
          <cell r="AF1028" t="str">
            <v>41010.CAGW</v>
          </cell>
        </row>
        <row r="1029">
          <cell r="A1029">
            <v>1029</v>
          </cell>
          <cell r="D1029" t="str">
            <v>CN</v>
          </cell>
          <cell r="E1029" t="str">
            <v>CUST</v>
          </cell>
          <cell r="F1029">
            <v>-12430.30301094371</v>
          </cell>
          <cell r="G1029">
            <v>0</v>
          </cell>
          <cell r="H1029">
            <v>0</v>
          </cell>
          <cell r="I1029">
            <v>0</v>
          </cell>
          <cell r="J1029">
            <v>-12430.30301094371</v>
          </cell>
          <cell r="K1029">
            <v>0</v>
          </cell>
          <cell r="M1029">
            <v>0.59419421435740905</v>
          </cell>
          <cell r="N1029">
            <v>0</v>
          </cell>
          <cell r="O1029">
            <v>0</v>
          </cell>
          <cell r="P1029">
            <v>1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41010</v>
          </cell>
          <cell r="AE1029" t="str">
            <v>CN</v>
          </cell>
          <cell r="AF1029" t="str">
            <v>41010.CN</v>
          </cell>
        </row>
        <row r="1030">
          <cell r="A1030">
            <v>1030</v>
          </cell>
          <cell r="D1030" t="str">
            <v>JBE</v>
          </cell>
          <cell r="E1030" t="str">
            <v>P</v>
          </cell>
          <cell r="F1030">
            <v>-11061.286593741972</v>
          </cell>
          <cell r="G1030">
            <v>-11061.286593741972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M1030">
            <v>0.59419421435740905</v>
          </cell>
          <cell r="N1030">
            <v>-6572.5524973506526</v>
          </cell>
          <cell r="O1030">
            <v>-4488.7340963913193</v>
          </cell>
          <cell r="P1030">
            <v>1</v>
          </cell>
          <cell r="Q1030">
            <v>0</v>
          </cell>
          <cell r="R1030">
            <v>0</v>
          </cell>
          <cell r="S1030" t="str">
            <v>PLNT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41010</v>
          </cell>
          <cell r="AE1030" t="str">
            <v>JBE</v>
          </cell>
          <cell r="AF1030" t="str">
            <v>41010.JBE</v>
          </cell>
        </row>
        <row r="1031">
          <cell r="A1031">
            <v>1031</v>
          </cell>
          <cell r="D1031" t="str">
            <v>SNPD</v>
          </cell>
          <cell r="E1031" t="str">
            <v>DPW</v>
          </cell>
          <cell r="F1031">
            <v>24166.99128955081</v>
          </cell>
          <cell r="G1031">
            <v>0</v>
          </cell>
          <cell r="H1031">
            <v>0</v>
          </cell>
          <cell r="I1031">
            <v>24166.99128955081</v>
          </cell>
          <cell r="J1031">
            <v>0</v>
          </cell>
          <cell r="K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S1031" t="str">
            <v>PLNT</v>
          </cell>
          <cell r="T1031">
            <v>3610.9899606602858</v>
          </cell>
          <cell r="U1031">
            <v>11319.273972866926</v>
          </cell>
          <cell r="V1031">
            <v>5448.4337795475603</v>
          </cell>
          <cell r="W1031">
            <v>638.4131625549843</v>
          </cell>
          <cell r="X1031">
            <v>3149.8804139210515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D1031">
            <v>41010</v>
          </cell>
          <cell r="AE1031" t="str">
            <v>SNPD</v>
          </cell>
          <cell r="AF1031" t="str">
            <v>41010.SNPD</v>
          </cell>
        </row>
        <row r="1032">
          <cell r="A1032">
            <v>1032</v>
          </cell>
          <cell r="F1032">
            <v>28405098.480035566</v>
          </cell>
          <cell r="G1032">
            <v>17081202.325377528</v>
          </cell>
          <cell r="H1032">
            <v>6648715.9327374138</v>
          </cell>
          <cell r="I1032">
            <v>4526106.0686946874</v>
          </cell>
          <cell r="J1032">
            <v>145231.60801324464</v>
          </cell>
          <cell r="K1032">
            <v>3842.54521269413</v>
          </cell>
          <cell r="N1032">
            <v>10149551.596007649</v>
          </cell>
          <cell r="O1032">
            <v>6931650.7293698797</v>
          </cell>
          <cell r="Q1032">
            <v>6648715.9327374138</v>
          </cell>
          <cell r="R1032">
            <v>0</v>
          </cell>
          <cell r="T1032">
            <v>675734.55625574081</v>
          </cell>
          <cell r="U1032">
            <v>2123238.5399241424</v>
          </cell>
          <cell r="V1032">
            <v>1018617.6984124304</v>
          </cell>
          <cell r="W1032">
            <v>119660.73299405184</v>
          </cell>
          <cell r="X1032">
            <v>588854.5411083228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41010</v>
          </cell>
          <cell r="AE1032" t="str">
            <v>NA</v>
          </cell>
          <cell r="AF1032" t="str">
            <v>41010.NA1</v>
          </cell>
        </row>
        <row r="1033">
          <cell r="A1033">
            <v>1033</v>
          </cell>
          <cell r="AD1033">
            <v>41010</v>
          </cell>
          <cell r="AE1033" t="str">
            <v>NA</v>
          </cell>
          <cell r="AF1033" t="str">
            <v>41010.NA2</v>
          </cell>
        </row>
        <row r="1034">
          <cell r="A1034">
            <v>1034</v>
          </cell>
          <cell r="B1034">
            <v>41011</v>
          </cell>
          <cell r="C1034" t="str">
            <v>Deferred Income Tax - State-DR</v>
          </cell>
          <cell r="AD1034">
            <v>41011</v>
          </cell>
          <cell r="AE1034" t="str">
            <v>NA</v>
          </cell>
          <cell r="AF1034" t="str">
            <v>41011.NA</v>
          </cell>
        </row>
        <row r="1035">
          <cell r="A1035">
            <v>1035</v>
          </cell>
          <cell r="D1035" t="str">
            <v>S</v>
          </cell>
          <cell r="E1035" t="str">
            <v>CUST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M1035">
            <v>0.59419421435740905</v>
          </cell>
          <cell r="N1035">
            <v>0</v>
          </cell>
          <cell r="O1035">
            <v>0</v>
          </cell>
          <cell r="P1035">
            <v>1</v>
          </cell>
          <cell r="Q1035">
            <v>0</v>
          </cell>
          <cell r="R1035">
            <v>0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41011</v>
          </cell>
          <cell r="AE1035" t="str">
            <v>S</v>
          </cell>
          <cell r="AF1035" t="str">
            <v>41011.S</v>
          </cell>
        </row>
        <row r="1036">
          <cell r="A1036">
            <v>1036</v>
          </cell>
          <cell r="D1036" t="str">
            <v>SG</v>
          </cell>
          <cell r="E1036" t="str">
            <v>PT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M1036">
            <v>0.59419421435740905</v>
          </cell>
          <cell r="N1036">
            <v>0</v>
          </cell>
          <cell r="O1036">
            <v>0</v>
          </cell>
          <cell r="P1036">
            <v>1</v>
          </cell>
          <cell r="Q1036">
            <v>0</v>
          </cell>
          <cell r="R1036">
            <v>0</v>
          </cell>
          <cell r="S1036" t="str">
            <v>PLNT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41011</v>
          </cell>
          <cell r="AE1036" t="str">
            <v>SG</v>
          </cell>
          <cell r="AF1036" t="str">
            <v>41011.SG</v>
          </cell>
        </row>
        <row r="1037">
          <cell r="A1037">
            <v>1037</v>
          </cell>
          <cell r="D1037" t="str">
            <v>SO</v>
          </cell>
          <cell r="E1037" t="str">
            <v>LABOR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M1037">
            <v>0.59419421435740905</v>
          </cell>
          <cell r="N1037">
            <v>0</v>
          </cell>
          <cell r="O1037">
            <v>0</v>
          </cell>
          <cell r="P1037">
            <v>1</v>
          </cell>
          <cell r="Q1037">
            <v>0</v>
          </cell>
          <cell r="R1037">
            <v>0</v>
          </cell>
          <cell r="S1037" t="str">
            <v>DISom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41011</v>
          </cell>
          <cell r="AE1037" t="str">
            <v>SO</v>
          </cell>
          <cell r="AF1037" t="str">
            <v>41011.SO</v>
          </cell>
        </row>
        <row r="1038">
          <cell r="A1038">
            <v>1038</v>
          </cell>
          <cell r="D1038" t="str">
            <v>SE</v>
          </cell>
          <cell r="E1038" t="str">
            <v>P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M1038">
            <v>0.59419421435740905</v>
          </cell>
          <cell r="N1038">
            <v>0</v>
          </cell>
          <cell r="O1038">
            <v>0</v>
          </cell>
          <cell r="P1038">
            <v>1</v>
          </cell>
          <cell r="Q1038">
            <v>0</v>
          </cell>
          <cell r="R1038">
            <v>0</v>
          </cell>
          <cell r="S1038" t="str">
            <v>PLNT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41011</v>
          </cell>
          <cell r="AE1038" t="str">
            <v>SE</v>
          </cell>
          <cell r="AF1038" t="str">
            <v>41011.SE</v>
          </cell>
        </row>
        <row r="1039">
          <cell r="A1039">
            <v>1039</v>
          </cell>
          <cell r="D1039" t="str">
            <v>SG</v>
          </cell>
          <cell r="E1039" t="str">
            <v>PT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M1039">
            <v>0.59419421435740905</v>
          </cell>
          <cell r="N1039">
            <v>0</v>
          </cell>
          <cell r="O1039">
            <v>0</v>
          </cell>
          <cell r="P1039">
            <v>1</v>
          </cell>
          <cell r="Q1039">
            <v>0</v>
          </cell>
          <cell r="R1039">
            <v>0</v>
          </cell>
          <cell r="S1039" t="str">
            <v>PLNT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41011</v>
          </cell>
          <cell r="AE1039" t="str">
            <v>SG</v>
          </cell>
          <cell r="AF1039" t="str">
            <v>41011.SG1</v>
          </cell>
        </row>
        <row r="1040">
          <cell r="A1040">
            <v>1040</v>
          </cell>
          <cell r="D1040" t="str">
            <v>SGPP</v>
          </cell>
          <cell r="E1040" t="str">
            <v>GP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M1040">
            <v>0.59419421435740905</v>
          </cell>
          <cell r="N1040">
            <v>0</v>
          </cell>
          <cell r="O1040">
            <v>0</v>
          </cell>
          <cell r="P1040">
            <v>1</v>
          </cell>
          <cell r="Q1040">
            <v>0</v>
          </cell>
          <cell r="R1040">
            <v>0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41011</v>
          </cell>
          <cell r="AE1040" t="str">
            <v>SGPP</v>
          </cell>
          <cell r="AF1040" t="str">
            <v>41011.SGPP</v>
          </cell>
        </row>
        <row r="1041">
          <cell r="A1041">
            <v>1041</v>
          </cell>
          <cell r="D1041" t="str">
            <v>TROJP</v>
          </cell>
          <cell r="E1041" t="str">
            <v>P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M1041">
            <v>0.59419421435740905</v>
          </cell>
          <cell r="N1041">
            <v>0</v>
          </cell>
          <cell r="O1041">
            <v>0</v>
          </cell>
          <cell r="P1041">
            <v>1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41011</v>
          </cell>
          <cell r="AE1041" t="str">
            <v>TROJP</v>
          </cell>
          <cell r="AF1041" t="str">
            <v>41011.TROJP</v>
          </cell>
        </row>
        <row r="1042">
          <cell r="A1042">
            <v>1042</v>
          </cell>
          <cell r="D1042" t="str">
            <v>SNP</v>
          </cell>
          <cell r="E1042" t="str">
            <v>GP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0.59419421435740905</v>
          </cell>
          <cell r="N1042">
            <v>0</v>
          </cell>
          <cell r="O1042">
            <v>0</v>
          </cell>
          <cell r="P1042">
            <v>1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41011</v>
          </cell>
          <cell r="AE1042" t="str">
            <v>SNP</v>
          </cell>
          <cell r="AF1042" t="str">
            <v>41011.SNP</v>
          </cell>
        </row>
        <row r="1043">
          <cell r="A1043">
            <v>1043</v>
          </cell>
          <cell r="D1043" t="str">
            <v>BADDEBT</v>
          </cell>
          <cell r="E1043" t="str">
            <v>CUST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0.59419421435740905</v>
          </cell>
          <cell r="N1043">
            <v>0</v>
          </cell>
          <cell r="O1043">
            <v>0</v>
          </cell>
          <cell r="P1043">
            <v>1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41011</v>
          </cell>
          <cell r="AE1043" t="str">
            <v>BADDEBT</v>
          </cell>
          <cell r="AF1043" t="str">
            <v>41011.BADDEBT</v>
          </cell>
        </row>
        <row r="1044">
          <cell r="A1044">
            <v>1044</v>
          </cell>
          <cell r="D1044" t="str">
            <v>DITEXP</v>
          </cell>
          <cell r="E1044" t="str">
            <v>DITEXP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0.59419421435740905</v>
          </cell>
          <cell r="N1044">
            <v>0</v>
          </cell>
          <cell r="O1044">
            <v>0</v>
          </cell>
          <cell r="P1044">
            <v>1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41011</v>
          </cell>
          <cell r="AE1044" t="str">
            <v>DITEXP</v>
          </cell>
          <cell r="AF1044" t="str">
            <v>41011.DITEXP</v>
          </cell>
        </row>
        <row r="1045">
          <cell r="A1045">
            <v>1045</v>
          </cell>
          <cell r="D1045" t="str">
            <v>P</v>
          </cell>
          <cell r="E1045" t="str">
            <v>P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0.59419421435740905</v>
          </cell>
          <cell r="N1045">
            <v>0</v>
          </cell>
          <cell r="O1045">
            <v>0</v>
          </cell>
          <cell r="P1045">
            <v>1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41011</v>
          </cell>
          <cell r="AE1045" t="str">
            <v>P</v>
          </cell>
          <cell r="AF1045" t="str">
            <v>41011.P</v>
          </cell>
        </row>
        <row r="1046">
          <cell r="A1046">
            <v>1046</v>
          </cell>
          <cell r="D1046" t="str">
            <v>DPW</v>
          </cell>
          <cell r="E1046" t="str">
            <v>DPW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S1046" t="str">
            <v>PLNT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41011</v>
          </cell>
          <cell r="AE1046" t="str">
            <v>DPW</v>
          </cell>
          <cell r="AF1046" t="str">
            <v>41011.DPW</v>
          </cell>
        </row>
        <row r="1047">
          <cell r="A1047">
            <v>1047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41011</v>
          </cell>
          <cell r="AE1047" t="str">
            <v>NA</v>
          </cell>
          <cell r="AF1047" t="str">
            <v>41011.NA1</v>
          </cell>
        </row>
        <row r="1048">
          <cell r="A1048">
            <v>1048</v>
          </cell>
          <cell r="AD1048">
            <v>41011</v>
          </cell>
          <cell r="AE1048" t="str">
            <v>NA</v>
          </cell>
          <cell r="AF1048" t="str">
            <v>41011.NA2</v>
          </cell>
        </row>
        <row r="1049">
          <cell r="A1049">
            <v>1049</v>
          </cell>
          <cell r="B1049">
            <v>41110</v>
          </cell>
          <cell r="C1049" t="str">
            <v>Deferred Income Tax - Federal-CR</v>
          </cell>
          <cell r="AD1049">
            <v>41110</v>
          </cell>
          <cell r="AE1049" t="str">
            <v>NA</v>
          </cell>
          <cell r="AF1049" t="str">
            <v>41110.NA</v>
          </cell>
        </row>
        <row r="1050">
          <cell r="A1050">
            <v>1050</v>
          </cell>
          <cell r="D1050" t="str">
            <v>S</v>
          </cell>
          <cell r="E1050" t="str">
            <v>GP</v>
          </cell>
          <cell r="F1050">
            <v>-9427480.6999999993</v>
          </cell>
          <cell r="G1050">
            <v>-4455172.1938621132</v>
          </cell>
          <cell r="H1050">
            <v>-2338060.3292948548</v>
          </cell>
          <cell r="I1050">
            <v>-2569826.4205099298</v>
          </cell>
          <cell r="J1050">
            <v>-64421.756333101614</v>
          </cell>
          <cell r="K1050">
            <v>0</v>
          </cell>
          <cell r="M1050">
            <v>0.59419421435740905</v>
          </cell>
          <cell r="N1050">
            <v>-2647237.5415588729</v>
          </cell>
          <cell r="O1050">
            <v>-1807934.6523032403</v>
          </cell>
          <cell r="P1050">
            <v>1</v>
          </cell>
          <cell r="Q1050">
            <v>-2338060.3292948548</v>
          </cell>
          <cell r="R1050">
            <v>0</v>
          </cell>
          <cell r="S1050" t="str">
            <v>PLNT</v>
          </cell>
          <cell r="T1050">
            <v>-383979.0106231877</v>
          </cell>
          <cell r="U1050">
            <v>-1203648.7690149904</v>
          </cell>
          <cell r="V1050">
            <v>-579365.83455194102</v>
          </cell>
          <cell r="W1050">
            <v>-67886.440338332788</v>
          </cell>
          <cell r="X1050">
            <v>-334946.36598147778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D1050">
            <v>41110</v>
          </cell>
          <cell r="AE1050" t="str">
            <v>S</v>
          </cell>
          <cell r="AF1050" t="str">
            <v>41110.S</v>
          </cell>
        </row>
        <row r="1051">
          <cell r="A1051">
            <v>1051</v>
          </cell>
          <cell r="D1051" t="str">
            <v>SG</v>
          </cell>
          <cell r="E1051" t="str">
            <v>PT</v>
          </cell>
          <cell r="F1051">
            <v>40150.715611322819</v>
          </cell>
          <cell r="G1051">
            <v>28366.854241669313</v>
          </cell>
          <cell r="H1051">
            <v>11783.86136965351</v>
          </cell>
          <cell r="I1051">
            <v>0</v>
          </cell>
          <cell r="J1051">
            <v>0</v>
          </cell>
          <cell r="K1051">
            <v>0</v>
          </cell>
          <cell r="M1051">
            <v>0.59419421435740905</v>
          </cell>
          <cell r="N1051">
            <v>16855.420669919833</v>
          </cell>
          <cell r="O1051">
            <v>11511.43357174948</v>
          </cell>
          <cell r="P1051">
            <v>1</v>
          </cell>
          <cell r="Q1051">
            <v>11783.86136965351</v>
          </cell>
          <cell r="R1051">
            <v>0</v>
          </cell>
          <cell r="S1051" t="str">
            <v>PLNT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D1051">
            <v>41110</v>
          </cell>
          <cell r="AE1051" t="str">
            <v>SG</v>
          </cell>
          <cell r="AF1051" t="str">
            <v>41110.SG</v>
          </cell>
        </row>
        <row r="1052">
          <cell r="A1052">
            <v>1052</v>
          </cell>
          <cell r="D1052" t="str">
            <v>GPS</v>
          </cell>
          <cell r="E1052" t="str">
            <v>GP</v>
          </cell>
          <cell r="F1052">
            <v>9738.7996242772588</v>
          </cell>
          <cell r="G1052">
            <v>4602.2930906318206</v>
          </cell>
          <cell r="H1052">
            <v>2415.2689123483747</v>
          </cell>
          <cell r="I1052">
            <v>2654.6884979059014</v>
          </cell>
          <cell r="J1052">
            <v>66.549123391161245</v>
          </cell>
          <cell r="K1052">
            <v>0</v>
          </cell>
          <cell r="M1052">
            <v>0.59419421435740905</v>
          </cell>
          <cell r="N1052">
            <v>2734.6559272305067</v>
          </cell>
          <cell r="O1052">
            <v>1867.637163401314</v>
          </cell>
          <cell r="P1052">
            <v>1</v>
          </cell>
          <cell r="Q1052">
            <v>2415.2689123483747</v>
          </cell>
          <cell r="R1052">
            <v>0</v>
          </cell>
          <cell r="S1052" t="str">
            <v>PLNT</v>
          </cell>
          <cell r="T1052">
            <v>396.65895517425497</v>
          </cell>
          <cell r="U1052">
            <v>1243.3962531946602</v>
          </cell>
          <cell r="V1052">
            <v>598.49793931198644</v>
          </cell>
          <cell r="W1052">
            <v>70.128219902956246</v>
          </cell>
          <cell r="X1052">
            <v>346.00713032204339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41110</v>
          </cell>
          <cell r="AE1052" t="str">
            <v>GPS</v>
          </cell>
          <cell r="AF1052" t="str">
            <v>41110.GPS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-626519.59849654709</v>
          </cell>
          <cell r="G1053">
            <v>-296076.20349002379</v>
          </cell>
          <cell r="H1053">
            <v>-155379.85866897792</v>
          </cell>
          <cell r="I1053">
            <v>-170782.27666737096</v>
          </cell>
          <cell r="J1053">
            <v>-4281.2596701743678</v>
          </cell>
          <cell r="K1053">
            <v>0</v>
          </cell>
          <cell r="M1053">
            <v>0.59419421435740905</v>
          </cell>
          <cell r="N1053">
            <v>-175926.76712267907</v>
          </cell>
          <cell r="O1053">
            <v>-120149.43636734474</v>
          </cell>
          <cell r="P1053">
            <v>1</v>
          </cell>
          <cell r="Q1053">
            <v>-155379.85866897792</v>
          </cell>
          <cell r="R1053">
            <v>0</v>
          </cell>
          <cell r="S1053" t="str">
            <v>PLNT</v>
          </cell>
          <cell r="T1053">
            <v>-25517.991839192091</v>
          </cell>
          <cell r="U1053">
            <v>-79990.568794708321</v>
          </cell>
          <cell r="V1053">
            <v>-38502.762466127249</v>
          </cell>
          <cell r="W1053">
            <v>-4511.511261341755</v>
          </cell>
          <cell r="X1053">
            <v>-22259.44230600154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41110</v>
          </cell>
          <cell r="AE1053" t="str">
            <v>SNP</v>
          </cell>
          <cell r="AF1053" t="str">
            <v>41110.SNP</v>
          </cell>
        </row>
        <row r="1054">
          <cell r="A1054">
            <v>1054</v>
          </cell>
          <cell r="D1054" t="str">
            <v>CAGW</v>
          </cell>
          <cell r="E1054" t="str">
            <v>PT</v>
          </cell>
          <cell r="F1054">
            <v>-1160824.9199567311</v>
          </cell>
          <cell r="G1054">
            <v>-820133.60915599251</v>
          </cell>
          <cell r="H1054">
            <v>-340691.31080073869</v>
          </cell>
          <cell r="I1054">
            <v>0</v>
          </cell>
          <cell r="J1054">
            <v>0</v>
          </cell>
          <cell r="K1054">
            <v>0</v>
          </cell>
          <cell r="M1054">
            <v>0.59419421435740905</v>
          </cell>
          <cell r="N1054">
            <v>-487318.64556055132</v>
          </cell>
          <cell r="O1054">
            <v>-332814.96359544119</v>
          </cell>
          <cell r="P1054">
            <v>1</v>
          </cell>
          <cell r="Q1054">
            <v>-340691.31080073869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41110</v>
          </cell>
          <cell r="AE1054" t="str">
            <v>CAGW</v>
          </cell>
          <cell r="AF1054" t="str">
            <v>41110.CAGW</v>
          </cell>
        </row>
        <row r="1055">
          <cell r="A1055">
            <v>1055</v>
          </cell>
          <cell r="D1055" t="str">
            <v>SGPP</v>
          </cell>
          <cell r="E1055" t="str">
            <v>GP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0.59419421435740905</v>
          </cell>
          <cell r="N1055">
            <v>0</v>
          </cell>
          <cell r="O1055">
            <v>0</v>
          </cell>
          <cell r="P1055">
            <v>1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41110</v>
          </cell>
          <cell r="AE1055" t="str">
            <v>SGPP</v>
          </cell>
          <cell r="AF1055" t="str">
            <v>41110.SGPP</v>
          </cell>
        </row>
        <row r="1056">
          <cell r="A1056">
            <v>1056</v>
          </cell>
          <cell r="D1056" t="str">
            <v>SO</v>
          </cell>
          <cell r="E1056" t="str">
            <v>LABOR</v>
          </cell>
          <cell r="F1056">
            <v>-20624.136707847894</v>
          </cell>
          <cell r="G1056">
            <v>-8326.8029801567445</v>
          </cell>
          <cell r="H1056">
            <v>-1567.7696765711594</v>
          </cell>
          <cell r="I1056">
            <v>-5502.720542724187</v>
          </cell>
          <cell r="J1056">
            <v>-2650.3736394312864</v>
          </cell>
          <cell r="K1056">
            <v>-2576.4698689645179</v>
          </cell>
          <cell r="M1056">
            <v>0.59419421435740905</v>
          </cell>
          <cell r="N1056">
            <v>-4947.7381549031688</v>
          </cell>
          <cell r="O1056">
            <v>-3379.0648252535752</v>
          </cell>
          <cell r="P1056">
            <v>1</v>
          </cell>
          <cell r="Q1056">
            <v>-1567.7696765711594</v>
          </cell>
          <cell r="R1056">
            <v>0</v>
          </cell>
          <cell r="S1056" t="str">
            <v>DISom</v>
          </cell>
          <cell r="T1056">
            <v>-454.5190681604364</v>
          </cell>
          <cell r="U1056">
            <v>-4798.4055154210919</v>
          </cell>
          <cell r="V1056">
            <v>-40.224644165900088</v>
          </cell>
          <cell r="W1056">
            <v>-209.57131497675957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41110</v>
          </cell>
          <cell r="AE1056" t="str">
            <v>SO</v>
          </cell>
          <cell r="AF1056" t="str">
            <v>41110.SO</v>
          </cell>
        </row>
        <row r="1057">
          <cell r="A1057">
            <v>1057</v>
          </cell>
          <cell r="D1057" t="str">
            <v>SNPD</v>
          </cell>
          <cell r="E1057" t="str">
            <v>PT</v>
          </cell>
          <cell r="F1057">
            <v>-33237.68028055891</v>
          </cell>
          <cell r="G1057">
            <v>-23482.730444384164</v>
          </cell>
          <cell r="H1057">
            <v>-9754.9498361747465</v>
          </cell>
          <cell r="I1057">
            <v>0</v>
          </cell>
          <cell r="J1057">
            <v>0</v>
          </cell>
          <cell r="K1057">
            <v>0</v>
          </cell>
          <cell r="M1057">
            <v>0.59419421435740905</v>
          </cell>
          <cell r="N1057">
            <v>-13953.302567367658</v>
          </cell>
          <cell r="O1057">
            <v>-9529.4278770165056</v>
          </cell>
          <cell r="P1057">
            <v>1</v>
          </cell>
          <cell r="Q1057">
            <v>-9754.9498361747465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41110</v>
          </cell>
          <cell r="AE1057" t="str">
            <v>SNPD</v>
          </cell>
          <cell r="AF1057" t="str">
            <v>41110.SNPD</v>
          </cell>
        </row>
        <row r="1058">
          <cell r="A1058">
            <v>1058</v>
          </cell>
          <cell r="D1058" t="str">
            <v>SCHMDEXP</v>
          </cell>
          <cell r="E1058" t="str">
            <v>GP</v>
          </cell>
          <cell r="F1058">
            <v>-13370394.14706195</v>
          </cell>
          <cell r="G1058">
            <v>-6318486.3613634491</v>
          </cell>
          <cell r="H1058">
            <v>-3315921.7331817672</v>
          </cell>
          <cell r="I1058">
            <v>-3644620.7873701747</v>
          </cell>
          <cell r="J1058">
            <v>-91365.265146557445</v>
          </cell>
          <cell r="K1058">
            <v>0</v>
          </cell>
          <cell r="M1058">
            <v>0.59419421435740905</v>
          </cell>
          <cell r="N1058">
            <v>-3754408.0394183588</v>
          </cell>
          <cell r="O1058">
            <v>-2564078.3219450903</v>
          </cell>
          <cell r="P1058">
            <v>1</v>
          </cell>
          <cell r="Q1058">
            <v>-3315921.7331817672</v>
          </cell>
          <cell r="R1058">
            <v>0</v>
          </cell>
          <cell r="S1058" t="str">
            <v>PLNT</v>
          </cell>
          <cell r="T1058">
            <v>-544572.92245964578</v>
          </cell>
          <cell r="U1058">
            <v>-1707058.2235566229</v>
          </cell>
          <cell r="V1058">
            <v>-821677.58384283236</v>
          </cell>
          <cell r="W1058">
            <v>-96279.005330078784</v>
          </cell>
          <cell r="X1058">
            <v>-475033.05218099471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41110</v>
          </cell>
          <cell r="AE1058" t="str">
            <v>SCHMDEXP</v>
          </cell>
          <cell r="AF1058" t="str">
            <v>41110.SCHMDEXP</v>
          </cell>
        </row>
        <row r="1059">
          <cell r="A1059">
            <v>1059</v>
          </cell>
          <cell r="D1059" t="str">
            <v>CIAC</v>
          </cell>
          <cell r="E1059" t="str">
            <v>DPW</v>
          </cell>
          <cell r="F1059">
            <v>-1631131.8863548962</v>
          </cell>
          <cell r="G1059">
            <v>0</v>
          </cell>
          <cell r="H1059">
            <v>0</v>
          </cell>
          <cell r="I1059">
            <v>-1631131.8863548962</v>
          </cell>
          <cell r="J1059">
            <v>0</v>
          </cell>
          <cell r="K1059">
            <v>0</v>
          </cell>
          <cell r="M1059">
            <v>0.59419421435740905</v>
          </cell>
          <cell r="N1059">
            <v>0</v>
          </cell>
          <cell r="O1059">
            <v>0</v>
          </cell>
          <cell r="P1059">
            <v>1</v>
          </cell>
          <cell r="Q1059">
            <v>0</v>
          </cell>
          <cell r="R1059">
            <v>0</v>
          </cell>
          <cell r="S1059" t="str">
            <v>PLNT</v>
          </cell>
          <cell r="T1059">
            <v>-243720.8999486457</v>
          </cell>
          <cell r="U1059">
            <v>-763985.40829173627</v>
          </cell>
          <cell r="V1059">
            <v>-367737.71141117223</v>
          </cell>
          <cell r="W1059">
            <v>-43089.189450006284</v>
          </cell>
          <cell r="X1059">
            <v>-212598.67725333563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41110</v>
          </cell>
          <cell r="AE1059" t="str">
            <v>CIAC</v>
          </cell>
          <cell r="AF1059" t="str">
            <v>41110.CIAC</v>
          </cell>
        </row>
        <row r="1060">
          <cell r="A1060">
            <v>1060</v>
          </cell>
          <cell r="D1060" t="str">
            <v>JBG</v>
          </cell>
          <cell r="E1060" t="str">
            <v>P</v>
          </cell>
          <cell r="F1060">
            <v>-17140149.462375358</v>
          </cell>
          <cell r="G1060">
            <v>-17140149.462375358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0.59419421435740905</v>
          </cell>
          <cell r="N1060">
            <v>-10184577.643764693</v>
          </cell>
          <cell r="O1060">
            <v>-6955571.8186106654</v>
          </cell>
          <cell r="P1060">
            <v>1</v>
          </cell>
          <cell r="Q1060">
            <v>0</v>
          </cell>
          <cell r="R1060">
            <v>0</v>
          </cell>
          <cell r="S1060" t="str">
            <v>PLNT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41110</v>
          </cell>
          <cell r="AE1060" t="str">
            <v>JBG</v>
          </cell>
          <cell r="AF1060" t="str">
            <v>41110.JBG</v>
          </cell>
        </row>
        <row r="1061">
          <cell r="A1061">
            <v>1061</v>
          </cell>
          <cell r="D1061" t="str">
            <v>BADDEBT</v>
          </cell>
          <cell r="E1061" t="str">
            <v>CUST</v>
          </cell>
          <cell r="F1061">
            <v>-12266.438180316487</v>
          </cell>
          <cell r="G1061">
            <v>0</v>
          </cell>
          <cell r="H1061">
            <v>0</v>
          </cell>
          <cell r="I1061">
            <v>0</v>
          </cell>
          <cell r="J1061">
            <v>-12266.438180316487</v>
          </cell>
          <cell r="K1061">
            <v>0</v>
          </cell>
          <cell r="M1061">
            <v>0.59419421435740905</v>
          </cell>
          <cell r="N1061">
            <v>0</v>
          </cell>
          <cell r="O1061">
            <v>0</v>
          </cell>
          <cell r="P1061">
            <v>1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41110</v>
          </cell>
          <cell r="AE1061" t="str">
            <v>BADDEBT</v>
          </cell>
          <cell r="AF1061" t="str">
            <v>41110.BADDEBT</v>
          </cell>
        </row>
        <row r="1062">
          <cell r="A1062">
            <v>1062</v>
          </cell>
          <cell r="D1062" t="str">
            <v>JBE</v>
          </cell>
          <cell r="E1062" t="str">
            <v>P</v>
          </cell>
          <cell r="F1062">
            <v>-988607.96777244902</v>
          </cell>
          <cell r="G1062">
            <v>-988607.96777244902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0.59419421435740905</v>
          </cell>
          <cell r="N1062">
            <v>-587425.1347180251</v>
          </cell>
          <cell r="O1062">
            <v>-401182.83305442391</v>
          </cell>
          <cell r="P1062">
            <v>1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41110</v>
          </cell>
          <cell r="AE1062" t="str">
            <v>JBE</v>
          </cell>
          <cell r="AF1062" t="str">
            <v>41110.JBE</v>
          </cell>
        </row>
        <row r="1063">
          <cell r="A1063">
            <v>1063</v>
          </cell>
          <cell r="F1063">
            <v>-44361347.421951056</v>
          </cell>
          <cell r="G1063">
            <v>-30017466.184111625</v>
          </cell>
          <cell r="H1063">
            <v>-6147176.8211770821</v>
          </cell>
          <cell r="I1063">
            <v>-8019209.4029471902</v>
          </cell>
          <cell r="J1063">
            <v>-174918.54384619003</v>
          </cell>
          <cell r="K1063">
            <v>-2576.4698689645179</v>
          </cell>
          <cell r="N1063">
            <v>-17836204.736268297</v>
          </cell>
          <cell r="O1063">
            <v>-12181261.447843324</v>
          </cell>
          <cell r="Q1063">
            <v>-6147176.8211770821</v>
          </cell>
          <cell r="R1063">
            <v>0</v>
          </cell>
          <cell r="T1063">
            <v>-1197848.6849836574</v>
          </cell>
          <cell r="U1063">
            <v>-3758237.9789202842</v>
          </cell>
          <cell r="V1063">
            <v>-1806725.6189769269</v>
          </cell>
          <cell r="W1063">
            <v>-211905.58947483342</v>
          </cell>
          <cell r="X1063">
            <v>-1044491.5305914875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41110</v>
          </cell>
          <cell r="AE1063" t="str">
            <v>NA</v>
          </cell>
          <cell r="AF1063" t="str">
            <v>41110.NA1</v>
          </cell>
        </row>
        <row r="1064">
          <cell r="A1064">
            <v>1064</v>
          </cell>
          <cell r="AD1064">
            <v>41110</v>
          </cell>
          <cell r="AE1064" t="str">
            <v>NA</v>
          </cell>
          <cell r="AF1064" t="str">
            <v>41110.NA2</v>
          </cell>
        </row>
        <row r="1065">
          <cell r="A1065">
            <v>1065</v>
          </cell>
          <cell r="B1065">
            <v>41111</v>
          </cell>
          <cell r="C1065" t="str">
            <v>Deferred Income Tax - State-CR</v>
          </cell>
          <cell r="AD1065">
            <v>41111</v>
          </cell>
          <cell r="AE1065" t="str">
            <v>NA</v>
          </cell>
          <cell r="AF1065" t="str">
            <v>41111.NA</v>
          </cell>
        </row>
        <row r="1066">
          <cell r="A1066">
            <v>1066</v>
          </cell>
          <cell r="D1066" t="str">
            <v>S</v>
          </cell>
          <cell r="E1066" t="str">
            <v>GP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M1066">
            <v>0.59419421435740905</v>
          </cell>
          <cell r="N1066">
            <v>0</v>
          </cell>
          <cell r="O1066">
            <v>0</v>
          </cell>
          <cell r="P1066">
            <v>1</v>
          </cell>
          <cell r="Q1066">
            <v>0</v>
          </cell>
          <cell r="R1066">
            <v>0</v>
          </cell>
          <cell r="S1066" t="str">
            <v>PLNT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>
            <v>41111</v>
          </cell>
          <cell r="AE1066" t="str">
            <v>S</v>
          </cell>
          <cell r="AF1066" t="str">
            <v>41111.S</v>
          </cell>
        </row>
        <row r="1067">
          <cell r="A1067">
            <v>1067</v>
          </cell>
          <cell r="D1067" t="str">
            <v>SNP</v>
          </cell>
          <cell r="E1067" t="str">
            <v>GP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M1067">
            <v>0.59419421435740905</v>
          </cell>
          <cell r="N1067">
            <v>0</v>
          </cell>
          <cell r="O1067">
            <v>0</v>
          </cell>
          <cell r="P1067">
            <v>1</v>
          </cell>
          <cell r="Q1067">
            <v>0</v>
          </cell>
          <cell r="R1067">
            <v>0</v>
          </cell>
          <cell r="S1067" t="str">
            <v>PLNT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D1067">
            <v>41111</v>
          </cell>
          <cell r="AE1067" t="str">
            <v>SNP</v>
          </cell>
          <cell r="AF1067" t="str">
            <v>41111.SNP</v>
          </cell>
        </row>
        <row r="1068">
          <cell r="A1068">
            <v>1068</v>
          </cell>
          <cell r="D1068" t="str">
            <v>DITEXP</v>
          </cell>
          <cell r="E1068" t="str">
            <v>DITEXP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M1068">
            <v>0.59419421435740905</v>
          </cell>
          <cell r="N1068">
            <v>0</v>
          </cell>
          <cell r="O1068">
            <v>0</v>
          </cell>
          <cell r="P1068">
            <v>1</v>
          </cell>
          <cell r="Q1068">
            <v>0</v>
          </cell>
          <cell r="R1068">
            <v>0</v>
          </cell>
          <cell r="S1068" t="str">
            <v>PLNT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D1068">
            <v>41111</v>
          </cell>
          <cell r="AE1068" t="str">
            <v>DITEXP</v>
          </cell>
          <cell r="AF1068" t="str">
            <v>41111.DITEXP</v>
          </cell>
        </row>
        <row r="1069">
          <cell r="A1069">
            <v>1069</v>
          </cell>
          <cell r="D1069" t="str">
            <v>SG</v>
          </cell>
          <cell r="E1069" t="str">
            <v>PT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0.59419421435740905</v>
          </cell>
          <cell r="N1069">
            <v>0</v>
          </cell>
          <cell r="O1069">
            <v>0</v>
          </cell>
          <cell r="P1069">
            <v>1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>
            <v>41111</v>
          </cell>
          <cell r="AE1069" t="str">
            <v>SG</v>
          </cell>
          <cell r="AF1069" t="str">
            <v>41111.SG</v>
          </cell>
        </row>
        <row r="1070">
          <cell r="A1070">
            <v>1070</v>
          </cell>
          <cell r="D1070" t="str">
            <v>SGCT</v>
          </cell>
          <cell r="E1070" t="str">
            <v>P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0.59419421435740905</v>
          </cell>
          <cell r="N1070">
            <v>0</v>
          </cell>
          <cell r="O1070">
            <v>0</v>
          </cell>
          <cell r="P1070">
            <v>1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>
            <v>41111</v>
          </cell>
          <cell r="AE1070" t="str">
            <v>SGCT</v>
          </cell>
          <cell r="AF1070" t="str">
            <v>41111.SGCT</v>
          </cell>
        </row>
        <row r="1071">
          <cell r="A1071">
            <v>1071</v>
          </cell>
          <cell r="D1071" t="str">
            <v>SG</v>
          </cell>
          <cell r="E1071" t="str">
            <v>PT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0.59419421435740905</v>
          </cell>
          <cell r="N1071">
            <v>0</v>
          </cell>
          <cell r="O1071">
            <v>0</v>
          </cell>
          <cell r="P1071">
            <v>1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>
            <v>41111</v>
          </cell>
          <cell r="AE1071" t="str">
            <v>SG</v>
          </cell>
          <cell r="AF1071" t="str">
            <v>41111.SG1</v>
          </cell>
        </row>
        <row r="1072">
          <cell r="A1072">
            <v>1072</v>
          </cell>
          <cell r="D1072" t="str">
            <v>BADDEBT</v>
          </cell>
          <cell r="E1072" t="str">
            <v>CUST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0.59419421435740905</v>
          </cell>
          <cell r="N1072">
            <v>0</v>
          </cell>
          <cell r="O1072">
            <v>0</v>
          </cell>
          <cell r="P1072">
            <v>1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>
            <v>41111</v>
          </cell>
          <cell r="AE1072" t="str">
            <v>BADDEBT</v>
          </cell>
          <cell r="AF1072" t="str">
            <v>41111.BADDEBT</v>
          </cell>
        </row>
        <row r="1073">
          <cell r="A1073">
            <v>1073</v>
          </cell>
          <cell r="D1073" t="str">
            <v>SGPP</v>
          </cell>
          <cell r="E1073" t="str">
            <v>GP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0.59419421435740905</v>
          </cell>
          <cell r="N1073">
            <v>0</v>
          </cell>
          <cell r="O1073">
            <v>0</v>
          </cell>
          <cell r="P1073">
            <v>1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>
            <v>41111</v>
          </cell>
          <cell r="AE1073" t="str">
            <v>SGPP</v>
          </cell>
          <cell r="AF1073" t="str">
            <v>41111.SGPP</v>
          </cell>
        </row>
        <row r="1074">
          <cell r="A1074">
            <v>1074</v>
          </cell>
          <cell r="D1074" t="str">
            <v>SO</v>
          </cell>
          <cell r="E1074" t="str">
            <v>LABOR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0.59419421435740905</v>
          </cell>
          <cell r="N1074">
            <v>0</v>
          </cell>
          <cell r="O1074">
            <v>0</v>
          </cell>
          <cell r="P1074">
            <v>1</v>
          </cell>
          <cell r="Q1074">
            <v>0</v>
          </cell>
          <cell r="R1074">
            <v>0</v>
          </cell>
          <cell r="S1074" t="str">
            <v>DISom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>
            <v>41111</v>
          </cell>
          <cell r="AE1074" t="str">
            <v>SO</v>
          </cell>
          <cell r="AF1074" t="str">
            <v>41111.SO</v>
          </cell>
        </row>
        <row r="1075">
          <cell r="A1075">
            <v>1075</v>
          </cell>
          <cell r="D1075" t="str">
            <v>SE</v>
          </cell>
          <cell r="E1075" t="str">
            <v>P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M1075">
            <v>0.59419421435740905</v>
          </cell>
          <cell r="N1075">
            <v>0</v>
          </cell>
          <cell r="O1075">
            <v>0</v>
          </cell>
          <cell r="P1075">
            <v>1</v>
          </cell>
          <cell r="Q1075">
            <v>0</v>
          </cell>
          <cell r="R1075">
            <v>0</v>
          </cell>
          <cell r="S1075" t="str">
            <v>PLNT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D1075">
            <v>41111</v>
          </cell>
          <cell r="AE1075" t="str">
            <v>SE</v>
          </cell>
          <cell r="AF1075" t="str">
            <v>41111.SE</v>
          </cell>
        </row>
        <row r="1076">
          <cell r="A1076">
            <v>1076</v>
          </cell>
          <cell r="D1076" t="str">
            <v>TROJP</v>
          </cell>
          <cell r="E1076" t="str">
            <v>P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M1076">
            <v>0.59419421435740905</v>
          </cell>
          <cell r="N1076">
            <v>0</v>
          </cell>
          <cell r="O1076">
            <v>0</v>
          </cell>
          <cell r="P1076">
            <v>1</v>
          </cell>
          <cell r="Q1076">
            <v>0</v>
          </cell>
          <cell r="R1076">
            <v>0</v>
          </cell>
          <cell r="S1076" t="str">
            <v>PLNT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D1076">
            <v>41111</v>
          </cell>
          <cell r="AE1076" t="str">
            <v>TROJP</v>
          </cell>
          <cell r="AF1076" t="str">
            <v>41111.TROJP</v>
          </cell>
        </row>
        <row r="1077">
          <cell r="A1077">
            <v>1077</v>
          </cell>
          <cell r="D1077" t="str">
            <v>SG</v>
          </cell>
          <cell r="E1077" t="str">
            <v>PT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M1077">
            <v>0.59419421435740905</v>
          </cell>
          <cell r="N1077">
            <v>0</v>
          </cell>
          <cell r="O1077">
            <v>0</v>
          </cell>
          <cell r="P1077">
            <v>1</v>
          </cell>
          <cell r="Q1077">
            <v>0</v>
          </cell>
          <cell r="R1077">
            <v>0</v>
          </cell>
          <cell r="S1077" t="str">
            <v>PLNT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D1077">
            <v>41111</v>
          </cell>
          <cell r="AE1077" t="str">
            <v>SG</v>
          </cell>
          <cell r="AF1077" t="str">
            <v>41111.SG2</v>
          </cell>
        </row>
        <row r="1078">
          <cell r="A1078">
            <v>1078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>
            <v>41111</v>
          </cell>
          <cell r="AE1078" t="str">
            <v>NA</v>
          </cell>
          <cell r="AF1078" t="str">
            <v>41111.NA1</v>
          </cell>
        </row>
        <row r="1079">
          <cell r="A1079">
            <v>1079</v>
          </cell>
          <cell r="AD1079">
            <v>41111</v>
          </cell>
          <cell r="AE1079" t="str">
            <v>NA</v>
          </cell>
          <cell r="AF1079" t="str">
            <v>41111.NA2</v>
          </cell>
        </row>
        <row r="1080">
          <cell r="A1080">
            <v>1080</v>
          </cell>
          <cell r="B1080" t="str">
            <v>TOTAL DEFERRED INCOME TAXES</v>
          </cell>
          <cell r="F1080">
            <v>-15956248.94191549</v>
          </cell>
          <cell r="G1080">
            <v>-12936263.858734097</v>
          </cell>
          <cell r="H1080">
            <v>501539.11156033166</v>
          </cell>
          <cell r="I1080">
            <v>-3493103.3342525028</v>
          </cell>
          <cell r="J1080">
            <v>-29686.935832945397</v>
          </cell>
          <cell r="K1080">
            <v>1266.0753437296121</v>
          </cell>
          <cell r="N1080">
            <v>-7686653.140260648</v>
          </cell>
          <cell r="O1080">
            <v>-5249610.7184734447</v>
          </cell>
          <cell r="Q1080">
            <v>501539.11156033166</v>
          </cell>
          <cell r="R1080">
            <v>0</v>
          </cell>
          <cell r="T1080">
            <v>-522114.12872791663</v>
          </cell>
          <cell r="U1080">
            <v>-1634999.4389961418</v>
          </cell>
          <cell r="V1080">
            <v>-788107.92056449654</v>
          </cell>
          <cell r="W1080">
            <v>-92244.856480781586</v>
          </cell>
          <cell r="X1080">
            <v>-455636.98948316474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TOTAL DEFERRED INCOME TAXES</v>
          </cell>
          <cell r="AE1080" t="str">
            <v>NA</v>
          </cell>
          <cell r="AF1080" t="str">
            <v>TOTAL DEFERRED INCOME TAXES.NA</v>
          </cell>
        </row>
        <row r="1081">
          <cell r="A1081">
            <v>1081</v>
          </cell>
          <cell r="B1081" t="str">
            <v>SCHMAF</v>
          </cell>
          <cell r="AD1081" t="str">
            <v>SCHMAF</v>
          </cell>
          <cell r="AE1081" t="str">
            <v>NA</v>
          </cell>
          <cell r="AF1081" t="str">
            <v>SCHMAF.NA</v>
          </cell>
        </row>
        <row r="1082">
          <cell r="A1082">
            <v>1082</v>
          </cell>
          <cell r="D1082" t="str">
            <v>S</v>
          </cell>
          <cell r="E1082" t="str">
            <v>SCHMAF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0.59419421435740905</v>
          </cell>
          <cell r="N1082">
            <v>0</v>
          </cell>
          <cell r="O1082">
            <v>0</v>
          </cell>
          <cell r="P1082">
            <v>1</v>
          </cell>
          <cell r="Q1082">
            <v>0</v>
          </cell>
          <cell r="R1082">
            <v>0</v>
          </cell>
          <cell r="S1082" t="str">
            <v>PLNT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SCHMAF</v>
          </cell>
          <cell r="AE1082" t="str">
            <v>S</v>
          </cell>
          <cell r="AF1082" t="str">
            <v>SCHMAF.S</v>
          </cell>
        </row>
        <row r="1083">
          <cell r="A1083">
            <v>1083</v>
          </cell>
          <cell r="D1083" t="str">
            <v>SNP</v>
          </cell>
          <cell r="E1083" t="str">
            <v>SCHMAF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M1083">
            <v>0.59419421435740905</v>
          </cell>
          <cell r="N1083">
            <v>0</v>
          </cell>
          <cell r="O1083">
            <v>0</v>
          </cell>
          <cell r="P1083">
            <v>1</v>
          </cell>
          <cell r="Q1083">
            <v>0</v>
          </cell>
          <cell r="R1083">
            <v>0</v>
          </cell>
          <cell r="S1083" t="str">
            <v>PLNT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SCHMAF</v>
          </cell>
          <cell r="AE1083" t="str">
            <v>SNP</v>
          </cell>
          <cell r="AF1083" t="str">
            <v>SCHMAF.SNP</v>
          </cell>
        </row>
        <row r="1084">
          <cell r="A1084">
            <v>1084</v>
          </cell>
          <cell r="D1084" t="str">
            <v>SO</v>
          </cell>
          <cell r="E1084" t="str">
            <v>SCHMAF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M1084">
            <v>0.59419421435740905</v>
          </cell>
          <cell r="N1084">
            <v>0</v>
          </cell>
          <cell r="O1084">
            <v>0</v>
          </cell>
          <cell r="P1084">
            <v>1</v>
          </cell>
          <cell r="Q1084">
            <v>0</v>
          </cell>
          <cell r="R1084">
            <v>0</v>
          </cell>
          <cell r="S1084" t="str">
            <v>PLNT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D1084" t="str">
            <v>SCHMAF</v>
          </cell>
          <cell r="AE1084" t="str">
            <v>SO</v>
          </cell>
          <cell r="AF1084" t="str">
            <v>SCHMAF.SO</v>
          </cell>
        </row>
        <row r="1085">
          <cell r="A1085">
            <v>1085</v>
          </cell>
          <cell r="D1085" t="str">
            <v>SE</v>
          </cell>
          <cell r="E1085" t="str">
            <v>SCHMAF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M1085">
            <v>0.59419421435740905</v>
          </cell>
          <cell r="N1085">
            <v>0</v>
          </cell>
          <cell r="O1085">
            <v>0</v>
          </cell>
          <cell r="P1085">
            <v>1</v>
          </cell>
          <cell r="Q1085">
            <v>0</v>
          </cell>
          <cell r="R1085">
            <v>0</v>
          </cell>
          <cell r="S1085" t="str">
            <v>PLNT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D1085" t="str">
            <v>SCHMAF</v>
          </cell>
          <cell r="AE1085" t="str">
            <v>SE</v>
          </cell>
          <cell r="AF1085" t="str">
            <v>SCHMAF.SE</v>
          </cell>
        </row>
        <row r="1086">
          <cell r="A1086">
            <v>1086</v>
          </cell>
          <cell r="D1086" t="str">
            <v>TROJP</v>
          </cell>
          <cell r="E1086" t="str">
            <v>SCHMAF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M1086">
            <v>0.59419421435740905</v>
          </cell>
          <cell r="N1086">
            <v>0</v>
          </cell>
          <cell r="O1086">
            <v>0</v>
          </cell>
          <cell r="P1086">
            <v>1</v>
          </cell>
          <cell r="Q1086">
            <v>0</v>
          </cell>
          <cell r="R1086">
            <v>0</v>
          </cell>
          <cell r="S1086" t="str">
            <v>PLNT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D1086" t="str">
            <v>SCHMAF</v>
          </cell>
          <cell r="AE1086" t="str">
            <v>TROJP</v>
          </cell>
          <cell r="AF1086" t="str">
            <v>SCHMAF.TROJP</v>
          </cell>
        </row>
        <row r="1087">
          <cell r="A1087">
            <v>1087</v>
          </cell>
          <cell r="D1087" t="str">
            <v>DGP</v>
          </cell>
          <cell r="E1087" t="str">
            <v>SCHMAF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M1087">
            <v>0.59419421435740905</v>
          </cell>
          <cell r="N1087">
            <v>0</v>
          </cell>
          <cell r="O1087">
            <v>0</v>
          </cell>
          <cell r="P1087">
            <v>1</v>
          </cell>
          <cell r="Q1087">
            <v>0</v>
          </cell>
          <cell r="R1087">
            <v>0</v>
          </cell>
          <cell r="S1087" t="str">
            <v>PLNT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SCHMAF</v>
          </cell>
          <cell r="AE1087" t="str">
            <v>DGP</v>
          </cell>
          <cell r="AF1087" t="str">
            <v>SCHMAF.DGP</v>
          </cell>
        </row>
        <row r="1088">
          <cell r="A1088">
            <v>1088</v>
          </cell>
          <cell r="AD1088" t="str">
            <v>SCHMAF</v>
          </cell>
          <cell r="AE1088" t="str">
            <v>NA</v>
          </cell>
          <cell r="AF1088" t="str">
            <v>SCHMAF.NA1</v>
          </cell>
        </row>
        <row r="1089">
          <cell r="A1089">
            <v>1089</v>
          </cell>
          <cell r="AD1089" t="str">
            <v>SCHMAF</v>
          </cell>
          <cell r="AE1089" t="str">
            <v>NA</v>
          </cell>
          <cell r="AF1089" t="str">
            <v>SCHMAF.NA2</v>
          </cell>
        </row>
        <row r="1090">
          <cell r="A1090">
            <v>1090</v>
          </cell>
          <cell r="B1090" t="str">
            <v>SCHMAP</v>
          </cell>
          <cell r="AD1090" t="str">
            <v>SCHMAP</v>
          </cell>
          <cell r="AE1090" t="str">
            <v>NA</v>
          </cell>
          <cell r="AF1090" t="str">
            <v>SCHMAP.NA</v>
          </cell>
        </row>
        <row r="1091">
          <cell r="A1091">
            <v>1091</v>
          </cell>
          <cell r="D1091" t="str">
            <v>S</v>
          </cell>
          <cell r="E1091" t="str">
            <v>P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0.59419421435740905</v>
          </cell>
          <cell r="N1091">
            <v>0</v>
          </cell>
          <cell r="O1091">
            <v>0</v>
          </cell>
          <cell r="P1091">
            <v>1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SCHMAP</v>
          </cell>
          <cell r="AE1091" t="str">
            <v>S</v>
          </cell>
          <cell r="AF1091" t="str">
            <v>SCHMAP.S</v>
          </cell>
        </row>
        <row r="1092">
          <cell r="A1092">
            <v>1092</v>
          </cell>
          <cell r="D1092" t="str">
            <v>BADDEBT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0.59419421435740905</v>
          </cell>
          <cell r="N1092">
            <v>0</v>
          </cell>
          <cell r="O1092">
            <v>0</v>
          </cell>
          <cell r="P1092">
            <v>1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SCHMAP</v>
          </cell>
          <cell r="AE1092" t="str">
            <v>BADDEBT</v>
          </cell>
          <cell r="AF1092" t="str">
            <v>SCHMAP.BADDEBT</v>
          </cell>
        </row>
        <row r="1093">
          <cell r="A1093">
            <v>1093</v>
          </cell>
          <cell r="D1093" t="str">
            <v>JBE</v>
          </cell>
          <cell r="E1093" t="str">
            <v>P</v>
          </cell>
          <cell r="F1093">
            <v>4066.4833684766854</v>
          </cell>
          <cell r="G1093">
            <v>4066.4833684766854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0.59419421435740905</v>
          </cell>
          <cell r="N1093">
            <v>2416.2808903294745</v>
          </cell>
          <cell r="O1093">
            <v>1650.202478147211</v>
          </cell>
          <cell r="P1093">
            <v>1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SCHMAP</v>
          </cell>
          <cell r="AE1093" t="str">
            <v>JBE</v>
          </cell>
          <cell r="AF1093" t="str">
            <v>SCHMAP.JBE</v>
          </cell>
        </row>
        <row r="1094">
          <cell r="A1094">
            <v>1094</v>
          </cell>
          <cell r="D1094" t="str">
            <v>SCHMDEXP</v>
          </cell>
          <cell r="E1094" t="str">
            <v>P</v>
          </cell>
          <cell r="F1094">
            <v>9964.7547242094461</v>
          </cell>
          <cell r="G1094">
            <v>9964.7547242094461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0.59419421435740905</v>
          </cell>
          <cell r="N1094">
            <v>5920.9996046159122</v>
          </cell>
          <cell r="O1094">
            <v>4043.7551195935339</v>
          </cell>
          <cell r="P1094">
            <v>1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SCHMAP</v>
          </cell>
          <cell r="AE1094" t="str">
            <v>SCHMDEXP</v>
          </cell>
          <cell r="AF1094" t="str">
            <v>SCHMAP.SCHMDEXP</v>
          </cell>
        </row>
        <row r="1095">
          <cell r="A1095">
            <v>1095</v>
          </cell>
          <cell r="D1095" t="str">
            <v>CAEE</v>
          </cell>
          <cell r="E1095" t="str">
            <v>P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M1095">
            <v>0.59419421435740905</v>
          </cell>
          <cell r="N1095">
            <v>0</v>
          </cell>
          <cell r="O1095">
            <v>0</v>
          </cell>
          <cell r="P1095">
            <v>1</v>
          </cell>
          <cell r="Q1095">
            <v>0</v>
          </cell>
          <cell r="R1095">
            <v>0</v>
          </cell>
          <cell r="S1095" t="str">
            <v>DRB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SCHMAP</v>
          </cell>
          <cell r="AE1095" t="str">
            <v>CAEE</v>
          </cell>
          <cell r="AF1095" t="str">
            <v>SCHMAP.CAEE</v>
          </cell>
        </row>
        <row r="1096">
          <cell r="A1096">
            <v>1096</v>
          </cell>
          <cell r="D1096" t="str">
            <v>CAGW</v>
          </cell>
          <cell r="E1096" t="str">
            <v>P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M1096">
            <v>0.59419421435740905</v>
          </cell>
          <cell r="N1096">
            <v>0</v>
          </cell>
          <cell r="O1096">
            <v>0</v>
          </cell>
          <cell r="P1096">
            <v>1</v>
          </cell>
          <cell r="Q1096">
            <v>0</v>
          </cell>
          <cell r="R1096">
            <v>0</v>
          </cell>
          <cell r="S1096" t="str">
            <v>DRB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SCHMAP</v>
          </cell>
          <cell r="AE1096" t="str">
            <v>CAGW</v>
          </cell>
          <cell r="AF1096" t="str">
            <v>SCHMAP.CAGW</v>
          </cell>
        </row>
        <row r="1097">
          <cell r="A1097">
            <v>1097</v>
          </cell>
          <cell r="D1097" t="str">
            <v>CAGE</v>
          </cell>
          <cell r="E1097" t="str">
            <v>P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M1097">
            <v>0.59419421435740905</v>
          </cell>
          <cell r="N1097">
            <v>0</v>
          </cell>
          <cell r="O1097">
            <v>0</v>
          </cell>
          <cell r="P1097">
            <v>1</v>
          </cell>
          <cell r="Q1097">
            <v>0</v>
          </cell>
          <cell r="R1097">
            <v>0</v>
          </cell>
          <cell r="S1097" t="str">
            <v>DRB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SCHMAP</v>
          </cell>
          <cell r="AE1097" t="str">
            <v>CAGE</v>
          </cell>
          <cell r="AF1097" t="str">
            <v>SCHMAP.CAGE</v>
          </cell>
        </row>
        <row r="1098">
          <cell r="A1098">
            <v>1098</v>
          </cell>
          <cell r="D1098" t="str">
            <v>SNP</v>
          </cell>
          <cell r="E1098" t="str">
            <v>LABOR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M1098">
            <v>0.59419421435740905</v>
          </cell>
          <cell r="N1098">
            <v>0</v>
          </cell>
          <cell r="O1098">
            <v>0</v>
          </cell>
          <cell r="P1098">
            <v>1</v>
          </cell>
          <cell r="Q1098">
            <v>0</v>
          </cell>
          <cell r="R1098">
            <v>0</v>
          </cell>
          <cell r="S1098" t="str">
            <v>DISom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SCHMAP</v>
          </cell>
          <cell r="AE1098" t="str">
            <v>SNP</v>
          </cell>
          <cell r="AF1098" t="str">
            <v>SCHMAP.SNP</v>
          </cell>
        </row>
        <row r="1099">
          <cell r="A1099">
            <v>1099</v>
          </cell>
          <cell r="D1099" t="str">
            <v>SO</v>
          </cell>
          <cell r="E1099" t="str">
            <v>SCHMAP-SO</v>
          </cell>
          <cell r="F1099">
            <v>217003.04324786394</v>
          </cell>
          <cell r="G1099">
            <v>170316.073746454</v>
          </cell>
          <cell r="H1099">
            <v>5952.0556810208209</v>
          </cell>
          <cell r="I1099">
            <v>20891.142083462073</v>
          </cell>
          <cell r="J1099">
            <v>10062.174127456277</v>
          </cell>
          <cell r="K1099">
            <v>9781.5976094707785</v>
          </cell>
          <cell r="M1099">
            <v>0.59419421435740905</v>
          </cell>
          <cell r="N1099">
            <v>101200.82563221277</v>
          </cell>
          <cell r="O1099">
            <v>69115.248114241229</v>
          </cell>
          <cell r="P1099">
            <v>1</v>
          </cell>
          <cell r="Q1099">
            <v>5952.0556810208209</v>
          </cell>
          <cell r="R1099">
            <v>0</v>
          </cell>
          <cell r="S1099" t="str">
            <v>DISom</v>
          </cell>
          <cell r="T1099">
            <v>1725.5868908584696</v>
          </cell>
          <cell r="U1099">
            <v>18217.201949184033</v>
          </cell>
          <cell r="V1099">
            <v>152.71332607243448</v>
          </cell>
          <cell r="W1099">
            <v>795.63991734713738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SCHMAP</v>
          </cell>
          <cell r="AE1099" t="str">
            <v>SO</v>
          </cell>
          <cell r="AF1099" t="str">
            <v>SCHMAP.SO</v>
          </cell>
        </row>
        <row r="1100">
          <cell r="A1100">
            <v>1100</v>
          </cell>
          <cell r="AD1100" t="str">
            <v>SCHMAP</v>
          </cell>
          <cell r="AE1100" t="str">
            <v>NA</v>
          </cell>
          <cell r="AF1100" t="str">
            <v>SCHMAP.NA1</v>
          </cell>
        </row>
        <row r="1101">
          <cell r="A1101">
            <v>1101</v>
          </cell>
          <cell r="AD1101" t="str">
            <v>SCHMAP</v>
          </cell>
          <cell r="AE1101" t="str">
            <v>NA</v>
          </cell>
          <cell r="AF1101" t="str">
            <v>SCHMAP.NA2</v>
          </cell>
        </row>
        <row r="1102">
          <cell r="A1102">
            <v>1102</v>
          </cell>
          <cell r="AD1102" t="str">
            <v>SCHMAP</v>
          </cell>
          <cell r="AE1102" t="str">
            <v>NA</v>
          </cell>
          <cell r="AF1102" t="str">
            <v>SCHMAP.NA3</v>
          </cell>
        </row>
        <row r="1103">
          <cell r="A1103">
            <v>1103</v>
          </cell>
          <cell r="B1103" t="str">
            <v>SCHMAT</v>
          </cell>
          <cell r="AD1103" t="str">
            <v>SCHMAT</v>
          </cell>
          <cell r="AE1103" t="str">
            <v>NA</v>
          </cell>
          <cell r="AF1103" t="str">
            <v>SCHMAT.NA</v>
          </cell>
        </row>
        <row r="1104">
          <cell r="A1104">
            <v>1104</v>
          </cell>
          <cell r="D1104" t="str">
            <v>S</v>
          </cell>
          <cell r="E1104" t="str">
            <v>SCHMAT-SITUS</v>
          </cell>
          <cell r="F1104">
            <v>16100339.095216047</v>
          </cell>
          <cell r="G1104">
            <v>30795719.882443093</v>
          </cell>
          <cell r="H1104">
            <v>-5027229.0642702235</v>
          </cell>
          <cell r="I1104">
            <v>-9521356.1152946521</v>
          </cell>
          <cell r="J1104">
            <v>-74435.595461611592</v>
          </cell>
          <cell r="K1104">
            <v>-72360.012200553872</v>
          </cell>
          <cell r="M1104">
            <v>0.59419421435740905</v>
          </cell>
          <cell r="N1104">
            <v>18298638.581119116</v>
          </cell>
          <cell r="O1104">
            <v>12497081.301323978</v>
          </cell>
          <cell r="P1104">
            <v>1</v>
          </cell>
          <cell r="Q1104">
            <v>-5027229.0642702235</v>
          </cell>
          <cell r="R1104">
            <v>0</v>
          </cell>
          <cell r="S1104" t="str">
            <v>PLNT</v>
          </cell>
          <cell r="T1104">
            <v>-1422664.5316442887</v>
          </cell>
          <cell r="U1104">
            <v>-4459588.583906644</v>
          </cell>
          <cell r="V1104">
            <v>-2146584.0602219766</v>
          </cell>
          <cell r="W1104">
            <v>-251523.20355267855</v>
          </cell>
          <cell r="X1104">
            <v>-1240995.7359690634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D1104" t="str">
            <v>SCHMAT</v>
          </cell>
          <cell r="AE1104" t="str">
            <v>S</v>
          </cell>
          <cell r="AF1104" t="str">
            <v>SCHMAT.S</v>
          </cell>
        </row>
        <row r="1105">
          <cell r="A1105">
            <v>1105</v>
          </cell>
          <cell r="D1105" t="str">
            <v>JBE</v>
          </cell>
          <cell r="E1105" t="str">
            <v>P</v>
          </cell>
          <cell r="F1105">
            <v>4020922.2629005304</v>
          </cell>
          <cell r="G1105">
            <v>4020922.2629005304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M1105">
            <v>0.59419421435740905</v>
          </cell>
          <cell r="N1105">
            <v>2389208.7449963959</v>
          </cell>
          <cell r="O1105">
            <v>1631713.5179041345</v>
          </cell>
          <cell r="P1105">
            <v>1</v>
          </cell>
          <cell r="Q1105">
            <v>0</v>
          </cell>
          <cell r="R1105">
            <v>0</v>
          </cell>
          <cell r="S1105" t="str">
            <v>DRB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D1105" t="str">
            <v>SCHMAT</v>
          </cell>
          <cell r="AE1105" t="str">
            <v>JBE</v>
          </cell>
          <cell r="AF1105" t="str">
            <v>SCHMAT.JBE</v>
          </cell>
        </row>
        <row r="1106">
          <cell r="A1106">
            <v>1106</v>
          </cell>
          <cell r="D1106" t="str">
            <v>CIAC</v>
          </cell>
          <cell r="E1106" t="str">
            <v>DPW</v>
          </cell>
          <cell r="F1106">
            <v>6634231.1358266054</v>
          </cell>
          <cell r="G1106">
            <v>0</v>
          </cell>
          <cell r="H1106">
            <v>0</v>
          </cell>
          <cell r="I1106">
            <v>6634231.1358266054</v>
          </cell>
          <cell r="J1106">
            <v>0</v>
          </cell>
          <cell r="K1106">
            <v>0</v>
          </cell>
          <cell r="M1106">
            <v>0.59419421435740905</v>
          </cell>
          <cell r="N1106">
            <v>0</v>
          </cell>
          <cell r="O1106">
            <v>0</v>
          </cell>
          <cell r="P1106">
            <v>1</v>
          </cell>
          <cell r="Q1106">
            <v>0</v>
          </cell>
          <cell r="R1106">
            <v>0</v>
          </cell>
          <cell r="S1106" t="str">
            <v>PLNT</v>
          </cell>
          <cell r="T1106">
            <v>991275.32017309009</v>
          </cell>
          <cell r="U1106">
            <v>3107324.3220894653</v>
          </cell>
          <cell r="V1106">
            <v>1495683.4547042907</v>
          </cell>
          <cell r="W1106">
            <v>175254.76919317959</v>
          </cell>
          <cell r="X1106">
            <v>864693.26966657944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SCHMAT</v>
          </cell>
          <cell r="AE1106" t="str">
            <v>CIAC</v>
          </cell>
          <cell r="AF1106" t="str">
            <v>SCHMAT.CIAC</v>
          </cell>
        </row>
        <row r="1107">
          <cell r="A1107">
            <v>1107</v>
          </cell>
          <cell r="D1107" t="str">
            <v>SNP</v>
          </cell>
          <cell r="E1107" t="str">
            <v>SCHMAT-SNP</v>
          </cell>
          <cell r="F1107">
            <v>2548215.96260679</v>
          </cell>
          <cell r="G1107">
            <v>1226981.0217692985</v>
          </cell>
          <cell r="H1107">
            <v>628081.36356954777</v>
          </cell>
          <cell r="I1107">
            <v>692910.18309926754</v>
          </cell>
          <cell r="J1107">
            <v>243.39416867562298</v>
          </cell>
          <cell r="K1107">
            <v>0</v>
          </cell>
          <cell r="M1107">
            <v>0.59419421435740905</v>
          </cell>
          <cell r="N1107">
            <v>729065.02426165936</v>
          </cell>
          <cell r="O1107">
            <v>497915.99750763917</v>
          </cell>
          <cell r="P1107">
            <v>1</v>
          </cell>
          <cell r="Q1107">
            <v>628081.36356954777</v>
          </cell>
          <cell r="R1107">
            <v>0</v>
          </cell>
          <cell r="S1107" t="str">
            <v>DISom</v>
          </cell>
          <cell r="T1107">
            <v>57233.669835837463</v>
          </cell>
          <cell r="U1107">
            <v>604221.86052518501</v>
          </cell>
          <cell r="V1107">
            <v>5065.1428393814658</v>
          </cell>
          <cell r="W1107">
            <v>26389.509898863733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SCHMAT</v>
          </cell>
          <cell r="AE1107" t="str">
            <v>SNP</v>
          </cell>
          <cell r="AF1107" t="str">
            <v>SCHMAT.SNP</v>
          </cell>
        </row>
        <row r="1108">
          <cell r="A1108">
            <v>1108</v>
          </cell>
          <cell r="D1108" t="str">
            <v>TROJD</v>
          </cell>
          <cell r="E1108" t="str">
            <v>P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0.59419421435740905</v>
          </cell>
          <cell r="N1108">
            <v>0</v>
          </cell>
          <cell r="O1108">
            <v>0</v>
          </cell>
          <cell r="P1108">
            <v>1</v>
          </cell>
          <cell r="Q1108">
            <v>0</v>
          </cell>
          <cell r="R1108">
            <v>0</v>
          </cell>
          <cell r="S1108" t="str">
            <v>DRB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SCHMAT</v>
          </cell>
          <cell r="AE1108" t="str">
            <v>TROJD</v>
          </cell>
          <cell r="AF1108" t="str">
            <v>SCHMAT.TROJD</v>
          </cell>
        </row>
        <row r="1109">
          <cell r="A1109">
            <v>1109</v>
          </cell>
          <cell r="D1109" t="str">
            <v>CN</v>
          </cell>
          <cell r="E1109" t="str">
            <v>P</v>
          </cell>
          <cell r="F1109">
            <v>50557.188580000024</v>
          </cell>
          <cell r="G1109">
            <v>50557.188580000024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M1109">
            <v>0.59419421435740905</v>
          </cell>
          <cell r="N1109">
            <v>30040.788948412486</v>
          </cell>
          <cell r="O1109">
            <v>20516.399631587537</v>
          </cell>
          <cell r="P1109">
            <v>1</v>
          </cell>
          <cell r="Q1109">
            <v>0</v>
          </cell>
          <cell r="R1109">
            <v>0</v>
          </cell>
          <cell r="S1109" t="str">
            <v>DRB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D1109" t="str">
            <v>SCHMAT</v>
          </cell>
          <cell r="AE1109" t="str">
            <v>CN</v>
          </cell>
          <cell r="AF1109" t="str">
            <v>SCHMAT.CN</v>
          </cell>
        </row>
        <row r="1110">
          <cell r="A1110">
            <v>1110</v>
          </cell>
          <cell r="D1110" t="str">
            <v>SE</v>
          </cell>
          <cell r="E1110" t="str">
            <v>SCHMAT-SE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M1110">
            <v>0.59419421435740905</v>
          </cell>
          <cell r="N1110">
            <v>0</v>
          </cell>
          <cell r="O1110">
            <v>0</v>
          </cell>
          <cell r="P1110">
            <v>1</v>
          </cell>
          <cell r="Q1110">
            <v>0</v>
          </cell>
          <cell r="R1110">
            <v>0</v>
          </cell>
          <cell r="S1110" t="str">
            <v>DRB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D1110" t="str">
            <v>SCHMAT</v>
          </cell>
          <cell r="AE1110" t="str">
            <v>SE</v>
          </cell>
          <cell r="AF1110" t="str">
            <v>SCHMAT.SE</v>
          </cell>
        </row>
        <row r="1111">
          <cell r="A1111">
            <v>1111</v>
          </cell>
          <cell r="D1111" t="str">
            <v>SG</v>
          </cell>
          <cell r="E1111" t="str">
            <v>P</v>
          </cell>
          <cell r="F1111">
            <v>10903219.177554764</v>
          </cell>
          <cell r="G1111">
            <v>10903219.177554764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0.59419421435740905</v>
          </cell>
          <cell r="N1111">
            <v>6478629.7531737881</v>
          </cell>
          <cell r="O1111">
            <v>4424589.4243809758</v>
          </cell>
          <cell r="P1111">
            <v>1</v>
          </cell>
          <cell r="Q1111">
            <v>0</v>
          </cell>
          <cell r="R1111">
            <v>0</v>
          </cell>
          <cell r="S1111" t="str">
            <v>DRB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SCHMAT</v>
          </cell>
          <cell r="AE1111" t="str">
            <v>SG</v>
          </cell>
          <cell r="AF1111" t="str">
            <v>SCHMAT.SG</v>
          </cell>
        </row>
        <row r="1112">
          <cell r="A1112">
            <v>1112</v>
          </cell>
          <cell r="D1112" t="str">
            <v>GPS</v>
          </cell>
          <cell r="E1112" t="str">
            <v>SCHMAT</v>
          </cell>
          <cell r="F1112">
            <v>-39610.211969915246</v>
          </cell>
          <cell r="G1112">
            <v>-17516.085242669851</v>
          </cell>
          <cell r="H1112">
            <v>-8619.9518506319491</v>
          </cell>
          <cell r="I1112">
            <v>-13041.159556078788</v>
          </cell>
          <cell r="J1112">
            <v>-334.29321343030591</v>
          </cell>
          <cell r="K1112">
            <v>-98.722107104354279</v>
          </cell>
          <cell r="M1112">
            <v>0.59419421435740905</v>
          </cell>
          <cell r="N1112">
            <v>-10407.956509385618</v>
          </cell>
          <cell r="O1112">
            <v>-7108.1287332842321</v>
          </cell>
          <cell r="P1112">
            <v>1</v>
          </cell>
          <cell r="Q1112">
            <v>-8619.9518506319491</v>
          </cell>
          <cell r="R1112">
            <v>0</v>
          </cell>
          <cell r="S1112" t="str">
            <v>PLNT</v>
          </cell>
          <cell r="T1112">
            <v>-1948.5874624670641</v>
          </cell>
          <cell r="U1112">
            <v>-6108.1851758250523</v>
          </cell>
          <cell r="V1112">
            <v>-2940.1216476844193</v>
          </cell>
          <cell r="W1112">
            <v>-344.50494129901108</v>
          </cell>
          <cell r="X1112">
            <v>-1699.7603288032403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SCHMAT</v>
          </cell>
          <cell r="AE1112" t="str">
            <v>GPS</v>
          </cell>
          <cell r="AF1112" t="str">
            <v>SCHMAT.GPS</v>
          </cell>
        </row>
        <row r="1113">
          <cell r="A1113">
            <v>1113</v>
          </cell>
          <cell r="D1113" t="str">
            <v>SO</v>
          </cell>
          <cell r="E1113" t="str">
            <v>SCHMAT-SO</v>
          </cell>
          <cell r="F1113">
            <v>594092.81035393325</v>
          </cell>
          <cell r="G1113">
            <v>240219.85892007934</v>
          </cell>
          <cell r="H1113">
            <v>45949.381610018921</v>
          </cell>
          <cell r="I1113">
            <v>158533.34916950282</v>
          </cell>
          <cell r="J1113">
            <v>75751.244929195323</v>
          </cell>
          <cell r="K1113">
            <v>73638.975725136814</v>
          </cell>
          <cell r="M1113">
            <v>0.59419421435740905</v>
          </cell>
          <cell r="N1113">
            <v>142737.25034406417</v>
          </cell>
          <cell r="O1113">
            <v>97482.608576015162</v>
          </cell>
          <cell r="P1113">
            <v>1</v>
          </cell>
          <cell r="Q1113">
            <v>45949.381610018921</v>
          </cell>
          <cell r="R1113">
            <v>0</v>
          </cell>
          <cell r="S1113" t="str">
            <v>DISom</v>
          </cell>
          <cell r="T1113">
            <v>13094.691903289555</v>
          </cell>
          <cell r="U1113">
            <v>138242.0370300184</v>
          </cell>
          <cell r="V1113">
            <v>1158.8717815596463</v>
          </cell>
          <cell r="W1113">
            <v>6037.748454635228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SCHMAT</v>
          </cell>
          <cell r="AE1113" t="str">
            <v>SO</v>
          </cell>
          <cell r="AF1113" t="str">
            <v>SCHMAT.SO</v>
          </cell>
        </row>
        <row r="1114">
          <cell r="A1114">
            <v>1114</v>
          </cell>
          <cell r="D1114" t="str">
            <v>SNPD</v>
          </cell>
          <cell r="E1114" t="str">
            <v>SCHMAT-SNP</v>
          </cell>
          <cell r="F1114">
            <v>135186.10823797112</v>
          </cell>
          <cell r="G1114">
            <v>65092.908783585692</v>
          </cell>
          <cell r="H1114">
            <v>33320.517744071338</v>
          </cell>
          <cell r="I1114">
            <v>36759.76933910459</v>
          </cell>
          <cell r="J1114">
            <v>12.912371209469203</v>
          </cell>
          <cell r="K1114">
            <v>0</v>
          </cell>
          <cell r="M1114">
            <v>0.59419421435740905</v>
          </cell>
          <cell r="N1114">
            <v>38677.82979490119</v>
          </cell>
          <cell r="O1114">
            <v>26415.078988684501</v>
          </cell>
          <cell r="P1114">
            <v>1</v>
          </cell>
          <cell r="Q1114">
            <v>33320.517744071338</v>
          </cell>
          <cell r="R1114">
            <v>0</v>
          </cell>
          <cell r="S1114" t="str">
            <v>DISom</v>
          </cell>
          <cell r="T1114">
            <v>3036.3192126654681</v>
          </cell>
          <cell r="U1114">
            <v>32054.740663796001</v>
          </cell>
          <cell r="V1114">
            <v>268.71229054892615</v>
          </cell>
          <cell r="W1114">
            <v>1399.997172094199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SCHMAT</v>
          </cell>
          <cell r="AE1114" t="str">
            <v>SNPD</v>
          </cell>
          <cell r="AF1114" t="str">
            <v>SCHMAT.SNPD</v>
          </cell>
        </row>
        <row r="1115">
          <cell r="A1115">
            <v>1115</v>
          </cell>
          <cell r="D1115" t="str">
            <v>JBG</v>
          </cell>
          <cell r="E1115" t="str">
            <v>P</v>
          </cell>
          <cell r="F1115">
            <v>61179315.218429595</v>
          </cell>
          <cell r="G1115">
            <v>61179315.218429595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0.59419421435740905</v>
          </cell>
          <cell r="N1115">
            <v>36352395.141139053</v>
          </cell>
          <cell r="O1115">
            <v>24826920.077290542</v>
          </cell>
          <cell r="P1115">
            <v>1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SCHMAT</v>
          </cell>
          <cell r="AE1115" t="str">
            <v>JBG</v>
          </cell>
          <cell r="AF1115" t="str">
            <v>SCHMAT.JBG</v>
          </cell>
        </row>
        <row r="1116">
          <cell r="A1116">
            <v>1116</v>
          </cell>
          <cell r="D1116" t="str">
            <v>BADDEBT</v>
          </cell>
          <cell r="E1116" t="str">
            <v>CUST</v>
          </cell>
          <cell r="F1116">
            <v>49890.967621604075</v>
          </cell>
          <cell r="G1116">
            <v>0</v>
          </cell>
          <cell r="H1116">
            <v>0</v>
          </cell>
          <cell r="I1116">
            <v>0</v>
          </cell>
          <cell r="J1116">
            <v>49890.967621604075</v>
          </cell>
          <cell r="K1116">
            <v>0</v>
          </cell>
          <cell r="M1116">
            <v>0.59419421435740905</v>
          </cell>
          <cell r="N1116">
            <v>0</v>
          </cell>
          <cell r="O1116">
            <v>0</v>
          </cell>
          <cell r="P1116">
            <v>1</v>
          </cell>
          <cell r="Q1116">
            <v>0</v>
          </cell>
          <cell r="R1116">
            <v>0</v>
          </cell>
          <cell r="S1116" t="str">
            <v>CUST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SCHMAT</v>
          </cell>
          <cell r="AE1116" t="str">
            <v>BADDEBT</v>
          </cell>
          <cell r="AF1116" t="str">
            <v>SCHMAT.BADDEBT</v>
          </cell>
        </row>
        <row r="1117">
          <cell r="A1117">
            <v>1117</v>
          </cell>
          <cell r="D1117" t="str">
            <v>CAGW</v>
          </cell>
          <cell r="E1117" t="str">
            <v>P</v>
          </cell>
          <cell r="F1117">
            <v>3093030.0867727851</v>
          </cell>
          <cell r="G1117">
            <v>3093030.0867727851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M1117">
            <v>0.59419421435740905</v>
          </cell>
          <cell r="N1117">
            <v>1837860.5823937838</v>
          </cell>
          <cell r="O1117">
            <v>1255169.5043790012</v>
          </cell>
          <cell r="P1117">
            <v>1</v>
          </cell>
          <cell r="Q1117">
            <v>0</v>
          </cell>
          <cell r="R1117">
            <v>0</v>
          </cell>
          <cell r="S1117" t="str">
            <v>DRB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D1117" t="str">
            <v>SCHMAT</v>
          </cell>
          <cell r="AE1117" t="str">
            <v>CAGW</v>
          </cell>
          <cell r="AF1117" t="str">
            <v>SCHMAT.CAGW</v>
          </cell>
        </row>
        <row r="1118">
          <cell r="A1118">
            <v>1118</v>
          </cell>
          <cell r="D1118" t="str">
            <v>CAGE</v>
          </cell>
          <cell r="E1118" t="str">
            <v>P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M1118">
            <v>0.59419421435740905</v>
          </cell>
          <cell r="N1118">
            <v>0</v>
          </cell>
          <cell r="O1118">
            <v>0</v>
          </cell>
          <cell r="P1118">
            <v>1</v>
          </cell>
          <cell r="Q1118">
            <v>0</v>
          </cell>
          <cell r="R1118">
            <v>0</v>
          </cell>
          <cell r="S1118" t="str">
            <v>DRB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D1118" t="str">
            <v>SCHMAT</v>
          </cell>
          <cell r="AE1118" t="str">
            <v>CAGE</v>
          </cell>
          <cell r="AF1118" t="str">
            <v>SCHMAT.CAGE</v>
          </cell>
        </row>
        <row r="1119">
          <cell r="A1119">
            <v>1119</v>
          </cell>
          <cell r="D1119" t="str">
            <v>CAEW</v>
          </cell>
          <cell r="E1119" t="str">
            <v>SCHMAT-SE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M1119">
            <v>0.59419421435740905</v>
          </cell>
          <cell r="N1119">
            <v>0</v>
          </cell>
          <cell r="O1119">
            <v>0</v>
          </cell>
          <cell r="P1119">
            <v>1</v>
          </cell>
          <cell r="Q1119">
            <v>0</v>
          </cell>
          <cell r="R1119">
            <v>0</v>
          </cell>
          <cell r="S1119" t="str">
            <v>DRB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D1119" t="str">
            <v>SCHMAT</v>
          </cell>
          <cell r="AE1119" t="str">
            <v>CAEW</v>
          </cell>
          <cell r="AF1119" t="str">
            <v>SCHMAT.CAEW</v>
          </cell>
        </row>
        <row r="1120">
          <cell r="A1120">
            <v>1120</v>
          </cell>
          <cell r="D1120" t="str">
            <v>CAEE</v>
          </cell>
          <cell r="E1120" t="str">
            <v>SCHMAT-SE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M1120">
            <v>0.59419421435740905</v>
          </cell>
          <cell r="N1120">
            <v>0</v>
          </cell>
          <cell r="O1120">
            <v>0</v>
          </cell>
          <cell r="P1120">
            <v>1</v>
          </cell>
          <cell r="Q1120">
            <v>0</v>
          </cell>
          <cell r="R1120">
            <v>0</v>
          </cell>
          <cell r="S1120" t="str">
            <v>DRB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SCHMAT</v>
          </cell>
          <cell r="AE1120" t="str">
            <v>CAEE</v>
          </cell>
          <cell r="AF1120" t="str">
            <v>SCHMAT.CAEE</v>
          </cell>
        </row>
        <row r="1121">
          <cell r="A1121">
            <v>1121</v>
          </cell>
          <cell r="D1121" t="str">
            <v>SCHMDEXP</v>
          </cell>
          <cell r="E1121" t="str">
            <v>BOOKDEPR</v>
          </cell>
          <cell r="F1121">
            <v>54380817.980571866</v>
          </cell>
          <cell r="G1121">
            <v>32755812.441272873</v>
          </cell>
          <cell r="H1121">
            <v>8917890.3031094074</v>
          </cell>
          <cell r="I1121">
            <v>12626249.66787884</v>
          </cell>
          <cell r="J1121">
            <v>80865.568310747432</v>
          </cell>
          <cell r="K1121">
            <v>0</v>
          </cell>
          <cell r="M1121">
            <v>0.59419421435740905</v>
          </cell>
          <cell r="N1121">
            <v>19463314.239180781</v>
          </cell>
          <cell r="O1121">
            <v>13292498.202092094</v>
          </cell>
          <cell r="P1121">
            <v>1</v>
          </cell>
          <cell r="Q1121">
            <v>8917890.3031094074</v>
          </cell>
          <cell r="R1121">
            <v>0</v>
          </cell>
          <cell r="S1121" t="str">
            <v>PLNT</v>
          </cell>
          <cell r="T1121">
            <v>1886592.3459497469</v>
          </cell>
          <cell r="U1121">
            <v>5913850.7366589559</v>
          </cell>
          <cell r="V1121">
            <v>2846580.4607301983</v>
          </cell>
          <cell r="W1121">
            <v>333544.37402245513</v>
          </cell>
          <cell r="X1121">
            <v>1645681.7505174829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SCHMAT</v>
          </cell>
          <cell r="AE1121" t="str">
            <v>SCHMDEXP</v>
          </cell>
          <cell r="AF1121" t="str">
            <v>SCHMAT.SCHMDEXP</v>
          </cell>
        </row>
        <row r="1122">
          <cell r="A1122">
            <v>1122</v>
          </cell>
          <cell r="AD1122" t="str">
            <v>SCHMAT</v>
          </cell>
          <cell r="AE1122" t="str">
            <v>NA</v>
          </cell>
          <cell r="AF1122" t="str">
            <v>SCHMAT.NA1</v>
          </cell>
        </row>
        <row r="1123">
          <cell r="A1123">
            <v>1123</v>
          </cell>
          <cell r="AD1123" t="str">
            <v>SCHMAT</v>
          </cell>
          <cell r="AE1123" t="str">
            <v>NA</v>
          </cell>
          <cell r="AF1123" t="str">
            <v>SCHMAT.NA2</v>
          </cell>
        </row>
        <row r="1124">
          <cell r="A1124">
            <v>1124</v>
          </cell>
          <cell r="B1124" t="str">
            <v>TOTAL SCHEDULE - M ADDITIONS</v>
          </cell>
          <cell r="F1124">
            <v>159881242.06404313</v>
          </cell>
          <cell r="G1124">
            <v>144497701.27402309</v>
          </cell>
          <cell r="H1124">
            <v>4595344.605593211</v>
          </cell>
          <cell r="I1124">
            <v>10635177.972546052</v>
          </cell>
          <cell r="J1124">
            <v>142056.37285384629</v>
          </cell>
          <cell r="K1124">
            <v>10961.839026949368</v>
          </cell>
          <cell r="N1124">
            <v>85859698.084969729</v>
          </cell>
          <cell r="O1124">
            <v>58638003.189053357</v>
          </cell>
          <cell r="Q1124">
            <v>4595344.605593211</v>
          </cell>
          <cell r="R1124">
            <v>0</v>
          </cell>
          <cell r="T1124">
            <v>1528344.814858732</v>
          </cell>
          <cell r="U1124">
            <v>5348214.1298341351</v>
          </cell>
          <cell r="V1124">
            <v>2199385.1738023907</v>
          </cell>
          <cell r="W1124">
            <v>291554.33016459749</v>
          </cell>
          <cell r="X1124">
            <v>1267679.5238861958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TOTAL SCHEDULE - M ADDITIONS</v>
          </cell>
          <cell r="AE1124" t="str">
            <v>NA</v>
          </cell>
          <cell r="AF1124" t="str">
            <v>TOTAL SCHEDULE - M ADDITIONS.NA</v>
          </cell>
        </row>
        <row r="1125">
          <cell r="A1125">
            <v>1125</v>
          </cell>
          <cell r="AD1125" t="str">
            <v>TOTAL SCHEDULE - M ADDITIONS</v>
          </cell>
          <cell r="AE1125" t="str">
            <v>NA</v>
          </cell>
          <cell r="AF1125" t="str">
            <v>TOTAL SCHEDULE - M ADDITIONS.NA1</v>
          </cell>
        </row>
        <row r="1126">
          <cell r="A1126">
            <v>1126</v>
          </cell>
          <cell r="B1126" t="str">
            <v>SCHMDF</v>
          </cell>
          <cell r="AD1126" t="str">
            <v>SCHMDF</v>
          </cell>
          <cell r="AE1126" t="str">
            <v>NA</v>
          </cell>
          <cell r="AF1126" t="str">
            <v>SCHMDF.NA</v>
          </cell>
        </row>
        <row r="1127">
          <cell r="A1127">
            <v>1127</v>
          </cell>
          <cell r="D1127" t="str">
            <v>S</v>
          </cell>
          <cell r="E1127" t="str">
            <v>SCHMDF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M1127">
            <v>0.59419421435740905</v>
          </cell>
          <cell r="N1127">
            <v>0</v>
          </cell>
          <cell r="O1127">
            <v>0</v>
          </cell>
          <cell r="P1127">
            <v>1</v>
          </cell>
          <cell r="Q1127">
            <v>0</v>
          </cell>
          <cell r="R1127">
            <v>0</v>
          </cell>
          <cell r="S1127" t="str">
            <v>PLNT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SCHMDF</v>
          </cell>
          <cell r="AE1127" t="str">
            <v>S</v>
          </cell>
          <cell r="AF1127" t="str">
            <v>SCHMDF.S</v>
          </cell>
        </row>
        <row r="1128">
          <cell r="A1128">
            <v>1128</v>
          </cell>
          <cell r="D1128" t="str">
            <v>CAGW</v>
          </cell>
          <cell r="E1128" t="str">
            <v>SCHMDF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M1128">
            <v>0.59419421435740905</v>
          </cell>
          <cell r="N1128">
            <v>0</v>
          </cell>
          <cell r="O1128">
            <v>0</v>
          </cell>
          <cell r="P1128">
            <v>1</v>
          </cell>
          <cell r="Q1128">
            <v>0</v>
          </cell>
          <cell r="R1128">
            <v>0</v>
          </cell>
          <cell r="S1128" t="str">
            <v>PLNT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SCHMDF</v>
          </cell>
          <cell r="AE1128" t="str">
            <v>CAGW</v>
          </cell>
          <cell r="AF1128" t="str">
            <v>SCHMDF.CAGW</v>
          </cell>
        </row>
        <row r="1129">
          <cell r="A1129">
            <v>1129</v>
          </cell>
          <cell r="D1129" t="str">
            <v>CAGE</v>
          </cell>
          <cell r="E1129" t="str">
            <v>SCHMDF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M1129">
            <v>0.59419421435740905</v>
          </cell>
          <cell r="N1129">
            <v>0</v>
          </cell>
          <cell r="O1129">
            <v>0</v>
          </cell>
          <cell r="P1129">
            <v>1</v>
          </cell>
          <cell r="Q1129">
            <v>0</v>
          </cell>
          <cell r="R1129">
            <v>0</v>
          </cell>
          <cell r="S1129" t="str">
            <v>PLNT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SCHMDF</v>
          </cell>
          <cell r="AE1129" t="str">
            <v>CAGE</v>
          </cell>
          <cell r="AF1129" t="str">
            <v>SCHMDF.CAGE</v>
          </cell>
        </row>
        <row r="1130">
          <cell r="A1130">
            <v>1130</v>
          </cell>
          <cell r="D1130" t="str">
            <v>DGP</v>
          </cell>
          <cell r="E1130" t="str">
            <v>SCHMDF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M1130">
            <v>0.59419421435740905</v>
          </cell>
          <cell r="N1130">
            <v>0</v>
          </cell>
          <cell r="O1130">
            <v>0</v>
          </cell>
          <cell r="P1130">
            <v>1</v>
          </cell>
          <cell r="Q1130">
            <v>0</v>
          </cell>
          <cell r="R1130">
            <v>0</v>
          </cell>
          <cell r="S1130" t="str">
            <v>PLNT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SCHMDF</v>
          </cell>
          <cell r="AE1130" t="str">
            <v>DGP</v>
          </cell>
          <cell r="AF1130" t="str">
            <v>SCHMDF.DGP</v>
          </cell>
        </row>
        <row r="1131">
          <cell r="A1131">
            <v>1131</v>
          </cell>
          <cell r="D1131" t="str">
            <v>DGU</v>
          </cell>
          <cell r="E1131" t="str">
            <v>SCHMDF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M1131">
            <v>0.59419421435740905</v>
          </cell>
          <cell r="N1131">
            <v>0</v>
          </cell>
          <cell r="O1131">
            <v>0</v>
          </cell>
          <cell r="P1131">
            <v>1</v>
          </cell>
          <cell r="Q1131">
            <v>0</v>
          </cell>
          <cell r="R1131">
            <v>0</v>
          </cell>
          <cell r="S1131" t="str">
            <v>PLNT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SCHMDF</v>
          </cell>
          <cell r="AE1131" t="str">
            <v>DGU</v>
          </cell>
          <cell r="AF1131" t="str">
            <v>SCHMDF.DGU</v>
          </cell>
        </row>
        <row r="1132">
          <cell r="A1132">
            <v>1132</v>
          </cell>
          <cell r="AD1132" t="str">
            <v>SCHMDF</v>
          </cell>
          <cell r="AE1132" t="str">
            <v>NA</v>
          </cell>
          <cell r="AF1132" t="str">
            <v>SCHMDF.NA1</v>
          </cell>
        </row>
        <row r="1133">
          <cell r="A1133">
            <v>1133</v>
          </cell>
          <cell r="B1133" t="str">
            <v>SCHMDP</v>
          </cell>
          <cell r="AD1133" t="str">
            <v>SCHMDP</v>
          </cell>
          <cell r="AE1133" t="str">
            <v>NA</v>
          </cell>
          <cell r="AF1133" t="str">
            <v>SCHMDP.NA</v>
          </cell>
        </row>
        <row r="1134">
          <cell r="A1134">
            <v>1134</v>
          </cell>
          <cell r="D1134" t="str">
            <v>S</v>
          </cell>
          <cell r="E1134" t="str">
            <v>SCHMDP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M1134">
            <v>0.59419421435740905</v>
          </cell>
          <cell r="N1134">
            <v>0</v>
          </cell>
          <cell r="O1134">
            <v>0</v>
          </cell>
          <cell r="P1134">
            <v>1</v>
          </cell>
          <cell r="Q1134">
            <v>0</v>
          </cell>
          <cell r="R1134">
            <v>0</v>
          </cell>
          <cell r="S1134" t="str">
            <v>PLNT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SCHMDP</v>
          </cell>
          <cell r="AE1134" t="str">
            <v>S</v>
          </cell>
          <cell r="AF1134" t="str">
            <v>SCHMDP.S</v>
          </cell>
        </row>
        <row r="1135">
          <cell r="A1135">
            <v>1135</v>
          </cell>
          <cell r="D1135" t="str">
            <v>SE</v>
          </cell>
          <cell r="E1135" t="str">
            <v>P</v>
          </cell>
          <cell r="F1135">
            <v>38389.702080008101</v>
          </cell>
          <cell r="G1135">
            <v>38389.702080008101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M1135">
            <v>0.59419421435740905</v>
          </cell>
          <cell r="N1135">
            <v>22810.938866845405</v>
          </cell>
          <cell r="O1135">
            <v>15578.763213162696</v>
          </cell>
          <cell r="P1135">
            <v>1</v>
          </cell>
          <cell r="Q1135">
            <v>0</v>
          </cell>
          <cell r="R1135">
            <v>0</v>
          </cell>
          <cell r="S1135" t="str">
            <v>DRB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D1135" t="str">
            <v>SCHMDP</v>
          </cell>
          <cell r="AE1135" t="str">
            <v>SE</v>
          </cell>
          <cell r="AF1135" t="str">
            <v>SCHMDP.SE</v>
          </cell>
        </row>
        <row r="1136">
          <cell r="A1136">
            <v>1136</v>
          </cell>
          <cell r="D1136" t="str">
            <v>CAEW</v>
          </cell>
          <cell r="E1136" t="str">
            <v>P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M1136">
            <v>0.59419421435740905</v>
          </cell>
          <cell r="N1136">
            <v>0</v>
          </cell>
          <cell r="O1136">
            <v>0</v>
          </cell>
          <cell r="P1136">
            <v>1</v>
          </cell>
          <cell r="Q1136">
            <v>0</v>
          </cell>
          <cell r="R1136">
            <v>0</v>
          </cell>
          <cell r="S1136" t="str">
            <v>DRB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SCHMDP</v>
          </cell>
          <cell r="AE1136" t="str">
            <v>CAEW</v>
          </cell>
          <cell r="AF1136" t="str">
            <v>SCHMDP.CAEW</v>
          </cell>
        </row>
        <row r="1137">
          <cell r="A1137">
            <v>1137</v>
          </cell>
          <cell r="D1137" t="str">
            <v>CAEE</v>
          </cell>
          <cell r="E1137" t="str">
            <v>P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M1137">
            <v>0.59419421435740905</v>
          </cell>
          <cell r="N1137">
            <v>0</v>
          </cell>
          <cell r="O1137">
            <v>0</v>
          </cell>
          <cell r="P1137">
            <v>1</v>
          </cell>
          <cell r="Q1137">
            <v>0</v>
          </cell>
          <cell r="R1137">
            <v>0</v>
          </cell>
          <cell r="S1137" t="str">
            <v>DRB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D1137" t="str">
            <v>SCHMDP</v>
          </cell>
          <cell r="AE1137" t="str">
            <v>CAEE</v>
          </cell>
          <cell r="AF1137" t="str">
            <v>SCHMDP.CAEE</v>
          </cell>
        </row>
        <row r="1138">
          <cell r="A1138">
            <v>1138</v>
          </cell>
          <cell r="D1138" t="str">
            <v>SNP</v>
          </cell>
          <cell r="E1138" t="str">
            <v>PTD</v>
          </cell>
          <cell r="F1138">
            <v>6572.6099596807117</v>
          </cell>
          <cell r="G1138">
            <v>3218.2859406804396</v>
          </cell>
          <cell r="H1138">
            <v>1336.9066252392295</v>
          </cell>
          <cell r="I1138">
            <v>2017.4173937610428</v>
          </cell>
          <cell r="J1138">
            <v>0</v>
          </cell>
          <cell r="K1138">
            <v>0</v>
          </cell>
          <cell r="M1138">
            <v>0.59419421435740905</v>
          </cell>
          <cell r="N1138">
            <v>1912.2868861001089</v>
          </cell>
          <cell r="O1138">
            <v>1305.9990545803307</v>
          </cell>
          <cell r="P1138">
            <v>1</v>
          </cell>
          <cell r="Q1138">
            <v>1336.9066252392295</v>
          </cell>
          <cell r="R1138">
            <v>0</v>
          </cell>
          <cell r="S1138" t="str">
            <v>DISom</v>
          </cell>
          <cell r="T1138">
            <v>166.6366057995335</v>
          </cell>
          <cell r="U1138">
            <v>1759.2001399978494</v>
          </cell>
          <cell r="V1138">
            <v>14.747232058773834</v>
          </cell>
          <cell r="W1138">
            <v>76.833415904886266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D1138" t="str">
            <v>SCHMDP</v>
          </cell>
          <cell r="AE1138" t="str">
            <v>SNP</v>
          </cell>
          <cell r="AF1138" t="str">
            <v>SCHMDP.SNP</v>
          </cell>
        </row>
        <row r="1139">
          <cell r="A1139">
            <v>1139</v>
          </cell>
          <cell r="D1139" t="str">
            <v>JBE</v>
          </cell>
          <cell r="E1139" t="str">
            <v>SCHMDP</v>
          </cell>
          <cell r="F1139">
            <v>559334.39520980429</v>
          </cell>
          <cell r="G1139">
            <v>279058.97394878155</v>
          </cell>
          <cell r="H1139">
            <v>159001.43850659201</v>
          </cell>
          <cell r="I1139">
            <v>152721.65241177304</v>
          </cell>
          <cell r="J1139">
            <v>-15946.158431466813</v>
          </cell>
          <cell r="K1139">
            <v>-15501.511225875558</v>
          </cell>
          <cell r="M1139">
            <v>0.59419421435740905</v>
          </cell>
          <cell r="N1139">
            <v>165815.22778488093</v>
          </cell>
          <cell r="O1139">
            <v>113243.74616390062</v>
          </cell>
          <cell r="P1139">
            <v>1</v>
          </cell>
          <cell r="Q1139">
            <v>159001.43850659201</v>
          </cell>
          <cell r="R1139">
            <v>0</v>
          </cell>
          <cell r="S1139" t="str">
            <v>DISom</v>
          </cell>
          <cell r="T1139">
            <v>12614.651716940814</v>
          </cell>
          <cell r="U1139">
            <v>133174.20239082017</v>
          </cell>
          <cell r="V1139">
            <v>1116.3885349065167</v>
          </cell>
          <cell r="W1139">
            <v>5816.4097691055731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 t="str">
            <v>SCHMDP</v>
          </cell>
          <cell r="AE1139" t="str">
            <v>JBE</v>
          </cell>
          <cell r="AF1139" t="str">
            <v>SCHMDP.JBE</v>
          </cell>
        </row>
        <row r="1140">
          <cell r="A1140">
            <v>1140</v>
          </cell>
          <cell r="D1140" t="str">
            <v>SCHMDEXP</v>
          </cell>
          <cell r="E1140" t="str">
            <v>P</v>
          </cell>
          <cell r="F1140">
            <v>6.0932453925488517E-3</v>
          </cell>
          <cell r="G1140">
            <v>6.0932453925488517E-3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0.59419421435740905</v>
          </cell>
          <cell r="N1140">
            <v>3.6205711589124673E-3</v>
          </cell>
          <cell r="O1140">
            <v>2.4726742336363843E-3</v>
          </cell>
          <cell r="P1140">
            <v>1</v>
          </cell>
          <cell r="Q1140">
            <v>0</v>
          </cell>
          <cell r="R1140">
            <v>0</v>
          </cell>
          <cell r="S1140" t="str">
            <v>DISom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 t="str">
            <v>SCHMDP</v>
          </cell>
          <cell r="AE1140" t="str">
            <v>SCHMDEXP</v>
          </cell>
          <cell r="AF1140" t="str">
            <v>SCHMDP.SCHMDEXP</v>
          </cell>
        </row>
        <row r="1141">
          <cell r="A1141">
            <v>1141</v>
          </cell>
          <cell r="D1141" t="str">
            <v>SO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0.59419421435740905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0</v>
          </cell>
          <cell r="S1141" t="str">
            <v>DISom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 t="str">
            <v>SCHMDP</v>
          </cell>
          <cell r="AE1141" t="str">
            <v>SO</v>
          </cell>
          <cell r="AF1141" t="str">
            <v>SCHMDP.SO</v>
          </cell>
        </row>
        <row r="1142">
          <cell r="A1142">
            <v>1142</v>
          </cell>
          <cell r="D1142" t="str">
            <v>SG</v>
          </cell>
          <cell r="E1142" t="str">
            <v>P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0.59419421435740905</v>
          </cell>
          <cell r="N1142">
            <v>0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 t="str">
            <v>SCHMDP</v>
          </cell>
          <cell r="AE1142" t="str">
            <v>SG</v>
          </cell>
          <cell r="AF1142" t="str">
            <v>SCHMDP.SG</v>
          </cell>
        </row>
        <row r="1143">
          <cell r="A1143">
            <v>1143</v>
          </cell>
          <cell r="AD1143" t="str">
            <v>SCHMDP</v>
          </cell>
          <cell r="AE1143" t="str">
            <v>NA</v>
          </cell>
          <cell r="AF1143" t="str">
            <v>SCHMDP.NA1</v>
          </cell>
        </row>
        <row r="1144">
          <cell r="A1144">
            <v>1144</v>
          </cell>
          <cell r="AD1144" t="str">
            <v>SCHMDP</v>
          </cell>
          <cell r="AE1144" t="str">
            <v>NA</v>
          </cell>
          <cell r="AF1144" t="str">
            <v>SCHMDP.NA2</v>
          </cell>
        </row>
        <row r="1145">
          <cell r="A1145">
            <v>1145</v>
          </cell>
          <cell r="B1145" t="str">
            <v>SCHMDT</v>
          </cell>
          <cell r="AD1145" t="str">
            <v>SCHMDT</v>
          </cell>
          <cell r="AE1145" t="str">
            <v>NA</v>
          </cell>
          <cell r="AF1145" t="str">
            <v>SCHMDT.NA</v>
          </cell>
        </row>
        <row r="1146">
          <cell r="A1146">
            <v>1146</v>
          </cell>
          <cell r="D1146" t="str">
            <v>S</v>
          </cell>
          <cell r="E1146" t="str">
            <v>GP</v>
          </cell>
          <cell r="F1146">
            <v>1309928.4689</v>
          </cell>
          <cell r="G1146">
            <v>619036.73699291178</v>
          </cell>
          <cell r="H1146">
            <v>324868.5290174117</v>
          </cell>
          <cell r="I1146">
            <v>357071.93634003832</v>
          </cell>
          <cell r="J1146">
            <v>8951.2665496380905</v>
          </cell>
          <cell r="K1146">
            <v>0</v>
          </cell>
          <cell r="M1146">
            <v>0.59419421435740905</v>
          </cell>
          <cell r="N1146">
            <v>367828.04759587726</v>
          </cell>
          <cell r="O1146">
            <v>251208.68939703453</v>
          </cell>
          <cell r="P1146">
            <v>1</v>
          </cell>
          <cell r="Q1146">
            <v>324868.5290174117</v>
          </cell>
          <cell r="R1146">
            <v>0</v>
          </cell>
          <cell r="S1146" t="str">
            <v>PLNT</v>
          </cell>
          <cell r="T1146">
            <v>53353.069975032573</v>
          </cell>
          <cell r="U1146">
            <v>167244.44623781368</v>
          </cell>
          <cell r="V1146">
            <v>80501.655186373901</v>
          </cell>
          <cell r="W1146">
            <v>9432.6770514060518</v>
          </cell>
          <cell r="X1146">
            <v>46540.087889412098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SCHMDT</v>
          </cell>
          <cell r="AE1146" t="str">
            <v>S</v>
          </cell>
          <cell r="AF1146" t="str">
            <v>SCHMDT.S</v>
          </cell>
        </row>
        <row r="1147">
          <cell r="A1147">
            <v>1147</v>
          </cell>
          <cell r="D1147" t="str">
            <v>BADDEBT</v>
          </cell>
          <cell r="E1147" t="str">
            <v>CUST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M1147">
            <v>0.59419421435740905</v>
          </cell>
          <cell r="N1147">
            <v>0</v>
          </cell>
          <cell r="O1147">
            <v>0</v>
          </cell>
          <cell r="P1147">
            <v>1</v>
          </cell>
          <cell r="Q1147">
            <v>0</v>
          </cell>
          <cell r="R1147">
            <v>0</v>
          </cell>
          <cell r="S1147" t="str">
            <v>CUST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D1147" t="str">
            <v>SCHMDT</v>
          </cell>
          <cell r="AE1147" t="str">
            <v>BADDEBT</v>
          </cell>
          <cell r="AF1147" t="str">
            <v>SCHMDT.BADDEBT</v>
          </cell>
        </row>
        <row r="1148">
          <cell r="A1148">
            <v>1148</v>
          </cell>
          <cell r="D1148" t="str">
            <v>CN</v>
          </cell>
          <cell r="E1148" t="str">
            <v>CUST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M1148">
            <v>0.59419421435740905</v>
          </cell>
          <cell r="N1148">
            <v>0</v>
          </cell>
          <cell r="O1148">
            <v>0</v>
          </cell>
          <cell r="P1148">
            <v>1</v>
          </cell>
          <cell r="Q1148">
            <v>0</v>
          </cell>
          <cell r="R1148">
            <v>0</v>
          </cell>
          <cell r="S1148" t="str">
            <v>CUST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SCHMDT</v>
          </cell>
          <cell r="AE1148" t="str">
            <v>CN</v>
          </cell>
          <cell r="AF1148" t="str">
            <v>SCHMDT.CN</v>
          </cell>
        </row>
        <row r="1149">
          <cell r="A1149">
            <v>1149</v>
          </cell>
          <cell r="D1149" t="str">
            <v>SNP</v>
          </cell>
          <cell r="E1149" t="str">
            <v>SCHMDT-SNP</v>
          </cell>
          <cell r="F1149">
            <v>4549114.1916480055</v>
          </cell>
          <cell r="G1149">
            <v>2191001.39232508</v>
          </cell>
          <cell r="H1149">
            <v>1121162.0729890612</v>
          </cell>
          <cell r="I1149">
            <v>1236950.7263338638</v>
          </cell>
          <cell r="J1149">
            <v>0</v>
          </cell>
          <cell r="K1149">
            <v>0</v>
          </cell>
          <cell r="M1149">
            <v>0.59419421435740905</v>
          </cell>
          <cell r="N1149">
            <v>1301880.3509685902</v>
          </cell>
          <cell r="O1149">
            <v>889121.04135648976</v>
          </cell>
          <cell r="P1149">
            <v>1</v>
          </cell>
          <cell r="Q1149">
            <v>1121162.0729890612</v>
          </cell>
          <cell r="R1149">
            <v>0</v>
          </cell>
          <cell r="S1149" t="str">
            <v>DISom</v>
          </cell>
          <cell r="T1149">
            <v>102170.86023694568</v>
          </cell>
          <cell r="U1149">
            <v>1078628.4968427911</v>
          </cell>
          <cell r="V1149">
            <v>9042.0551854699643</v>
          </cell>
          <cell r="W1149">
            <v>47109.31406865723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SCHMDT</v>
          </cell>
          <cell r="AE1149" t="str">
            <v>SNP</v>
          </cell>
          <cell r="AF1149" t="str">
            <v>SCHMDT.SNP</v>
          </cell>
        </row>
        <row r="1150">
          <cell r="A1150">
            <v>1150</v>
          </cell>
          <cell r="D1150" t="str">
            <v>SNPD</v>
          </cell>
          <cell r="E1150" t="str">
            <v>DPW</v>
          </cell>
          <cell r="F1150">
            <v>98292.986475461585</v>
          </cell>
          <cell r="G1150">
            <v>0</v>
          </cell>
          <cell r="H1150">
            <v>0</v>
          </cell>
          <cell r="I1150">
            <v>98292.986475461585</v>
          </cell>
          <cell r="J1150">
            <v>0</v>
          </cell>
          <cell r="K1150">
            <v>0</v>
          </cell>
          <cell r="M1150">
            <v>0.59419421435740905</v>
          </cell>
          <cell r="N1150">
            <v>0</v>
          </cell>
          <cell r="O1150">
            <v>0</v>
          </cell>
          <cell r="P1150">
            <v>1</v>
          </cell>
          <cell r="Q1150">
            <v>0</v>
          </cell>
          <cell r="R1150">
            <v>0</v>
          </cell>
          <cell r="S1150" t="str">
            <v>PLNT</v>
          </cell>
          <cell r="T1150">
            <v>14686.767711944096</v>
          </cell>
          <cell r="U1150">
            <v>46038.219246932706</v>
          </cell>
          <cell r="V1150">
            <v>22160.095205441292</v>
          </cell>
          <cell r="W1150">
            <v>2596.5804183454929</v>
          </cell>
          <cell r="X1150">
            <v>12811.323892797993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SCHMDT</v>
          </cell>
          <cell r="AE1150" t="str">
            <v>SNPD</v>
          </cell>
          <cell r="AF1150" t="str">
            <v>SCHMDT.SNPD</v>
          </cell>
        </row>
        <row r="1151">
          <cell r="A1151">
            <v>1151</v>
          </cell>
          <cell r="D1151" t="str">
            <v>JBE</v>
          </cell>
          <cell r="E1151" t="str">
            <v>P</v>
          </cell>
          <cell r="F1151">
            <v>-44990.216494369895</v>
          </cell>
          <cell r="G1151">
            <v>-44990.216494369895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M1151">
            <v>0.59419421435740905</v>
          </cell>
          <cell r="N1151">
            <v>-26732.926343641866</v>
          </cell>
          <cell r="O1151">
            <v>-18257.290150728029</v>
          </cell>
          <cell r="P1151">
            <v>1</v>
          </cell>
          <cell r="Q1151">
            <v>0</v>
          </cell>
          <cell r="R1151">
            <v>0</v>
          </cell>
          <cell r="S1151" t="str">
            <v>DRB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SCHMDT</v>
          </cell>
          <cell r="AE1151" t="str">
            <v>JBE</v>
          </cell>
          <cell r="AF1151" t="str">
            <v>SCHMDT.JBE</v>
          </cell>
        </row>
        <row r="1152">
          <cell r="A1152">
            <v>1152</v>
          </cell>
          <cell r="D1152" t="str">
            <v>SE</v>
          </cell>
          <cell r="E1152" t="str">
            <v>P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M1152">
            <v>0.59419421435740905</v>
          </cell>
          <cell r="N1152">
            <v>0</v>
          </cell>
          <cell r="O1152">
            <v>0</v>
          </cell>
          <cell r="P1152">
            <v>1</v>
          </cell>
          <cell r="Q1152">
            <v>0</v>
          </cell>
          <cell r="R1152">
            <v>0</v>
          </cell>
          <cell r="S1152" t="str">
            <v>DRB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SCHMDT</v>
          </cell>
          <cell r="AE1152" t="str">
            <v>SE</v>
          </cell>
          <cell r="AF1152" t="str">
            <v>SCHMDT.SE</v>
          </cell>
        </row>
        <row r="1153">
          <cell r="A1153">
            <v>1153</v>
          </cell>
          <cell r="D1153" t="str">
            <v>SG</v>
          </cell>
          <cell r="E1153" t="str">
            <v>SCHMDT-SG</v>
          </cell>
          <cell r="F1153">
            <v>43301326.1760232</v>
          </cell>
          <cell r="G1153">
            <v>43753981.674304277</v>
          </cell>
          <cell r="H1153">
            <v>-452655.49828107725</v>
          </cell>
          <cell r="I1153">
            <v>0</v>
          </cell>
          <cell r="J1153">
            <v>0</v>
          </cell>
          <cell r="K1153">
            <v>0</v>
          </cell>
          <cell r="M1153">
            <v>0.59419421435740905</v>
          </cell>
          <cell r="N1153">
            <v>25998362.765971702</v>
          </cell>
          <cell r="O1153">
            <v>17755618.908332575</v>
          </cell>
          <cell r="P1153">
            <v>1</v>
          </cell>
          <cell r="Q1153">
            <v>-452655.49828107725</v>
          </cell>
          <cell r="R1153">
            <v>0</v>
          </cell>
          <cell r="S1153" t="str">
            <v>DRB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SCHMDT</v>
          </cell>
          <cell r="AE1153" t="str">
            <v>SG</v>
          </cell>
          <cell r="AF1153" t="str">
            <v>SCHMDT.SG</v>
          </cell>
        </row>
        <row r="1154">
          <cell r="A1154">
            <v>1154</v>
          </cell>
          <cell r="D1154" t="str">
            <v>GPS</v>
          </cell>
          <cell r="E1154" t="str">
            <v>SCHMDT-GPS</v>
          </cell>
          <cell r="F1154">
            <v>4562741.9560352452</v>
          </cell>
          <cell r="G1154">
            <v>2197564.9670099146</v>
          </cell>
          <cell r="H1154">
            <v>1124520.7340221601</v>
          </cell>
          <cell r="I1154">
            <v>1240656.2550031706</v>
          </cell>
          <cell r="J1154">
            <v>0</v>
          </cell>
          <cell r="K1154">
            <v>0</v>
          </cell>
          <cell r="M1154">
            <v>0.59419421435740905</v>
          </cell>
          <cell r="N1154">
            <v>1305780.3890718217</v>
          </cell>
          <cell r="O1154">
            <v>891784.57793809287</v>
          </cell>
          <cell r="P1154">
            <v>1</v>
          </cell>
          <cell r="Q1154">
            <v>1124520.7340221601</v>
          </cell>
          <cell r="R1154">
            <v>0</v>
          </cell>
          <cell r="S1154" t="str">
            <v>DRB</v>
          </cell>
          <cell r="T1154">
            <v>269921.88951712218</v>
          </cell>
          <cell r="U1154">
            <v>515874.21011260955</v>
          </cell>
          <cell r="V1154">
            <v>244759.62500342628</v>
          </cell>
          <cell r="W1154">
            <v>37094.552928366022</v>
          </cell>
          <cell r="X1154">
            <v>173005.97744164674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SCHMDT</v>
          </cell>
          <cell r="AE1154" t="str">
            <v>GPS</v>
          </cell>
          <cell r="AF1154" t="str">
            <v>SCHMDT.GPS</v>
          </cell>
        </row>
        <row r="1155">
          <cell r="A1155">
            <v>1155</v>
          </cell>
          <cell r="D1155" t="str">
            <v>SO</v>
          </cell>
          <cell r="E1155" t="str">
            <v>SCHMDT-SO</v>
          </cell>
          <cell r="F1155">
            <v>635311.55189532076</v>
          </cell>
          <cell r="G1155">
            <v>260783.02676378397</v>
          </cell>
          <cell r="H1155">
            <v>74148.428954433213</v>
          </cell>
          <cell r="I1155">
            <v>187561.09132222299</v>
          </cell>
          <cell r="J1155">
            <v>57761.656226009123</v>
          </cell>
          <cell r="K1155">
            <v>55057.348628871448</v>
          </cell>
          <cell r="M1155">
            <v>0.59419421435740905</v>
          </cell>
          <cell r="N1155">
            <v>154955.76570565379</v>
          </cell>
          <cell r="O1155">
            <v>105827.26105813019</v>
          </cell>
          <cell r="P1155">
            <v>1</v>
          </cell>
          <cell r="Q1155">
            <v>74148.428954433213</v>
          </cell>
          <cell r="R1155">
            <v>0</v>
          </cell>
          <cell r="S1155" t="str">
            <v>DISom</v>
          </cell>
          <cell r="T1155">
            <v>15492.353607462544</v>
          </cell>
          <cell r="U1155">
            <v>163554.40333399177</v>
          </cell>
          <cell r="V1155">
            <v>1371.0632948242137</v>
          </cell>
          <cell r="W1155">
            <v>7143.2710859444724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D1155" t="str">
            <v>SCHMDT</v>
          </cell>
          <cell r="AE1155" t="str">
            <v>SO</v>
          </cell>
          <cell r="AF1155" t="str">
            <v>SCHMDT.SO</v>
          </cell>
        </row>
        <row r="1156">
          <cell r="A1156">
            <v>1156</v>
          </cell>
          <cell r="D1156" t="str">
            <v>TAXDEPR</v>
          </cell>
          <cell r="E1156" t="str">
            <v>TAXDEPR</v>
          </cell>
          <cell r="F1156">
            <v>55937092.232560262</v>
          </cell>
          <cell r="G1156">
            <v>24931658.485817693</v>
          </cell>
          <cell r="H1156">
            <v>14649154.635088222</v>
          </cell>
          <cell r="I1156">
            <v>15793369.614468427</v>
          </cell>
          <cell r="J1156">
            <v>562909.49718592491</v>
          </cell>
          <cell r="K1156">
            <v>0</v>
          </cell>
          <cell r="M1156">
            <v>0.59419421435740905</v>
          </cell>
          <cell r="N1156">
            <v>14814247.226607675</v>
          </cell>
          <cell r="O1156">
            <v>10117411.259210018</v>
          </cell>
          <cell r="P1156">
            <v>1</v>
          </cell>
          <cell r="Q1156">
            <v>14649154.635088222</v>
          </cell>
          <cell r="R1156">
            <v>0</v>
          </cell>
          <cell r="S1156" t="str">
            <v>DISom</v>
          </cell>
          <cell r="T1156">
            <v>1304516.1178997098</v>
          </cell>
          <cell r="U1156">
            <v>13771913.597420651</v>
          </cell>
          <cell r="V1156">
            <v>115448.83444290393</v>
          </cell>
          <cell r="W1156">
            <v>601491.06470516359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SCHMDT</v>
          </cell>
          <cell r="AE1156" t="str">
            <v>TAXDEPR</v>
          </cell>
          <cell r="AF1156" t="str">
            <v>SCHMDT.TAXDEPR</v>
          </cell>
        </row>
        <row r="1157">
          <cell r="A1157">
            <v>1157</v>
          </cell>
          <cell r="D1157" t="str">
            <v>CAGW</v>
          </cell>
          <cell r="E1157" t="str">
            <v>SCHMDT-SG</v>
          </cell>
          <cell r="F1157">
            <v>589967.79046582733</v>
          </cell>
          <cell r="G1157">
            <v>596135.088046449</v>
          </cell>
          <cell r="H1157">
            <v>-6167.2975806216136</v>
          </cell>
          <cell r="I1157">
            <v>0</v>
          </cell>
          <cell r="J1157">
            <v>0</v>
          </cell>
          <cell r="K1157">
            <v>0</v>
          </cell>
          <cell r="M1157">
            <v>0.59419421435740905</v>
          </cell>
          <cell r="N1157">
            <v>354220.02029264462</v>
          </cell>
          <cell r="O1157">
            <v>241915.06775380438</v>
          </cell>
          <cell r="P1157">
            <v>1</v>
          </cell>
          <cell r="Q1157">
            <v>-6167.2975806216136</v>
          </cell>
          <cell r="R1157">
            <v>0</v>
          </cell>
          <cell r="S1157" t="str">
            <v>PLNT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SCHMDT</v>
          </cell>
          <cell r="AE1157" t="str">
            <v>CAGW</v>
          </cell>
          <cell r="AF1157" t="str">
            <v>SCHMDT.CAGW</v>
          </cell>
        </row>
        <row r="1158">
          <cell r="A1158">
            <v>1158</v>
          </cell>
          <cell r="D1158" t="str">
            <v>CAGE</v>
          </cell>
          <cell r="E1158" t="str">
            <v>SCHMDT-SG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M1158">
            <v>0.59419421435740905</v>
          </cell>
          <cell r="N1158">
            <v>0</v>
          </cell>
          <cell r="O1158">
            <v>0</v>
          </cell>
          <cell r="P1158">
            <v>1</v>
          </cell>
          <cell r="Q1158">
            <v>0</v>
          </cell>
          <cell r="R1158">
            <v>0</v>
          </cell>
          <cell r="S1158" t="str">
            <v>DRB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SCHMDT</v>
          </cell>
          <cell r="AE1158" t="str">
            <v>CAGE</v>
          </cell>
          <cell r="AF1158" t="str">
            <v>SCHMDT.CAGE</v>
          </cell>
        </row>
        <row r="1159">
          <cell r="A1159">
            <v>1159</v>
          </cell>
          <cell r="D1159" t="str">
            <v>JBG</v>
          </cell>
          <cell r="E1159" t="str">
            <v>P</v>
          </cell>
          <cell r="F1159">
            <v>282326.00795168261</v>
          </cell>
          <cell r="G1159">
            <v>282326.00795168261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M1159">
            <v>0.59419421435740905</v>
          </cell>
          <cell r="N1159">
            <v>167756.48048751368</v>
          </cell>
          <cell r="O1159">
            <v>114569.52746416895</v>
          </cell>
          <cell r="P1159">
            <v>1</v>
          </cell>
          <cell r="Q1159">
            <v>0</v>
          </cell>
          <cell r="R1159">
            <v>0</v>
          </cell>
          <cell r="S1159" t="str">
            <v>DRB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D1159" t="str">
            <v>SCHMDT</v>
          </cell>
          <cell r="AE1159" t="str">
            <v>JBG</v>
          </cell>
          <cell r="AF1159" t="str">
            <v>SCHMDT.JBG</v>
          </cell>
        </row>
        <row r="1160">
          <cell r="A1160">
            <v>1160</v>
          </cell>
          <cell r="D1160" t="str">
            <v>CAEE</v>
          </cell>
          <cell r="E1160" t="str">
            <v>P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M1160">
            <v>0.59419421435740905</v>
          </cell>
          <cell r="N1160">
            <v>0</v>
          </cell>
          <cell r="O1160">
            <v>0</v>
          </cell>
          <cell r="P1160">
            <v>1</v>
          </cell>
          <cell r="Q1160">
            <v>0</v>
          </cell>
          <cell r="R1160">
            <v>0</v>
          </cell>
          <cell r="S1160" t="str">
            <v>DRB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SCHMDT</v>
          </cell>
          <cell r="AE1160" t="str">
            <v>CAEE</v>
          </cell>
          <cell r="AF1160" t="str">
            <v>SCHMDT.CAEE</v>
          </cell>
        </row>
        <row r="1161">
          <cell r="A1161">
            <v>1161</v>
          </cell>
          <cell r="D1161" t="str">
            <v>TROJD</v>
          </cell>
          <cell r="E1161" t="str">
            <v>P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M1161">
            <v>0.59419421435740905</v>
          </cell>
          <cell r="N1161">
            <v>0</v>
          </cell>
          <cell r="O1161">
            <v>0</v>
          </cell>
          <cell r="P1161">
            <v>1</v>
          </cell>
          <cell r="Q1161">
            <v>0</v>
          </cell>
          <cell r="R1161">
            <v>0</v>
          </cell>
          <cell r="S1161" t="str">
            <v>DRB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D1161" t="str">
            <v>SCHMDT</v>
          </cell>
          <cell r="AE1161" t="str">
            <v>TROJD</v>
          </cell>
          <cell r="AF1161" t="str">
            <v>SCHMDT.TROJD</v>
          </cell>
        </row>
        <row r="1162">
          <cell r="A1162">
            <v>1162</v>
          </cell>
          <cell r="AD1162" t="str">
            <v>SCHMDT</v>
          </cell>
          <cell r="AE1162" t="str">
            <v>NA</v>
          </cell>
          <cell r="AF1162" t="str">
            <v>SCHMDT.NA1</v>
          </cell>
        </row>
        <row r="1163">
          <cell r="A1163">
            <v>1163</v>
          </cell>
          <cell r="AD1163" t="str">
            <v>SCHMDT</v>
          </cell>
          <cell r="AE1163" t="str">
            <v>NA</v>
          </cell>
          <cell r="AF1163" t="str">
            <v>SCHMDT.NA2</v>
          </cell>
        </row>
        <row r="1164">
          <cell r="A1164">
            <v>1164</v>
          </cell>
          <cell r="B1164" t="str">
            <v>TOTAL SCHEDULE - M DEDUCTIONS</v>
          </cell>
          <cell r="F1164">
            <v>111825407.85880338</v>
          </cell>
          <cell r="G1164">
            <v>75108164.130780131</v>
          </cell>
          <cell r="H1164">
            <v>16995369.94934142</v>
          </cell>
          <cell r="I1164">
            <v>19068641.679748718</v>
          </cell>
          <cell r="J1164">
            <v>613676.26153010526</v>
          </cell>
          <cell r="K1164">
            <v>39555.837402995894</v>
          </cell>
          <cell r="N1164">
            <v>44628836.577516235</v>
          </cell>
          <cell r="O1164">
            <v>30479327.553263903</v>
          </cell>
          <cell r="Q1164">
            <v>16995369.94934142</v>
          </cell>
          <cell r="R1164">
            <v>0</v>
          </cell>
          <cell r="T1164">
            <v>1772922.3472709572</v>
          </cell>
          <cell r="U1164">
            <v>15878186.775725609</v>
          </cell>
          <cell r="V1164">
            <v>474414.46408540488</v>
          </cell>
          <cell r="W1164">
            <v>710760.70344289334</v>
          </cell>
          <cell r="X1164">
            <v>232357.38922385682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SCHEDULE - M DEDUCTIONS</v>
          </cell>
          <cell r="AE1164" t="str">
            <v>NA</v>
          </cell>
          <cell r="AF1164" t="str">
            <v>TOTAL SCHEDULE - M DEDUCTIONS.NA</v>
          </cell>
        </row>
        <row r="1165">
          <cell r="A1165">
            <v>1165</v>
          </cell>
          <cell r="AD1165" t="str">
            <v>TOTAL SCHEDULE - M DEDUCTIONS</v>
          </cell>
          <cell r="AE1165" t="str">
            <v>NA</v>
          </cell>
          <cell r="AF1165" t="str">
            <v>TOTAL SCHEDULE - M DEDUCTIONS.NA1</v>
          </cell>
        </row>
        <row r="1166">
          <cell r="A1166">
            <v>1166</v>
          </cell>
          <cell r="B1166" t="str">
            <v>TOTAL SCHEDULE - M ADJUSTMENTS</v>
          </cell>
          <cell r="F1166">
            <v>48055834.205239758</v>
          </cell>
          <cell r="G1166">
            <v>69389537.143242955</v>
          </cell>
          <cell r="H1166">
            <v>-12400025.343748208</v>
          </cell>
          <cell r="I1166">
            <v>-8433463.7072026655</v>
          </cell>
          <cell r="J1166">
            <v>-471619.88867625897</v>
          </cell>
          <cell r="K1166">
            <v>-28593.998376046526</v>
          </cell>
          <cell r="N1166">
            <v>41230861.507453494</v>
          </cell>
          <cell r="O1166">
            <v>28158675.635789454</v>
          </cell>
          <cell r="Q1166">
            <v>-12400025.343748208</v>
          </cell>
          <cell r="R1166">
            <v>0</v>
          </cell>
          <cell r="T1166">
            <v>-244577.53241222515</v>
          </cell>
          <cell r="U1166">
            <v>-10529972.645891473</v>
          </cell>
          <cell r="V1166">
            <v>1724970.7097169859</v>
          </cell>
          <cell r="W1166">
            <v>-419206.37327829585</v>
          </cell>
          <cell r="X1166">
            <v>1035322.134662339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D1166" t="str">
            <v>TOTAL SCHEDULE - M ADJUSTMENTS</v>
          </cell>
          <cell r="AE1166" t="str">
            <v>NA</v>
          </cell>
          <cell r="AF1166" t="str">
            <v>TOTAL SCHEDULE - M ADJUSTMENTS.NA</v>
          </cell>
        </row>
        <row r="1167">
          <cell r="A1167">
            <v>1167</v>
          </cell>
          <cell r="AD1167" t="str">
            <v>TOTAL SCHEDULE - M ADJUSTMENTS</v>
          </cell>
          <cell r="AE1167" t="str">
            <v>NA</v>
          </cell>
          <cell r="AF1167" t="str">
            <v>TOTAL SCHEDULE - M ADJUSTMENTS.NA1</v>
          </cell>
        </row>
        <row r="1168">
          <cell r="A1168">
            <v>1168</v>
          </cell>
          <cell r="B1168" t="str">
            <v>Negative Schedule M amounts decrease taxable income and therefore increase tax expense.</v>
          </cell>
          <cell r="AD1168" t="str">
            <v>Negative Schedule M amounts decrease taxable income and therefore increase tax expense.</v>
          </cell>
          <cell r="AE1168" t="str">
            <v>NA</v>
          </cell>
          <cell r="AF1168" t="str">
            <v>Negative Schedule M amounts decrease taxable income and therefore increase tax expense..NA</v>
          </cell>
        </row>
        <row r="1169">
          <cell r="A1169">
            <v>1169</v>
          </cell>
          <cell r="AD1169" t="str">
            <v>TOTAL DEFERRED INCOME TAXES</v>
          </cell>
          <cell r="AE1169" t="str">
            <v>NA</v>
          </cell>
          <cell r="AF1169" t="str">
            <v>TOTAL DEFERRED INCOME TAXES.NA1</v>
          </cell>
        </row>
        <row r="1170">
          <cell r="A1170">
            <v>1170</v>
          </cell>
          <cell r="B1170">
            <v>40911</v>
          </cell>
          <cell r="C1170" t="str">
            <v>State Income Taxes</v>
          </cell>
          <cell r="AD1170">
            <v>40911</v>
          </cell>
          <cell r="AE1170" t="str">
            <v>NA</v>
          </cell>
          <cell r="AF1170" t="str">
            <v>40911.NA</v>
          </cell>
        </row>
        <row r="1171">
          <cell r="A1171">
            <v>1171</v>
          </cell>
          <cell r="D1171" t="str">
            <v>S</v>
          </cell>
          <cell r="E1171" t="str">
            <v>IBT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0.59419421435740905</v>
          </cell>
          <cell r="N1171">
            <v>0</v>
          </cell>
          <cell r="O1171">
            <v>0</v>
          </cell>
          <cell r="P1171">
            <v>1</v>
          </cell>
          <cell r="Q1171">
            <v>0</v>
          </cell>
          <cell r="R1171">
            <v>0</v>
          </cell>
          <cell r="S1171" t="str">
            <v>DRB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40911</v>
          </cell>
          <cell r="AE1171" t="str">
            <v>S</v>
          </cell>
          <cell r="AF1171" t="str">
            <v>40911.S</v>
          </cell>
        </row>
        <row r="1172">
          <cell r="A1172">
            <v>1172</v>
          </cell>
          <cell r="D1172" t="str">
            <v>SO</v>
          </cell>
          <cell r="E1172" t="str">
            <v>IBT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0.59419421435740905</v>
          </cell>
          <cell r="N1172">
            <v>0</v>
          </cell>
          <cell r="O1172">
            <v>0</v>
          </cell>
          <cell r="P1172">
            <v>1</v>
          </cell>
          <cell r="Q1172">
            <v>0</v>
          </cell>
          <cell r="R1172">
            <v>0</v>
          </cell>
          <cell r="S1172" t="str">
            <v>DRB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40911</v>
          </cell>
          <cell r="AE1172" t="str">
            <v>SO</v>
          </cell>
          <cell r="AF1172" t="str">
            <v>40911.SO</v>
          </cell>
        </row>
        <row r="1173">
          <cell r="A1173">
            <v>1173</v>
          </cell>
          <cell r="D1173" t="str">
            <v>DGU</v>
          </cell>
          <cell r="E1173" t="str">
            <v>IBT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0.59419421435740905</v>
          </cell>
          <cell r="N1173">
            <v>0</v>
          </cell>
          <cell r="O1173">
            <v>0</v>
          </cell>
          <cell r="P1173">
            <v>1</v>
          </cell>
          <cell r="Q1173">
            <v>0</v>
          </cell>
          <cell r="R1173">
            <v>0</v>
          </cell>
          <cell r="S1173" t="str">
            <v>DRB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40911</v>
          </cell>
          <cell r="AE1173" t="str">
            <v>DGU</v>
          </cell>
          <cell r="AF1173" t="str">
            <v>40911.DGU</v>
          </cell>
        </row>
        <row r="1174">
          <cell r="A1174">
            <v>1174</v>
          </cell>
          <cell r="D1174" t="str">
            <v>IDSIT</v>
          </cell>
          <cell r="E1174" t="str">
            <v>IBT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0.59419421435740905</v>
          </cell>
          <cell r="N1174">
            <v>0</v>
          </cell>
          <cell r="O1174">
            <v>0</v>
          </cell>
          <cell r="P1174">
            <v>1</v>
          </cell>
          <cell r="Q1174">
            <v>0</v>
          </cell>
          <cell r="R1174">
            <v>0</v>
          </cell>
          <cell r="S1174" t="str">
            <v>DRB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40911</v>
          </cell>
          <cell r="AE1174" t="str">
            <v>IDSIT</v>
          </cell>
          <cell r="AF1174" t="str">
            <v>40911.IDSIT</v>
          </cell>
        </row>
        <row r="1175">
          <cell r="A1175">
            <v>1175</v>
          </cell>
          <cell r="B1175" t="str">
            <v>TOTAL STATE TAXES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0</v>
          </cell>
          <cell r="O1175">
            <v>0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 t="str">
            <v>TOTAL STATE TAXES</v>
          </cell>
          <cell r="AE1175" t="str">
            <v>NA</v>
          </cell>
          <cell r="AF1175" t="str">
            <v>TOTAL STATE TAXES.NA</v>
          </cell>
        </row>
        <row r="1176">
          <cell r="A1176">
            <v>1176</v>
          </cell>
          <cell r="AD1176" t="str">
            <v>TOTAL STATE TAXES</v>
          </cell>
          <cell r="AE1176" t="str">
            <v>NA</v>
          </cell>
          <cell r="AF1176" t="str">
            <v>TOTAL STATE TAXES.NA1</v>
          </cell>
        </row>
        <row r="1177">
          <cell r="A1177">
            <v>1177</v>
          </cell>
          <cell r="B1177" t="str">
            <v>Calculation of Taxable Income:</v>
          </cell>
          <cell r="AD1177" t="str">
            <v>Calculation of Taxable Income:</v>
          </cell>
          <cell r="AE1177" t="str">
            <v>NA</v>
          </cell>
          <cell r="AF1177" t="str">
            <v>Calculation of Taxable Income:.NA</v>
          </cell>
        </row>
        <row r="1178">
          <cell r="A1178">
            <v>1178</v>
          </cell>
          <cell r="C1178" t="str">
            <v>Operating Revenues</v>
          </cell>
          <cell r="F1178">
            <v>382591356.3649506</v>
          </cell>
          <cell r="G1178">
            <v>248807576.99853647</v>
          </cell>
          <cell r="H1178">
            <v>67071845.344203159</v>
          </cell>
          <cell r="I1178">
            <v>47116780.811179072</v>
          </cell>
          <cell r="J1178">
            <v>8782099.5629882012</v>
          </cell>
          <cell r="K1178">
            <v>10813053.648617277</v>
          </cell>
          <cell r="AD1178" t="str">
            <v>Calculation of Taxable Income:</v>
          </cell>
          <cell r="AE1178" t="str">
            <v>NA</v>
          </cell>
          <cell r="AF1178" t="str">
            <v>Calculation of Taxable Income:.NA1</v>
          </cell>
        </row>
        <row r="1179">
          <cell r="A1179">
            <v>1179</v>
          </cell>
          <cell r="C1179" t="str">
            <v>Operating Deductions:</v>
          </cell>
          <cell r="AD1179" t="str">
            <v>Calculation of Taxable Income:</v>
          </cell>
          <cell r="AE1179" t="str">
            <v>NA</v>
          </cell>
          <cell r="AF1179" t="str">
            <v>Calculation of Taxable Income:.NA2</v>
          </cell>
        </row>
        <row r="1180">
          <cell r="A1180">
            <v>1180</v>
          </cell>
          <cell r="C1180" t="str">
            <v xml:space="preserve">   O &amp; M Expenses</v>
          </cell>
          <cell r="F1180">
            <v>167580764.76119113</v>
          </cell>
          <cell r="G1180">
            <v>122203933.25547305</v>
          </cell>
          <cell r="H1180">
            <v>16190075.964635935</v>
          </cell>
          <cell r="I1180">
            <v>12374940.184378542</v>
          </cell>
          <cell r="J1180">
            <v>8133723.6677266881</v>
          </cell>
          <cell r="K1180">
            <v>8678091.6868191902</v>
          </cell>
          <cell r="AD1180" t="str">
            <v>Calculation of Taxable Income:</v>
          </cell>
          <cell r="AE1180" t="str">
            <v>NA</v>
          </cell>
          <cell r="AF1180" t="str">
            <v>Calculation of Taxable Income:.NA3</v>
          </cell>
        </row>
        <row r="1181">
          <cell r="A1181">
            <v>1181</v>
          </cell>
          <cell r="C1181" t="str">
            <v xml:space="preserve">   Depreciation Expense</v>
          </cell>
          <cell r="F1181">
            <v>117309607.36845624</v>
          </cell>
          <cell r="G1181">
            <v>89633950.117474645</v>
          </cell>
          <cell r="H1181">
            <v>12969504.15561736</v>
          </cell>
          <cell r="I1181">
            <v>14647473.029918291</v>
          </cell>
          <cell r="J1181">
            <v>58680.065445934095</v>
          </cell>
          <cell r="K1181">
            <v>0</v>
          </cell>
          <cell r="AD1181" t="str">
            <v>Calculation of Taxable Income:</v>
          </cell>
          <cell r="AE1181" t="str">
            <v>NA</v>
          </cell>
          <cell r="AF1181" t="str">
            <v>Calculation of Taxable Income:.NA4</v>
          </cell>
        </row>
        <row r="1182">
          <cell r="A1182">
            <v>1182</v>
          </cell>
          <cell r="C1182" t="str">
            <v xml:space="preserve">   Amortization Expense</v>
          </cell>
          <cell r="F1182">
            <v>7134745.3027785588</v>
          </cell>
          <cell r="G1182">
            <v>5292142.1995697077</v>
          </cell>
          <cell r="H1182">
            <v>259488.69823683376</v>
          </cell>
          <cell r="I1182">
            <v>844410.58835739177</v>
          </cell>
          <cell r="J1182">
            <v>738703.81661462539</v>
          </cell>
          <cell r="K1182">
            <v>0</v>
          </cell>
          <cell r="AD1182" t="str">
            <v>Calculation of Taxable Income:</v>
          </cell>
          <cell r="AE1182" t="str">
            <v>NA</v>
          </cell>
          <cell r="AF1182" t="str">
            <v>Calculation of Taxable Income:.NA5</v>
          </cell>
        </row>
        <row r="1183">
          <cell r="A1183">
            <v>1183</v>
          </cell>
          <cell r="C1183" t="str">
            <v xml:space="preserve">   Taxes Other Than Income</v>
          </cell>
          <cell r="F1183">
            <v>24634547.458652232</v>
          </cell>
          <cell r="G1183">
            <v>11752339.365306379</v>
          </cell>
          <cell r="H1183">
            <v>6057423.7619394055</v>
          </cell>
          <cell r="I1183">
            <v>6657881.0771539444</v>
          </cell>
          <cell r="J1183">
            <v>166903.25425250729</v>
          </cell>
          <cell r="K1183">
            <v>0</v>
          </cell>
          <cell r="AD1183" t="str">
            <v>Calculation of Taxable Income:</v>
          </cell>
          <cell r="AE1183" t="str">
            <v>NA</v>
          </cell>
          <cell r="AF1183" t="str">
            <v>Calculation of Taxable Income:.NA6</v>
          </cell>
        </row>
        <row r="1184">
          <cell r="A1184">
            <v>1184</v>
          </cell>
          <cell r="C1184" t="str">
            <v xml:space="preserve">   Interest &amp; Dividends (AFUDC-Equity)</v>
          </cell>
          <cell r="F1184">
            <v>-3016519.6037139692</v>
          </cell>
          <cell r="G1184">
            <v>-1425525.5129513484</v>
          </cell>
          <cell r="H1184">
            <v>-748111.29743112263</v>
          </cell>
          <cell r="I1184">
            <v>-822269.70516209083</v>
          </cell>
          <cell r="J1184">
            <v>-20613.088169407292</v>
          </cell>
          <cell r="K1184">
            <v>0</v>
          </cell>
          <cell r="AD1184" t="str">
            <v>Calculation of Taxable Income:</v>
          </cell>
          <cell r="AE1184" t="str">
            <v>NA</v>
          </cell>
          <cell r="AF1184" t="str">
            <v>Calculation of Taxable Income:.NA7</v>
          </cell>
        </row>
        <row r="1185">
          <cell r="A1185">
            <v>1185</v>
          </cell>
          <cell r="C1185" t="str">
            <v xml:space="preserve">   Misc Revenue &amp; Expense</v>
          </cell>
          <cell r="F1185">
            <v>65435.101564292789</v>
          </cell>
          <cell r="G1185">
            <v>5947.1563946623028</v>
          </cell>
          <cell r="H1185">
            <v>81.005833750026895</v>
          </cell>
          <cell r="I1185">
            <v>-1012.6606641195482</v>
          </cell>
          <cell r="J1185">
            <v>60419.600000000006</v>
          </cell>
          <cell r="K1185">
            <v>0</v>
          </cell>
          <cell r="AD1185" t="str">
            <v>Calculation of Taxable Income:</v>
          </cell>
          <cell r="AE1185" t="str">
            <v>NA</v>
          </cell>
          <cell r="AF1185" t="str">
            <v>Calculation of Taxable Income:.NA8</v>
          </cell>
        </row>
        <row r="1186">
          <cell r="A1186">
            <v>1186</v>
          </cell>
          <cell r="C1186" t="str">
            <v xml:space="preserve">    Total Operating Deductions</v>
          </cell>
          <cell r="F1186">
            <v>313708580.38892847</v>
          </cell>
          <cell r="G1186">
            <v>227462786.58126709</v>
          </cell>
          <cell r="H1186">
            <v>34728462.288832158</v>
          </cell>
          <cell r="I1186">
            <v>33701422.513981961</v>
          </cell>
          <cell r="J1186">
            <v>9137817.3158703465</v>
          </cell>
          <cell r="K1186">
            <v>8678091.6868191902</v>
          </cell>
          <cell r="AD1186" t="str">
            <v>Calculation of Taxable Income:</v>
          </cell>
          <cell r="AE1186" t="str">
            <v>NA</v>
          </cell>
          <cell r="AF1186" t="str">
            <v>Calculation of Taxable Income:.NA9</v>
          </cell>
        </row>
        <row r="1187">
          <cell r="A1187">
            <v>1187</v>
          </cell>
          <cell r="C1187" t="str">
            <v>Other Deductions:</v>
          </cell>
          <cell r="AD1187" t="str">
            <v>Calculation of Taxable Income:</v>
          </cell>
          <cell r="AE1187" t="str">
            <v>NA</v>
          </cell>
          <cell r="AF1187" t="str">
            <v>Calculation of Taxable Income:.NA10</v>
          </cell>
        </row>
        <row r="1188">
          <cell r="A1188">
            <v>1188</v>
          </cell>
          <cell r="C1188" t="str">
            <v xml:space="preserve">   Interest Deductions</v>
          </cell>
          <cell r="F1188">
            <v>27212623.370171286</v>
          </cell>
          <cell r="G1188">
            <v>12859949.207939446</v>
          </cell>
          <cell r="H1188">
            <v>6748860.8232143642</v>
          </cell>
          <cell r="I1188">
            <v>7417858.5704293335</v>
          </cell>
          <cell r="J1188">
            <v>185954.76858813842</v>
          </cell>
          <cell r="K1188">
            <v>0</v>
          </cell>
          <cell r="AD1188" t="str">
            <v>Calculation of Taxable Income:</v>
          </cell>
          <cell r="AE1188" t="str">
            <v>NA</v>
          </cell>
          <cell r="AF1188" t="str">
            <v>Calculation of Taxable Income:.NA11</v>
          </cell>
        </row>
        <row r="1189">
          <cell r="A1189">
            <v>1189</v>
          </cell>
          <cell r="C1189" t="str">
            <v xml:space="preserve">   Interest on PCRBS</v>
          </cell>
          <cell r="F1189">
            <v>0</v>
          </cell>
          <cell r="AD1189" t="str">
            <v>Calculation of Taxable Income:</v>
          </cell>
          <cell r="AE1189" t="str">
            <v>NA</v>
          </cell>
          <cell r="AF1189" t="str">
            <v>Calculation of Taxable Income:.NA12</v>
          </cell>
        </row>
        <row r="1190">
          <cell r="A1190">
            <v>1190</v>
          </cell>
          <cell r="C1190" t="str">
            <v xml:space="preserve">   Schedule M Adjustments</v>
          </cell>
          <cell r="F1190">
            <v>48055834.205239758</v>
          </cell>
          <cell r="G1190">
            <v>69389537.143242955</v>
          </cell>
          <cell r="H1190">
            <v>-12400025.343748208</v>
          </cell>
          <cell r="I1190">
            <v>-8433463.7072026655</v>
          </cell>
          <cell r="J1190">
            <v>-471619.88867625897</v>
          </cell>
          <cell r="K1190">
            <v>-28593.998376046526</v>
          </cell>
          <cell r="AD1190" t="str">
            <v>Calculation of Taxable Income:</v>
          </cell>
          <cell r="AE1190" t="str">
            <v>NA</v>
          </cell>
          <cell r="AF1190" t="str">
            <v>Calculation of Taxable Income:.NA13</v>
          </cell>
        </row>
        <row r="1191">
          <cell r="A1191">
            <v>1191</v>
          </cell>
          <cell r="AD1191" t="str">
            <v>Calculation of Taxable Income:</v>
          </cell>
          <cell r="AE1191" t="str">
            <v>NA</v>
          </cell>
          <cell r="AF1191" t="str">
            <v>Calculation of Taxable Income:.NA14</v>
          </cell>
        </row>
        <row r="1192">
          <cell r="A1192">
            <v>1192</v>
          </cell>
          <cell r="C1192" t="str">
            <v xml:space="preserve">    Income Before State Taxes</v>
          </cell>
          <cell r="F1192">
            <v>89725986.811090589</v>
          </cell>
          <cell r="G1192">
            <v>77874378.352572888</v>
          </cell>
          <cell r="H1192">
            <v>13194496.88840843</v>
          </cell>
          <cell r="I1192">
            <v>-2435963.980434888</v>
          </cell>
          <cell r="J1192">
            <v>-1013292.4101465427</v>
          </cell>
          <cell r="K1192">
            <v>2106367.9634220405</v>
          </cell>
          <cell r="AD1192" t="str">
            <v>Calculation of Taxable Income:</v>
          </cell>
          <cell r="AE1192" t="str">
            <v>NA</v>
          </cell>
          <cell r="AF1192" t="str">
            <v>Calculation of Taxable Income:.NA15</v>
          </cell>
        </row>
        <row r="1193">
          <cell r="A1193">
            <v>1193</v>
          </cell>
          <cell r="AD1193" t="str">
            <v>Calculation of Taxable Income:</v>
          </cell>
          <cell r="AE1193" t="str">
            <v>NA</v>
          </cell>
          <cell r="AF1193" t="str">
            <v>Calculation of Taxable Income:.NA16</v>
          </cell>
        </row>
        <row r="1194">
          <cell r="A1194">
            <v>1194</v>
          </cell>
          <cell r="C1194" t="str">
            <v>State Income Taxes</v>
          </cell>
          <cell r="E1194" t="str">
            <v>IBT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0.59419421435740905</v>
          </cell>
          <cell r="N1194">
            <v>0</v>
          </cell>
          <cell r="O1194">
            <v>0</v>
          </cell>
          <cell r="P1194">
            <v>1</v>
          </cell>
          <cell r="Q1194">
            <v>0</v>
          </cell>
          <cell r="R1194">
            <v>0</v>
          </cell>
          <cell r="S1194" t="str">
            <v>DRB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 t="str">
            <v>Calculation of Taxable Income:</v>
          </cell>
          <cell r="AE1194" t="str">
            <v>NA</v>
          </cell>
          <cell r="AF1194" t="str">
            <v>Calculation of Taxable Income:.NA17</v>
          </cell>
        </row>
        <row r="1195">
          <cell r="A1195">
            <v>1195</v>
          </cell>
          <cell r="AD1195" t="str">
            <v>Calculation of Taxable Income:</v>
          </cell>
          <cell r="AE1195" t="str">
            <v>NA</v>
          </cell>
          <cell r="AF1195" t="str">
            <v>Calculation of Taxable Income:.NA18</v>
          </cell>
        </row>
        <row r="1196">
          <cell r="A1196">
            <v>1196</v>
          </cell>
          <cell r="B1196" t="str">
            <v>Total Taxable Income</v>
          </cell>
          <cell r="F1196">
            <v>89725986.811090589</v>
          </cell>
          <cell r="G1196">
            <v>77874378.352572888</v>
          </cell>
          <cell r="H1196">
            <v>13194496.88840843</v>
          </cell>
          <cell r="I1196">
            <v>-2435963.980434888</v>
          </cell>
          <cell r="J1196">
            <v>-1013292.4101465427</v>
          </cell>
          <cell r="K1196">
            <v>2106367.9634220405</v>
          </cell>
          <cell r="AD1196" t="str">
            <v>Total Taxable Income</v>
          </cell>
          <cell r="AE1196" t="str">
            <v>NA</v>
          </cell>
          <cell r="AF1196" t="str">
            <v>Total Taxable Income.NA</v>
          </cell>
        </row>
        <row r="1197">
          <cell r="A1197">
            <v>1197</v>
          </cell>
          <cell r="AD1197" t="str">
            <v>Total Taxable Income</v>
          </cell>
          <cell r="AE1197" t="str">
            <v>NA</v>
          </cell>
          <cell r="AF1197" t="str">
            <v>Total Taxable Income.NA1</v>
          </cell>
        </row>
        <row r="1198">
          <cell r="A1198">
            <v>1198</v>
          </cell>
          <cell r="B1198" t="str">
            <v>Tax Rate</v>
          </cell>
          <cell r="F1198">
            <v>0.21</v>
          </cell>
          <cell r="AD1198" t="str">
            <v>Tax Rate</v>
          </cell>
          <cell r="AE1198" t="str">
            <v>NA</v>
          </cell>
          <cell r="AF1198" t="str">
            <v>Tax Rate.NA</v>
          </cell>
        </row>
        <row r="1199">
          <cell r="A1199">
            <v>1199</v>
          </cell>
          <cell r="AD1199" t="str">
            <v>Tax Rate</v>
          </cell>
          <cell r="AE1199" t="str">
            <v>NA</v>
          </cell>
          <cell r="AF1199" t="str">
            <v>Tax Rate.NA1</v>
          </cell>
        </row>
        <row r="1200">
          <cell r="A1200">
            <v>1200</v>
          </cell>
          <cell r="B1200" t="str">
            <v>Federal Income Tax - Calculated</v>
          </cell>
          <cell r="F1200">
            <v>18842457.230329022</v>
          </cell>
          <cell r="G1200">
            <v>16353619.454040306</v>
          </cell>
          <cell r="H1200">
            <v>2770844.34656577</v>
          </cell>
          <cell r="I1200">
            <v>-511552.43589132646</v>
          </cell>
          <cell r="J1200">
            <v>-212791.40613077395</v>
          </cell>
          <cell r="K1200">
            <v>442337.2723186285</v>
          </cell>
          <cell r="AD1200" t="str">
            <v>Federal Income Tax - Calculated</v>
          </cell>
          <cell r="AE1200" t="str">
            <v>NA</v>
          </cell>
          <cell r="AF1200" t="str">
            <v>Federal Income Tax - Calculated.NA</v>
          </cell>
        </row>
        <row r="1201">
          <cell r="A1201">
            <v>1201</v>
          </cell>
          <cell r="AD1201" t="str">
            <v>Federal Income Tax - Calculated</v>
          </cell>
          <cell r="AE1201" t="str">
            <v>NA</v>
          </cell>
          <cell r="AF1201" t="str">
            <v>Federal Income Tax - Calculated.NA1</v>
          </cell>
        </row>
        <row r="1202">
          <cell r="A1202">
            <v>1202</v>
          </cell>
          <cell r="B1202" t="str">
            <v>Investment Tax Credit Utilized &amp; Other Misc</v>
          </cell>
          <cell r="AD1202" t="str">
            <v>Investment Tax Credit Utilized &amp; Other Misc</v>
          </cell>
          <cell r="AE1202" t="str">
            <v>NA</v>
          </cell>
          <cell r="AF1202" t="str">
            <v>Investment Tax Credit Utilized &amp; Other Misc.NA</v>
          </cell>
        </row>
        <row r="1203">
          <cell r="A1203">
            <v>1203</v>
          </cell>
          <cell r="B1203">
            <v>40910</v>
          </cell>
          <cell r="D1203" t="str">
            <v>SE</v>
          </cell>
          <cell r="E1203" t="str">
            <v>P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AD1203">
            <v>40910</v>
          </cell>
          <cell r="AE1203" t="str">
            <v>SE</v>
          </cell>
          <cell r="AF1203" t="str">
            <v>40910.SE</v>
          </cell>
        </row>
        <row r="1204">
          <cell r="A1204">
            <v>1204</v>
          </cell>
          <cell r="B1204">
            <v>40910</v>
          </cell>
          <cell r="D1204" t="str">
            <v>JBE</v>
          </cell>
          <cell r="E1204" t="str">
            <v>P</v>
          </cell>
          <cell r="F1204">
            <v>-4183.73363893443</v>
          </cell>
          <cell r="G1204">
            <v>-4183.73363893443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AD1204">
            <v>40910</v>
          </cell>
          <cell r="AE1204" t="str">
            <v>JBE</v>
          </cell>
          <cell r="AF1204" t="str">
            <v>40910.JBE</v>
          </cell>
        </row>
        <row r="1205">
          <cell r="A1205">
            <v>1205</v>
          </cell>
          <cell r="B1205">
            <v>40910</v>
          </cell>
          <cell r="D1205" t="str">
            <v>SO</v>
          </cell>
          <cell r="E1205" t="str">
            <v>P</v>
          </cell>
          <cell r="F1205">
            <v>-2781.7003929676239</v>
          </cell>
          <cell r="G1205">
            <v>-2781.7003929676239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AD1205">
            <v>40910</v>
          </cell>
          <cell r="AE1205" t="str">
            <v>SO</v>
          </cell>
          <cell r="AF1205" t="str">
            <v>40910.SO</v>
          </cell>
        </row>
        <row r="1206">
          <cell r="A1206">
            <v>1206</v>
          </cell>
          <cell r="B1206">
            <v>40910</v>
          </cell>
          <cell r="D1206" t="str">
            <v>SG</v>
          </cell>
          <cell r="E1206" t="str">
            <v>P</v>
          </cell>
          <cell r="F1206">
            <v>-15107365.283422492</v>
          </cell>
          <cell r="G1206">
            <v>-15107365.283422492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AD1206">
            <v>40910</v>
          </cell>
          <cell r="AE1206" t="str">
            <v>SG</v>
          </cell>
          <cell r="AF1206" t="str">
            <v>40910.SG</v>
          </cell>
        </row>
        <row r="1207">
          <cell r="A1207">
            <v>1207</v>
          </cell>
          <cell r="B1207">
            <v>40910</v>
          </cell>
          <cell r="D1207" t="str">
            <v>CAGW</v>
          </cell>
          <cell r="E1207" t="str">
            <v>P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AD1207">
            <v>40910</v>
          </cell>
          <cell r="AE1207" t="str">
            <v>CAGW</v>
          </cell>
          <cell r="AF1207" t="str">
            <v>40910.CAGW</v>
          </cell>
        </row>
        <row r="1208">
          <cell r="A1208">
            <v>1208</v>
          </cell>
          <cell r="B1208" t="str">
            <v>Federal Income Tax</v>
          </cell>
          <cell r="E1208" t="str">
            <v>FIT</v>
          </cell>
          <cell r="F1208">
            <v>3728126.5128746256</v>
          </cell>
          <cell r="G1208">
            <v>1239288.7365859114</v>
          </cell>
          <cell r="H1208">
            <v>2770844.34656577</v>
          </cell>
          <cell r="I1208">
            <v>-511552.43589132646</v>
          </cell>
          <cell r="J1208">
            <v>-212791.40613077395</v>
          </cell>
          <cell r="K1208">
            <v>442337.2723186285</v>
          </cell>
          <cell r="M1208">
            <v>0.59419421435740905</v>
          </cell>
          <cell r="N1208">
            <v>736378.19719765161</v>
          </cell>
          <cell r="O1208">
            <v>502910.5393882597</v>
          </cell>
          <cell r="P1208">
            <v>1</v>
          </cell>
          <cell r="Q1208">
            <v>2770844.34656577</v>
          </cell>
          <cell r="R1208">
            <v>0</v>
          </cell>
          <cell r="S1208" t="str">
            <v>DRB</v>
          </cell>
          <cell r="T1208">
            <v>-111295.29192799701</v>
          </cell>
          <cell r="U1208">
            <v>-212707.3536544939</v>
          </cell>
          <cell r="V1208">
            <v>-100920.28462632491</v>
          </cell>
          <cell r="W1208">
            <v>-15294.977019042944</v>
          </cell>
          <cell r="X1208">
            <v>-71334.528663467776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 t="str">
            <v>Federal Income Tax</v>
          </cell>
          <cell r="AE1208" t="str">
            <v>NA</v>
          </cell>
          <cell r="AF1208" t="str">
            <v>Federal Income Tax.NA</v>
          </cell>
        </row>
        <row r="1209">
          <cell r="A1209">
            <v>1209</v>
          </cell>
          <cell r="AD1209" t="str">
            <v>Federal Income Tax</v>
          </cell>
          <cell r="AE1209" t="str">
            <v>NA</v>
          </cell>
          <cell r="AF1209" t="str">
            <v>Federal Income Tax.NA1</v>
          </cell>
        </row>
        <row r="1210">
          <cell r="A1210">
            <v>1210</v>
          </cell>
          <cell r="F1210">
            <v>0</v>
          </cell>
          <cell r="AD1210" t="str">
            <v>Federal Income Tax</v>
          </cell>
          <cell r="AE1210" t="str">
            <v>NA</v>
          </cell>
          <cell r="AF1210" t="str">
            <v>Federal Income Tax.NA2</v>
          </cell>
        </row>
        <row r="1211">
          <cell r="A1211">
            <v>1211</v>
          </cell>
          <cell r="B1211" t="str">
            <v>TOTAL OPERATING EXPENSES</v>
          </cell>
          <cell r="F1211">
            <v>304496977.56144387</v>
          </cell>
          <cell r="G1211">
            <v>217191336.97207025</v>
          </cell>
          <cell r="H1211">
            <v>38748957.044389382</v>
          </cell>
          <cell r="I1211">
            <v>30519036.449000228</v>
          </cell>
          <cell r="J1211">
            <v>8915952.062076034</v>
          </cell>
          <cell r="K1211">
            <v>9121695.0344815478</v>
          </cell>
          <cell r="N1211">
            <v>71919013.737376198</v>
          </cell>
          <cell r="O1211">
            <v>145272323.23469406</v>
          </cell>
          <cell r="Q1211">
            <v>38748955.704051428</v>
          </cell>
          <cell r="R1211">
            <v>1.3403379539612539</v>
          </cell>
          <cell r="T1211">
            <v>4165623.9228372592</v>
          </cell>
          <cell r="U1211">
            <v>18823147.362358801</v>
          </cell>
          <cell r="V1211">
            <v>4253714.9322241778</v>
          </cell>
          <cell r="W1211">
            <v>976621.47553448903</v>
          </cell>
          <cell r="X1211">
            <v>2299928.7560454994</v>
          </cell>
          <cell r="AD1211" t="str">
            <v>TOTAL OPERATING EXPENSES</v>
          </cell>
          <cell r="AE1211" t="str">
            <v>NA</v>
          </cell>
          <cell r="AF1211" t="str">
            <v>TOTAL OPERATING EXPENSES.NA</v>
          </cell>
        </row>
        <row r="1212">
          <cell r="A1212">
            <v>1212</v>
          </cell>
          <cell r="AD1212" t="str">
            <v>TOTAL OPERATING EXPENSES</v>
          </cell>
          <cell r="AE1212" t="str">
            <v>NA</v>
          </cell>
          <cell r="AF1212" t="str">
            <v>TOTAL OPERATING EXPENSES.NA1</v>
          </cell>
        </row>
        <row r="1213">
          <cell r="A1213">
            <v>1213</v>
          </cell>
          <cell r="AD1213" t="str">
            <v>TOTAL OPERATING EXPENSES</v>
          </cell>
          <cell r="AE1213" t="str">
            <v>NA</v>
          </cell>
          <cell r="AF1213" t="str">
            <v>TOTAL OPERATING EXPENSES.NA2</v>
          </cell>
        </row>
        <row r="1214">
          <cell r="A1214">
            <v>1214</v>
          </cell>
          <cell r="B1214">
            <v>310</v>
          </cell>
          <cell r="C1214" t="str">
            <v>Land and Land Rights</v>
          </cell>
          <cell r="AD1214">
            <v>310</v>
          </cell>
          <cell r="AE1214" t="str">
            <v>NA</v>
          </cell>
          <cell r="AF1214" t="str">
            <v>310.NA</v>
          </cell>
        </row>
        <row r="1215">
          <cell r="A1215">
            <v>1215</v>
          </cell>
          <cell r="D1215" t="str">
            <v>DGP</v>
          </cell>
          <cell r="E1215" t="str">
            <v>P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0.59419421435740905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310</v>
          </cell>
          <cell r="AE1215" t="str">
            <v>DGP</v>
          </cell>
          <cell r="AF1215" t="str">
            <v>310.DGP</v>
          </cell>
        </row>
        <row r="1216">
          <cell r="A1216">
            <v>1216</v>
          </cell>
          <cell r="D1216" t="str">
            <v>DGU</v>
          </cell>
          <cell r="E1216" t="str">
            <v>P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0.59419421435740905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310</v>
          </cell>
          <cell r="AE1216" t="str">
            <v>DGU</v>
          </cell>
          <cell r="AF1216" t="str">
            <v>310.DGU</v>
          </cell>
        </row>
        <row r="1217">
          <cell r="A1217">
            <v>1217</v>
          </cell>
          <cell r="D1217" t="str">
            <v>CAGW</v>
          </cell>
          <cell r="E1217" t="str">
            <v>P</v>
          </cell>
          <cell r="F1217">
            <v>385939.21107992763</v>
          </cell>
          <cell r="G1217">
            <v>385939.21107992763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0.59419421435740905</v>
          </cell>
          <cell r="N1217">
            <v>229322.84631735584</v>
          </cell>
          <cell r="O1217">
            <v>156616.36476257179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310</v>
          </cell>
          <cell r="AE1217" t="str">
            <v>CAGW</v>
          </cell>
          <cell r="AF1217" t="str">
            <v>310.CAGW</v>
          </cell>
        </row>
        <row r="1218">
          <cell r="A1218">
            <v>1218</v>
          </cell>
          <cell r="D1218" t="str">
            <v>S</v>
          </cell>
          <cell r="E1218" t="str">
            <v>P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0.59419421435740905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310</v>
          </cell>
          <cell r="AE1218" t="str">
            <v>S</v>
          </cell>
          <cell r="AF1218" t="str">
            <v>310.S</v>
          </cell>
        </row>
        <row r="1219">
          <cell r="A1219">
            <v>1219</v>
          </cell>
          <cell r="D1219" t="str">
            <v>JBG</v>
          </cell>
          <cell r="E1219" t="str">
            <v>P</v>
          </cell>
          <cell r="F1219">
            <v>257580.06455378761</v>
          </cell>
          <cell r="G1219">
            <v>257580.06455378761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M1219">
            <v>0.59419421435740905</v>
          </cell>
          <cell r="N1219">
            <v>153052.58409166854</v>
          </cell>
          <cell r="O1219">
            <v>104527.48046211907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310</v>
          </cell>
          <cell r="AE1219" t="str">
            <v>JBG</v>
          </cell>
          <cell r="AF1219" t="str">
            <v>310.JBG</v>
          </cell>
        </row>
        <row r="1220">
          <cell r="A1220">
            <v>1220</v>
          </cell>
          <cell r="F1220">
            <v>643519.27563371521</v>
          </cell>
          <cell r="G1220">
            <v>643519.27563371521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N1220">
            <v>382375.43040902435</v>
          </cell>
          <cell r="O1220">
            <v>261143.84522469086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D1220">
            <v>310</v>
          </cell>
          <cell r="AE1220" t="str">
            <v>NA</v>
          </cell>
          <cell r="AF1220" t="str">
            <v>310.NA1</v>
          </cell>
        </row>
        <row r="1221">
          <cell r="A1221">
            <v>1221</v>
          </cell>
          <cell r="AD1221">
            <v>310</v>
          </cell>
          <cell r="AE1221" t="str">
            <v>NA</v>
          </cell>
          <cell r="AF1221" t="str">
            <v>310.NA2</v>
          </cell>
        </row>
        <row r="1222">
          <cell r="A1222">
            <v>1222</v>
          </cell>
          <cell r="B1222">
            <v>311</v>
          </cell>
          <cell r="C1222" t="str">
            <v>Structures and Improvements</v>
          </cell>
          <cell r="AD1222">
            <v>311</v>
          </cell>
          <cell r="AE1222" t="str">
            <v>NA</v>
          </cell>
          <cell r="AF1222" t="str">
            <v>311.NA</v>
          </cell>
        </row>
        <row r="1223">
          <cell r="A1223">
            <v>1223</v>
          </cell>
          <cell r="D1223" t="str">
            <v>DGP</v>
          </cell>
          <cell r="E1223" t="str">
            <v>P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0.59419421435740905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311</v>
          </cell>
          <cell r="AE1223" t="str">
            <v>DGP</v>
          </cell>
          <cell r="AF1223" t="str">
            <v>311.DGP</v>
          </cell>
        </row>
        <row r="1224">
          <cell r="A1224">
            <v>1224</v>
          </cell>
          <cell r="D1224" t="str">
            <v>DGU</v>
          </cell>
          <cell r="E1224" t="str">
            <v>P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0.59419421435740905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311</v>
          </cell>
          <cell r="AE1224" t="str">
            <v>DGU</v>
          </cell>
          <cell r="AF1224" t="str">
            <v>311.DGU</v>
          </cell>
        </row>
        <row r="1225">
          <cell r="A1225">
            <v>1225</v>
          </cell>
          <cell r="D1225" t="str">
            <v>CAGW</v>
          </cell>
          <cell r="E1225" t="str">
            <v>P</v>
          </cell>
          <cell r="F1225">
            <v>13617809.5442557</v>
          </cell>
          <cell r="G1225">
            <v>13617809.5442557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0.59419421435740905</v>
          </cell>
          <cell r="N1225">
            <v>8091623.6434178418</v>
          </cell>
          <cell r="O1225">
            <v>5526185.9008378582</v>
          </cell>
          <cell r="Q1225">
            <v>0</v>
          </cell>
          <cell r="R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311</v>
          </cell>
          <cell r="AE1225" t="str">
            <v>CAGW</v>
          </cell>
          <cell r="AF1225" t="str">
            <v>311.CAGW</v>
          </cell>
        </row>
        <row r="1226">
          <cell r="A1226">
            <v>1226</v>
          </cell>
          <cell r="D1226" t="str">
            <v>JBG</v>
          </cell>
          <cell r="E1226" t="str">
            <v>P</v>
          </cell>
          <cell r="F1226">
            <v>32158954.560471315</v>
          </cell>
          <cell r="G1226">
            <v>32158954.560471315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M1226">
            <v>0.59419421435740905</v>
          </cell>
          <cell r="N1226">
            <v>19108664.73961487</v>
          </cell>
          <cell r="O1226">
            <v>13050289.820856445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311</v>
          </cell>
          <cell r="AE1226" t="str">
            <v>JBG</v>
          </cell>
          <cell r="AF1226" t="str">
            <v>311.JBG</v>
          </cell>
        </row>
        <row r="1227">
          <cell r="A1227">
            <v>1227</v>
          </cell>
          <cell r="F1227">
            <v>45776764.104727015</v>
          </cell>
          <cell r="G1227">
            <v>45776764.104727015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N1227">
            <v>27200288.383032713</v>
          </cell>
          <cell r="O1227">
            <v>18576475.721694302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D1227">
            <v>311</v>
          </cell>
          <cell r="AE1227" t="str">
            <v>NA</v>
          </cell>
          <cell r="AF1227" t="str">
            <v>311.NA1</v>
          </cell>
        </row>
        <row r="1228">
          <cell r="A1228">
            <v>1228</v>
          </cell>
          <cell r="AD1228">
            <v>311</v>
          </cell>
          <cell r="AE1228" t="str">
            <v>NA</v>
          </cell>
          <cell r="AF1228" t="str">
            <v>311.NA2</v>
          </cell>
        </row>
        <row r="1229">
          <cell r="A1229">
            <v>1229</v>
          </cell>
          <cell r="B1229">
            <v>312</v>
          </cell>
          <cell r="C1229" t="str">
            <v>Boiler Plant Equipment</v>
          </cell>
          <cell r="AD1229">
            <v>312</v>
          </cell>
          <cell r="AE1229" t="str">
            <v>NA</v>
          </cell>
          <cell r="AF1229" t="str">
            <v>312.NA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12254273.458731979</v>
          </cell>
          <cell r="G1230">
            <v>12254273.458731979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0.59419421435740905</v>
          </cell>
          <cell r="N1230">
            <v>7281418.3903320981</v>
          </cell>
          <cell r="O1230">
            <v>4972855.068399881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312</v>
          </cell>
          <cell r="AE1230" t="str">
            <v>SG</v>
          </cell>
          <cell r="AF1230" t="str">
            <v>312.SG</v>
          </cell>
        </row>
        <row r="1231">
          <cell r="A1231">
            <v>1231</v>
          </cell>
          <cell r="D1231" t="str">
            <v>S</v>
          </cell>
          <cell r="E1231" t="str">
            <v>P</v>
          </cell>
          <cell r="F1231">
            <v>-119616.25699999859</v>
          </cell>
          <cell r="G1231">
            <v>-119616.25699999859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M1231">
            <v>0.59419421435740905</v>
          </cell>
          <cell r="N1231">
            <v>-71075.287852488094</v>
          </cell>
          <cell r="O1231">
            <v>-48540.969147510499</v>
          </cell>
          <cell r="Q1231">
            <v>0</v>
          </cell>
          <cell r="R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>
            <v>312</v>
          </cell>
          <cell r="AE1231" t="str">
            <v>S</v>
          </cell>
          <cell r="AF1231" t="str">
            <v>312.S</v>
          </cell>
        </row>
        <row r="1232">
          <cell r="A1232">
            <v>1232</v>
          </cell>
          <cell r="D1232" t="str">
            <v>CAGW</v>
          </cell>
          <cell r="E1232" t="str">
            <v>P</v>
          </cell>
          <cell r="F1232">
            <v>628249.13569485024</v>
          </cell>
          <cell r="G1232">
            <v>628249.13569485024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M1232">
            <v>0.59419421435740905</v>
          </cell>
          <cell r="N1232">
            <v>373302.00160492281</v>
          </cell>
          <cell r="O1232">
            <v>254947.13408992742</v>
          </cell>
          <cell r="Q1232">
            <v>0</v>
          </cell>
          <cell r="R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D1232">
            <v>312</v>
          </cell>
          <cell r="AE1232" t="str">
            <v>CAGW</v>
          </cell>
          <cell r="AF1232" t="str">
            <v>312.CAGW</v>
          </cell>
        </row>
        <row r="1233">
          <cell r="A1233">
            <v>1233</v>
          </cell>
          <cell r="D1233" t="str">
            <v>JBG</v>
          </cell>
          <cell r="E1233" t="str">
            <v>P</v>
          </cell>
          <cell r="F1233">
            <v>170013136.34682584</v>
          </cell>
          <cell r="G1233">
            <v>170013136.34682584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M1233">
            <v>0.59419421435740905</v>
          </cell>
          <cell r="N1233">
            <v>101020821.98204124</v>
          </cell>
          <cell r="O1233">
            <v>68992314.364784598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D1233">
            <v>312</v>
          </cell>
          <cell r="AE1233" t="str">
            <v>JBG</v>
          </cell>
          <cell r="AF1233" t="str">
            <v>312.JBG</v>
          </cell>
        </row>
        <row r="1234">
          <cell r="A1234">
            <v>1234</v>
          </cell>
          <cell r="F1234">
            <v>182776042.68425268</v>
          </cell>
          <cell r="G1234">
            <v>182776042.68425268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108604467.08612578</v>
          </cell>
          <cell r="O1234">
            <v>74171575.598126888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>
            <v>312</v>
          </cell>
          <cell r="AE1234" t="str">
            <v>NA</v>
          </cell>
          <cell r="AF1234" t="str">
            <v>312.NA1</v>
          </cell>
        </row>
        <row r="1235">
          <cell r="A1235">
            <v>1235</v>
          </cell>
          <cell r="AD1235">
            <v>312</v>
          </cell>
          <cell r="AE1235" t="str">
            <v>NA</v>
          </cell>
          <cell r="AF1235" t="str">
            <v>312.NA2</v>
          </cell>
        </row>
        <row r="1236">
          <cell r="A1236">
            <v>1236</v>
          </cell>
          <cell r="B1236">
            <v>314</v>
          </cell>
          <cell r="C1236" t="str">
            <v>Turbogenerator Units</v>
          </cell>
          <cell r="AD1236">
            <v>314</v>
          </cell>
          <cell r="AE1236" t="str">
            <v>NA</v>
          </cell>
          <cell r="AF1236" t="str">
            <v>314.NA</v>
          </cell>
        </row>
        <row r="1237">
          <cell r="A1237">
            <v>1237</v>
          </cell>
          <cell r="D1237" t="str">
            <v>DGP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0.59419421435740905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314</v>
          </cell>
          <cell r="AE1237" t="str">
            <v>DGP</v>
          </cell>
          <cell r="AF1237" t="str">
            <v>314.DGP</v>
          </cell>
        </row>
        <row r="1238">
          <cell r="A1238">
            <v>1238</v>
          </cell>
          <cell r="D1238" t="str">
            <v>DGU</v>
          </cell>
          <cell r="E1238" t="str">
            <v>P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M1238">
            <v>0.59419421435740905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314</v>
          </cell>
          <cell r="AE1238" t="str">
            <v>DGU</v>
          </cell>
          <cell r="AF1238" t="str">
            <v>314.DGU</v>
          </cell>
        </row>
        <row r="1239">
          <cell r="A1239">
            <v>1239</v>
          </cell>
          <cell r="D1239" t="str">
            <v>CAGW</v>
          </cell>
          <cell r="E1239" t="str">
            <v>P</v>
          </cell>
          <cell r="F1239">
            <v>8411544.4657448363</v>
          </cell>
          <cell r="G1239">
            <v>8411544.4657448363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M1239">
            <v>0.59419421435740905</v>
          </cell>
          <cell r="N1239">
            <v>4998091.0553556653</v>
          </cell>
          <cell r="O1239">
            <v>3413453.4103891714</v>
          </cell>
          <cell r="Q1239">
            <v>0</v>
          </cell>
          <cell r="R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D1239">
            <v>314</v>
          </cell>
          <cell r="AE1239" t="str">
            <v>CAGW</v>
          </cell>
          <cell r="AF1239" t="str">
            <v>314.CAGW</v>
          </cell>
        </row>
        <row r="1240">
          <cell r="A1240">
            <v>1240</v>
          </cell>
          <cell r="D1240" t="str">
            <v>JBG</v>
          </cell>
          <cell r="E1240" t="str">
            <v>P</v>
          </cell>
          <cell r="F1240">
            <v>44486336.313749619</v>
          </cell>
          <cell r="G1240">
            <v>44486336.313749619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M1240">
            <v>0.59419421435740905</v>
          </cell>
          <cell r="N1240">
            <v>26433523.65558793</v>
          </cell>
          <cell r="O1240">
            <v>18052812.658161689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D1240">
            <v>314</v>
          </cell>
          <cell r="AE1240" t="str">
            <v>JBG</v>
          </cell>
          <cell r="AF1240" t="str">
            <v>314.JBG</v>
          </cell>
        </row>
        <row r="1241">
          <cell r="A1241">
            <v>1241</v>
          </cell>
          <cell r="F1241">
            <v>52897880.779494457</v>
          </cell>
          <cell r="G1241">
            <v>52897880.779494457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N1241">
            <v>31431614.710943595</v>
          </cell>
          <cell r="O1241">
            <v>21466266.068550859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314</v>
          </cell>
          <cell r="AE1241" t="str">
            <v>NA</v>
          </cell>
          <cell r="AF1241" t="str">
            <v>314.NA1</v>
          </cell>
        </row>
        <row r="1242">
          <cell r="A1242">
            <v>1242</v>
          </cell>
          <cell r="AD1242">
            <v>314</v>
          </cell>
          <cell r="AE1242" t="str">
            <v>NA</v>
          </cell>
          <cell r="AF1242" t="str">
            <v>314.NA2</v>
          </cell>
        </row>
        <row r="1243">
          <cell r="A1243">
            <v>1243</v>
          </cell>
          <cell r="B1243">
            <v>315</v>
          </cell>
          <cell r="C1243" t="str">
            <v>Accessory Electric Equipment</v>
          </cell>
          <cell r="AD1243">
            <v>315</v>
          </cell>
          <cell r="AE1243" t="str">
            <v>NA</v>
          </cell>
          <cell r="AF1243" t="str">
            <v>315.NA</v>
          </cell>
        </row>
        <row r="1244">
          <cell r="A1244">
            <v>1244</v>
          </cell>
          <cell r="D1244" t="str">
            <v>DGP</v>
          </cell>
          <cell r="E1244" t="str">
            <v>P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M1244">
            <v>0.59419421435740905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D1244">
            <v>315</v>
          </cell>
          <cell r="AE1244" t="str">
            <v>DGP</v>
          </cell>
          <cell r="AF1244" t="str">
            <v>315.DGP</v>
          </cell>
        </row>
        <row r="1245">
          <cell r="A1245">
            <v>1245</v>
          </cell>
          <cell r="D1245" t="str">
            <v>DGU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0.59419421435740905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315</v>
          </cell>
          <cell r="AE1245" t="str">
            <v>DGU</v>
          </cell>
          <cell r="AF1245" t="str">
            <v>315.DGU</v>
          </cell>
        </row>
        <row r="1246">
          <cell r="A1246">
            <v>1246</v>
          </cell>
          <cell r="D1246" t="str">
            <v>CAGW</v>
          </cell>
          <cell r="E1246" t="str">
            <v>P</v>
          </cell>
          <cell r="F1246">
            <v>2020188.2665008439</v>
          </cell>
          <cell r="G1246">
            <v>2020188.2665008439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M1246">
            <v>0.59419421435740905</v>
          </cell>
          <cell r="N1246">
            <v>1200384.1798675251</v>
          </cell>
          <cell r="O1246">
            <v>819804.08663331892</v>
          </cell>
          <cell r="Q1246">
            <v>0</v>
          </cell>
          <cell r="R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315</v>
          </cell>
          <cell r="AE1246" t="str">
            <v>CAGW</v>
          </cell>
          <cell r="AF1246" t="str">
            <v>315.CAGW</v>
          </cell>
        </row>
        <row r="1247">
          <cell r="A1247">
            <v>1247</v>
          </cell>
          <cell r="D1247" t="str">
            <v>JBG</v>
          </cell>
          <cell r="E1247" t="str">
            <v>P</v>
          </cell>
          <cell r="F1247">
            <v>13147103.839471312</v>
          </cell>
          <cell r="G1247">
            <v>13147103.839471312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M1247">
            <v>0.59419421435740905</v>
          </cell>
          <cell r="N1247">
            <v>7811933.0369699327</v>
          </cell>
          <cell r="O1247">
            <v>5335170.8025013795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D1247">
            <v>315</v>
          </cell>
          <cell r="AE1247" t="str">
            <v>JBG</v>
          </cell>
          <cell r="AF1247" t="str">
            <v>315.JBG</v>
          </cell>
        </row>
        <row r="1248">
          <cell r="A1248">
            <v>1248</v>
          </cell>
          <cell r="F1248">
            <v>15167292.105972156</v>
          </cell>
          <cell r="G1248">
            <v>15167292.105972156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N1248">
            <v>9012317.2168374583</v>
          </cell>
          <cell r="O1248">
            <v>6154974.8891346985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D1248">
            <v>315</v>
          </cell>
          <cell r="AE1248" t="str">
            <v>NA</v>
          </cell>
          <cell r="AF1248" t="str">
            <v>315.NA1</v>
          </cell>
        </row>
        <row r="1249">
          <cell r="A1249">
            <v>1249</v>
          </cell>
          <cell r="AD1249">
            <v>315</v>
          </cell>
          <cell r="AE1249" t="str">
            <v>NA</v>
          </cell>
          <cell r="AF1249" t="str">
            <v>315.NA2</v>
          </cell>
        </row>
        <row r="1250">
          <cell r="A1250">
            <v>1250</v>
          </cell>
          <cell r="B1250">
            <v>316</v>
          </cell>
          <cell r="C1250" t="str">
            <v>Misc Power Plant Equipment</v>
          </cell>
          <cell r="AD1250">
            <v>316</v>
          </cell>
          <cell r="AE1250" t="str">
            <v>NA</v>
          </cell>
          <cell r="AF1250" t="str">
            <v>316.NA</v>
          </cell>
        </row>
        <row r="1251">
          <cell r="A1251">
            <v>1251</v>
          </cell>
          <cell r="D1251" t="str">
            <v>DGP</v>
          </cell>
          <cell r="E1251" t="str">
            <v>P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M1251">
            <v>0.59419421435740905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D1251">
            <v>316</v>
          </cell>
          <cell r="AE1251" t="str">
            <v>DGP</v>
          </cell>
          <cell r="AF1251" t="str">
            <v>316.DGP</v>
          </cell>
        </row>
        <row r="1252">
          <cell r="A1252">
            <v>1252</v>
          </cell>
          <cell r="D1252" t="str">
            <v>DGU</v>
          </cell>
          <cell r="E1252" t="str">
            <v>P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M1252">
            <v>0.59419421435740905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D1252">
            <v>316</v>
          </cell>
          <cell r="AE1252" t="str">
            <v>DGU</v>
          </cell>
          <cell r="AF1252" t="str">
            <v>316.DGU</v>
          </cell>
        </row>
        <row r="1253">
          <cell r="A1253">
            <v>1253</v>
          </cell>
          <cell r="D1253" t="str">
            <v>CAGW</v>
          </cell>
          <cell r="E1253" t="str">
            <v>P</v>
          </cell>
          <cell r="F1253">
            <v>93803.462205674878</v>
          </cell>
          <cell r="G1253">
            <v>93803.462205674878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0.59419421435740905</v>
          </cell>
          <cell r="N1253">
            <v>55737.474529305895</v>
          </cell>
          <cell r="O1253">
            <v>38065.987676368983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316</v>
          </cell>
          <cell r="AE1253" t="str">
            <v>CAGW</v>
          </cell>
          <cell r="AF1253" t="str">
            <v>316.CAGW</v>
          </cell>
        </row>
        <row r="1254">
          <cell r="A1254">
            <v>1254</v>
          </cell>
          <cell r="D1254" t="str">
            <v>CAEW</v>
          </cell>
          <cell r="E1254" t="str">
            <v>P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M1254">
            <v>0.59419421435740905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316</v>
          </cell>
          <cell r="AE1254" t="str">
            <v>CAEW</v>
          </cell>
          <cell r="AF1254" t="str">
            <v>316.CAEW</v>
          </cell>
        </row>
        <row r="1255">
          <cell r="A1255">
            <v>1255</v>
          </cell>
          <cell r="D1255" t="str">
            <v>JBG</v>
          </cell>
          <cell r="E1255" t="str">
            <v>P</v>
          </cell>
          <cell r="F1255">
            <v>1112270.5031941724</v>
          </cell>
          <cell r="G1255">
            <v>1112270.5031941724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M1255">
            <v>0.59419421435740905</v>
          </cell>
          <cell r="N1255">
            <v>660904.69779838133</v>
          </cell>
          <cell r="O1255">
            <v>451365.80539579107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D1255">
            <v>316</v>
          </cell>
          <cell r="AE1255" t="str">
            <v>JBG</v>
          </cell>
          <cell r="AF1255" t="str">
            <v>316.JBG</v>
          </cell>
        </row>
        <row r="1256">
          <cell r="A1256">
            <v>1256</v>
          </cell>
          <cell r="F1256">
            <v>1206073.9653998474</v>
          </cell>
          <cell r="G1256">
            <v>1206073.9653998474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N1256">
            <v>716642.17232768727</v>
          </cell>
          <cell r="O1256">
            <v>489431.79307216004</v>
          </cell>
          <cell r="Q1256">
            <v>0</v>
          </cell>
          <cell r="R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D1256">
            <v>316</v>
          </cell>
          <cell r="AE1256" t="str">
            <v>NA</v>
          </cell>
          <cell r="AF1256" t="str">
            <v>316.NA1</v>
          </cell>
        </row>
        <row r="1257">
          <cell r="A1257">
            <v>1257</v>
          </cell>
          <cell r="AD1257">
            <v>316</v>
          </cell>
          <cell r="AE1257" t="str">
            <v>NA</v>
          </cell>
          <cell r="AF1257" t="str">
            <v>316.NA2</v>
          </cell>
        </row>
        <row r="1258">
          <cell r="A1258">
            <v>1258</v>
          </cell>
          <cell r="AD1258">
            <v>316</v>
          </cell>
          <cell r="AE1258" t="str">
            <v>NA</v>
          </cell>
          <cell r="AF1258" t="str">
            <v>316.NA3</v>
          </cell>
        </row>
        <row r="1259">
          <cell r="A1259">
            <v>1259</v>
          </cell>
          <cell r="B1259" t="str">
            <v>SP</v>
          </cell>
          <cell r="C1259" t="str">
            <v>Unclassified Steam Plant - Account 300</v>
          </cell>
          <cell r="AD1259" t="str">
            <v>SP</v>
          </cell>
          <cell r="AE1259" t="str">
            <v>NA</v>
          </cell>
          <cell r="AF1259" t="str">
            <v>SP.NA</v>
          </cell>
        </row>
        <row r="1260">
          <cell r="A1260">
            <v>1260</v>
          </cell>
          <cell r="D1260" t="str">
            <v>SG</v>
          </cell>
          <cell r="E1260" t="str">
            <v>P</v>
          </cell>
          <cell r="F1260">
            <v>5458415.1155470908</v>
          </cell>
          <cell r="G1260">
            <v>5458415.1155470908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M1260">
            <v>0.59419421435740905</v>
          </cell>
          <cell r="N1260">
            <v>3243358.6812191098</v>
          </cell>
          <cell r="O1260">
            <v>2215056.434327981</v>
          </cell>
          <cell r="Q1260">
            <v>0</v>
          </cell>
          <cell r="R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 t="str">
            <v>SP</v>
          </cell>
          <cell r="AE1260" t="str">
            <v>SG</v>
          </cell>
          <cell r="AF1260" t="str">
            <v>SP.SG</v>
          </cell>
        </row>
        <row r="1261">
          <cell r="A1261">
            <v>1261</v>
          </cell>
          <cell r="D1261" t="str">
            <v>CAGW</v>
          </cell>
          <cell r="E1261" t="str">
            <v>P</v>
          </cell>
          <cell r="F1261">
            <v>119359.20448769673</v>
          </cell>
          <cell r="G1261">
            <v>119359.20448769673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M1261">
            <v>0.59419421435740905</v>
          </cell>
          <cell r="N1261">
            <v>70922.548736892291</v>
          </cell>
          <cell r="O1261">
            <v>48436.655750804435</v>
          </cell>
          <cell r="Q1261">
            <v>0</v>
          </cell>
          <cell r="R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D1261" t="str">
            <v>SP</v>
          </cell>
          <cell r="AE1261" t="str">
            <v>CAGW</v>
          </cell>
          <cell r="AF1261" t="str">
            <v>SP.CAGW</v>
          </cell>
        </row>
        <row r="1262">
          <cell r="A1262">
            <v>1262</v>
          </cell>
          <cell r="F1262">
            <v>5577774.3200347871</v>
          </cell>
          <cell r="G1262">
            <v>5577774.3200347871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N1262">
            <v>3314281.229956002</v>
          </cell>
          <cell r="O1262">
            <v>2263493.0900787855</v>
          </cell>
          <cell r="Q1262">
            <v>0</v>
          </cell>
          <cell r="R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SP</v>
          </cell>
          <cell r="AE1262" t="str">
            <v>NA</v>
          </cell>
          <cell r="AF1262" t="str">
            <v>SP.NA1</v>
          </cell>
        </row>
        <row r="1263">
          <cell r="A1263">
            <v>1263</v>
          </cell>
          <cell r="AD1263" t="str">
            <v>SP</v>
          </cell>
          <cell r="AE1263" t="str">
            <v>NA</v>
          </cell>
          <cell r="AF1263" t="str">
            <v>SP.NA2</v>
          </cell>
        </row>
        <row r="1264">
          <cell r="A1264">
            <v>1264</v>
          </cell>
          <cell r="AD1264" t="str">
            <v>SP</v>
          </cell>
          <cell r="AE1264" t="str">
            <v>NA</v>
          </cell>
          <cell r="AF1264" t="str">
            <v>SP.NA3</v>
          </cell>
        </row>
        <row r="1265">
          <cell r="A1265">
            <v>1265</v>
          </cell>
          <cell r="B1265" t="str">
            <v>Total Steam Generation Plant</v>
          </cell>
          <cell r="F1265">
            <v>304045347.2355147</v>
          </cell>
          <cell r="G1265">
            <v>304045347.2355147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N1265">
            <v>180661986.22963229</v>
          </cell>
          <cell r="O1265">
            <v>123383361.0058824</v>
          </cell>
          <cell r="Q1265">
            <v>0</v>
          </cell>
          <cell r="R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 t="str">
            <v>Total Steam Generation Plant</v>
          </cell>
          <cell r="AE1265" t="str">
            <v>NA</v>
          </cell>
          <cell r="AF1265" t="str">
            <v>Total Steam Generation Plant.NA</v>
          </cell>
        </row>
        <row r="1266">
          <cell r="A1266">
            <v>1266</v>
          </cell>
          <cell r="AD1266" t="str">
            <v>Total Steam Generation Plant</v>
          </cell>
          <cell r="AE1266" t="str">
            <v>NA</v>
          </cell>
          <cell r="AF1266" t="str">
            <v>Total Steam Generation Plant.NA1</v>
          </cell>
        </row>
        <row r="1267">
          <cell r="A1267">
            <v>1267</v>
          </cell>
          <cell r="B1267">
            <v>320</v>
          </cell>
          <cell r="C1267" t="str">
            <v>Land and Land Rights</v>
          </cell>
          <cell r="AD1267">
            <v>320</v>
          </cell>
          <cell r="AE1267" t="str">
            <v>NA</v>
          </cell>
          <cell r="AF1267" t="str">
            <v>320.NA</v>
          </cell>
        </row>
        <row r="1268">
          <cell r="A1268">
            <v>1268</v>
          </cell>
          <cell r="D1268" t="str">
            <v>SG</v>
          </cell>
          <cell r="E1268" t="str">
            <v>P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M1268">
            <v>0.59419421435740905</v>
          </cell>
          <cell r="N1268">
            <v>0</v>
          </cell>
          <cell r="O1268">
            <v>0</v>
          </cell>
          <cell r="Q1268">
            <v>0</v>
          </cell>
          <cell r="R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D1268">
            <v>320</v>
          </cell>
          <cell r="AE1268" t="str">
            <v>SG</v>
          </cell>
          <cell r="AF1268" t="str">
            <v>320.SG</v>
          </cell>
        </row>
        <row r="1269">
          <cell r="A1269">
            <v>1269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N1269">
            <v>0</v>
          </cell>
          <cell r="O1269">
            <v>0</v>
          </cell>
          <cell r="Q1269">
            <v>0</v>
          </cell>
          <cell r="R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320</v>
          </cell>
          <cell r="AE1269" t="str">
            <v>NA</v>
          </cell>
          <cell r="AF1269" t="str">
            <v>320.NA1</v>
          </cell>
        </row>
        <row r="1270">
          <cell r="A1270">
            <v>1270</v>
          </cell>
          <cell r="AD1270">
            <v>320</v>
          </cell>
          <cell r="AE1270" t="str">
            <v>NA</v>
          </cell>
          <cell r="AF1270" t="str">
            <v>320.NA2</v>
          </cell>
        </row>
        <row r="1271">
          <cell r="A1271">
            <v>1271</v>
          </cell>
          <cell r="B1271">
            <v>321</v>
          </cell>
          <cell r="C1271" t="str">
            <v>Structures and Improvements</v>
          </cell>
          <cell r="AD1271">
            <v>321</v>
          </cell>
          <cell r="AE1271" t="str">
            <v>NA</v>
          </cell>
          <cell r="AF1271" t="str">
            <v>321.NA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0.59419421435740905</v>
          </cell>
          <cell r="N1272">
            <v>0</v>
          </cell>
          <cell r="O1272">
            <v>0</v>
          </cell>
          <cell r="Q1272">
            <v>0</v>
          </cell>
          <cell r="R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321</v>
          </cell>
          <cell r="AE1272" t="str">
            <v>SG</v>
          </cell>
          <cell r="AF1272" t="str">
            <v>321.SG</v>
          </cell>
        </row>
        <row r="1273">
          <cell r="A1273">
            <v>1273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0</v>
          </cell>
          <cell r="O1273">
            <v>0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321</v>
          </cell>
          <cell r="AE1273" t="str">
            <v>NA</v>
          </cell>
          <cell r="AF1273" t="str">
            <v>321.NA1</v>
          </cell>
        </row>
        <row r="1274">
          <cell r="A1274">
            <v>1274</v>
          </cell>
          <cell r="AD1274">
            <v>321</v>
          </cell>
          <cell r="AE1274" t="str">
            <v>NA</v>
          </cell>
          <cell r="AF1274" t="str">
            <v>321.NA2</v>
          </cell>
        </row>
        <row r="1275">
          <cell r="A1275">
            <v>1275</v>
          </cell>
          <cell r="B1275">
            <v>322</v>
          </cell>
          <cell r="C1275" t="str">
            <v>Reactor Plant Equipment</v>
          </cell>
          <cell r="AD1275">
            <v>322</v>
          </cell>
          <cell r="AE1275" t="str">
            <v>NA</v>
          </cell>
          <cell r="AF1275" t="str">
            <v>322.NA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0.59419421435740905</v>
          </cell>
          <cell r="N1276">
            <v>0</v>
          </cell>
          <cell r="O1276">
            <v>0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322</v>
          </cell>
          <cell r="AE1276" t="str">
            <v>SG</v>
          </cell>
          <cell r="AF1276" t="str">
            <v>322.SG</v>
          </cell>
        </row>
        <row r="1277">
          <cell r="A1277">
            <v>1277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N1277">
            <v>0</v>
          </cell>
          <cell r="O1277">
            <v>0</v>
          </cell>
          <cell r="Q1277">
            <v>0</v>
          </cell>
          <cell r="R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322</v>
          </cell>
          <cell r="AE1277" t="str">
            <v>NA</v>
          </cell>
          <cell r="AF1277" t="str">
            <v>322.NA1</v>
          </cell>
        </row>
        <row r="1278">
          <cell r="A1278">
            <v>1278</v>
          </cell>
          <cell r="AD1278">
            <v>322</v>
          </cell>
          <cell r="AE1278" t="str">
            <v>NA</v>
          </cell>
          <cell r="AF1278" t="str">
            <v>322.NA2</v>
          </cell>
        </row>
        <row r="1279">
          <cell r="A1279">
            <v>1279</v>
          </cell>
          <cell r="B1279">
            <v>323</v>
          </cell>
          <cell r="C1279" t="str">
            <v>Turbogenerator Units</v>
          </cell>
          <cell r="AD1279">
            <v>323</v>
          </cell>
          <cell r="AE1279" t="str">
            <v>NA</v>
          </cell>
          <cell r="AF1279" t="str">
            <v>323.NA</v>
          </cell>
        </row>
        <row r="1280">
          <cell r="A1280">
            <v>1280</v>
          </cell>
          <cell r="D1280" t="str">
            <v>SG</v>
          </cell>
          <cell r="E1280" t="str">
            <v>P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M1280">
            <v>0.59419421435740905</v>
          </cell>
          <cell r="N1280">
            <v>0</v>
          </cell>
          <cell r="O1280">
            <v>0</v>
          </cell>
          <cell r="Q1280">
            <v>0</v>
          </cell>
          <cell r="R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323</v>
          </cell>
          <cell r="AE1280" t="str">
            <v>SG</v>
          </cell>
          <cell r="AF1280" t="str">
            <v>323.SG</v>
          </cell>
        </row>
        <row r="1281">
          <cell r="A1281">
            <v>1281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N1281">
            <v>0</v>
          </cell>
          <cell r="O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323</v>
          </cell>
          <cell r="AE1281" t="str">
            <v>NA</v>
          </cell>
          <cell r="AF1281" t="str">
            <v>323.NA1</v>
          </cell>
        </row>
        <row r="1282">
          <cell r="A1282">
            <v>1282</v>
          </cell>
          <cell r="AD1282">
            <v>323</v>
          </cell>
          <cell r="AE1282" t="str">
            <v>NA</v>
          </cell>
          <cell r="AF1282" t="str">
            <v>323.NA2</v>
          </cell>
        </row>
        <row r="1283">
          <cell r="A1283">
            <v>1283</v>
          </cell>
          <cell r="B1283">
            <v>324</v>
          </cell>
          <cell r="C1283" t="str">
            <v>Land and Land Rights</v>
          </cell>
          <cell r="AD1283">
            <v>324</v>
          </cell>
          <cell r="AE1283" t="str">
            <v>NA</v>
          </cell>
          <cell r="AF1283" t="str">
            <v>324.NA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0.59419421435740905</v>
          </cell>
          <cell r="N1284">
            <v>0</v>
          </cell>
          <cell r="O1284">
            <v>0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324</v>
          </cell>
          <cell r="AE1284" t="str">
            <v>SG</v>
          </cell>
          <cell r="AF1284" t="str">
            <v>324.SG</v>
          </cell>
        </row>
        <row r="1285">
          <cell r="A1285">
            <v>1285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N1285">
            <v>0</v>
          </cell>
          <cell r="O1285">
            <v>0</v>
          </cell>
          <cell r="Q1285">
            <v>0</v>
          </cell>
          <cell r="R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324</v>
          </cell>
          <cell r="AE1285" t="str">
            <v>NA</v>
          </cell>
          <cell r="AF1285" t="str">
            <v>324.NA1</v>
          </cell>
        </row>
        <row r="1286">
          <cell r="A1286">
            <v>1286</v>
          </cell>
          <cell r="AD1286">
            <v>324</v>
          </cell>
          <cell r="AE1286" t="str">
            <v>NA</v>
          </cell>
          <cell r="AF1286" t="str">
            <v>324.NA2</v>
          </cell>
        </row>
        <row r="1287">
          <cell r="A1287">
            <v>1287</v>
          </cell>
          <cell r="B1287">
            <v>325</v>
          </cell>
          <cell r="C1287" t="str">
            <v>Misc. Power Plant Equipment</v>
          </cell>
          <cell r="AD1287">
            <v>325</v>
          </cell>
          <cell r="AE1287" t="str">
            <v>NA</v>
          </cell>
          <cell r="AF1287" t="str">
            <v>325.NA</v>
          </cell>
        </row>
        <row r="1288">
          <cell r="A1288">
            <v>1288</v>
          </cell>
          <cell r="D1288" t="str">
            <v>SG</v>
          </cell>
          <cell r="E1288" t="str">
            <v>P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M1288">
            <v>0.59419421435740905</v>
          </cell>
          <cell r="N1288">
            <v>0</v>
          </cell>
          <cell r="O1288">
            <v>0</v>
          </cell>
          <cell r="Q1288">
            <v>0</v>
          </cell>
          <cell r="R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325</v>
          </cell>
          <cell r="AE1288" t="str">
            <v>SG</v>
          </cell>
          <cell r="AF1288" t="str">
            <v>325.SG</v>
          </cell>
        </row>
        <row r="1289">
          <cell r="A1289">
            <v>1289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N1289">
            <v>0</v>
          </cell>
          <cell r="O1289">
            <v>0</v>
          </cell>
          <cell r="Q1289">
            <v>0</v>
          </cell>
          <cell r="R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D1289">
            <v>325</v>
          </cell>
          <cell r="AE1289" t="str">
            <v>NA</v>
          </cell>
          <cell r="AF1289" t="str">
            <v>325.NA1</v>
          </cell>
        </row>
        <row r="1290">
          <cell r="A1290">
            <v>1290</v>
          </cell>
          <cell r="AD1290">
            <v>325</v>
          </cell>
          <cell r="AE1290" t="str">
            <v>NA</v>
          </cell>
          <cell r="AF1290" t="str">
            <v>325.NA2</v>
          </cell>
        </row>
        <row r="1291">
          <cell r="A1291">
            <v>1291</v>
          </cell>
          <cell r="AD1291">
            <v>325</v>
          </cell>
          <cell r="AE1291" t="str">
            <v>NA</v>
          </cell>
          <cell r="AF1291" t="str">
            <v>325.NA3</v>
          </cell>
        </row>
        <row r="1292">
          <cell r="A1292">
            <v>1292</v>
          </cell>
          <cell r="B1292" t="str">
            <v>N00</v>
          </cell>
          <cell r="C1292" t="str">
            <v>Unclassified Nuclear Plant - Acct 300</v>
          </cell>
          <cell r="AD1292" t="str">
            <v>N00</v>
          </cell>
          <cell r="AE1292" t="str">
            <v>NA</v>
          </cell>
          <cell r="AF1292" t="str">
            <v>N00.NA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0.59419421435740905</v>
          </cell>
          <cell r="N1293">
            <v>0</v>
          </cell>
          <cell r="O1293">
            <v>0</v>
          </cell>
          <cell r="Q1293">
            <v>0</v>
          </cell>
          <cell r="R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 t="str">
            <v>N00</v>
          </cell>
          <cell r="AE1293" t="str">
            <v>SG</v>
          </cell>
          <cell r="AF1293" t="str">
            <v>N00.SG</v>
          </cell>
        </row>
        <row r="1294">
          <cell r="A1294">
            <v>1294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0</v>
          </cell>
          <cell r="O1294">
            <v>0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 t="str">
            <v>N00</v>
          </cell>
          <cell r="AE1294" t="str">
            <v>NA</v>
          </cell>
          <cell r="AF1294" t="str">
            <v>N00.NA1</v>
          </cell>
        </row>
        <row r="1295">
          <cell r="A1295">
            <v>1295</v>
          </cell>
          <cell r="AD1295" t="str">
            <v>N00</v>
          </cell>
          <cell r="AE1295" t="str">
            <v>NA</v>
          </cell>
          <cell r="AF1295" t="str">
            <v>N00.NA2</v>
          </cell>
        </row>
        <row r="1296">
          <cell r="A1296">
            <v>1296</v>
          </cell>
          <cell r="AD1296" t="str">
            <v>N00</v>
          </cell>
          <cell r="AE1296" t="str">
            <v>NA</v>
          </cell>
          <cell r="AF1296" t="str">
            <v>N00.NA3</v>
          </cell>
        </row>
        <row r="1297">
          <cell r="A1297">
            <v>1297</v>
          </cell>
          <cell r="B1297" t="str">
            <v>Total Nuclear Generation Plant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N1297">
            <v>0</v>
          </cell>
          <cell r="O1297">
            <v>0</v>
          </cell>
          <cell r="Q1297">
            <v>0</v>
          </cell>
          <cell r="R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 t="str">
            <v>Total Nuclear Generation Plant</v>
          </cell>
          <cell r="AE1297" t="str">
            <v>NA</v>
          </cell>
          <cell r="AF1297" t="str">
            <v>Total Nuclear Generation Plant.NA</v>
          </cell>
        </row>
        <row r="1298">
          <cell r="A1298">
            <v>1298</v>
          </cell>
          <cell r="AD1298" t="str">
            <v>Total Nuclear Generation Plant</v>
          </cell>
          <cell r="AE1298" t="str">
            <v>NA</v>
          </cell>
          <cell r="AF1298" t="str">
            <v>Total Nuclear Generation Plant.NA1</v>
          </cell>
        </row>
        <row r="1299">
          <cell r="A1299">
            <v>1299</v>
          </cell>
          <cell r="B1299">
            <v>330</v>
          </cell>
          <cell r="C1299" t="str">
            <v>Land and Land Rights</v>
          </cell>
          <cell r="AD1299">
            <v>330</v>
          </cell>
          <cell r="AE1299" t="str">
            <v>NA</v>
          </cell>
          <cell r="AF1299" t="str">
            <v>330.NA</v>
          </cell>
        </row>
        <row r="1300">
          <cell r="A1300">
            <v>1300</v>
          </cell>
          <cell r="D1300" t="str">
            <v>CAGW</v>
          </cell>
          <cell r="E1300" t="str">
            <v>P</v>
          </cell>
          <cell r="F1300">
            <v>6422856.4128183629</v>
          </cell>
          <cell r="G1300">
            <v>6422856.4128183629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0.59419421435740905</v>
          </cell>
          <cell r="N1300">
            <v>3816424.1201450536</v>
          </cell>
          <cell r="O1300">
            <v>2606432.2926733093</v>
          </cell>
          <cell r="Q1300">
            <v>0</v>
          </cell>
          <cell r="R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330</v>
          </cell>
          <cell r="AE1300" t="str">
            <v>CAGW</v>
          </cell>
          <cell r="AF1300" t="str">
            <v>330.CAGW</v>
          </cell>
        </row>
        <row r="1301">
          <cell r="A1301">
            <v>1301</v>
          </cell>
          <cell r="D1301" t="str">
            <v>SGU</v>
          </cell>
          <cell r="E1301" t="str">
            <v>P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M1301">
            <v>0.59419421435740905</v>
          </cell>
          <cell r="N1301">
            <v>0</v>
          </cell>
          <cell r="O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330</v>
          </cell>
          <cell r="AE1301" t="str">
            <v>SGU</v>
          </cell>
          <cell r="AF1301" t="str">
            <v>330.SGU</v>
          </cell>
        </row>
        <row r="1302">
          <cell r="A1302">
            <v>1302</v>
          </cell>
          <cell r="F1302">
            <v>6422856.4128183629</v>
          </cell>
          <cell r="G1302">
            <v>6422856.4128183629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N1302">
            <v>3816424.1201450536</v>
          </cell>
          <cell r="O1302">
            <v>2606432.2926733093</v>
          </cell>
          <cell r="Q1302">
            <v>0</v>
          </cell>
          <cell r="R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330</v>
          </cell>
          <cell r="AE1302" t="str">
            <v>NA</v>
          </cell>
          <cell r="AF1302" t="str">
            <v>330.NA1</v>
          </cell>
        </row>
        <row r="1303">
          <cell r="A1303">
            <v>1303</v>
          </cell>
          <cell r="AD1303">
            <v>330</v>
          </cell>
          <cell r="AE1303" t="str">
            <v>NA</v>
          </cell>
          <cell r="AF1303" t="str">
            <v>330.NA2</v>
          </cell>
        </row>
        <row r="1304">
          <cell r="A1304">
            <v>1304</v>
          </cell>
          <cell r="B1304">
            <v>331</v>
          </cell>
          <cell r="C1304" t="str">
            <v>Structures and Improvements</v>
          </cell>
          <cell r="AD1304">
            <v>331</v>
          </cell>
          <cell r="AE1304" t="str">
            <v>NA</v>
          </cell>
          <cell r="AF1304" t="str">
            <v>331.NA</v>
          </cell>
        </row>
        <row r="1305">
          <cell r="A1305">
            <v>1305</v>
          </cell>
          <cell r="D1305" t="str">
            <v>CAGW</v>
          </cell>
          <cell r="E1305" t="str">
            <v>P</v>
          </cell>
          <cell r="F1305">
            <v>56204825.082762524</v>
          </cell>
          <cell r="G1305">
            <v>56204825.082762524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0.59419421435740905</v>
          </cell>
          <cell r="N1305">
            <v>33396581.883147676</v>
          </cell>
          <cell r="O1305">
            <v>22808243.199614849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331</v>
          </cell>
          <cell r="AE1305" t="str">
            <v>CAGW</v>
          </cell>
          <cell r="AF1305" t="str">
            <v>331.CAGW</v>
          </cell>
        </row>
        <row r="1306">
          <cell r="A1306">
            <v>1306</v>
          </cell>
          <cell r="D1306" t="str">
            <v>SGU</v>
          </cell>
          <cell r="E1306" t="str">
            <v>P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0.59419421435740905</v>
          </cell>
          <cell r="N1306">
            <v>0</v>
          </cell>
          <cell r="O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331</v>
          </cell>
          <cell r="AE1306" t="str">
            <v>SGU</v>
          </cell>
          <cell r="AF1306" t="str">
            <v>331.SGU</v>
          </cell>
        </row>
        <row r="1307">
          <cell r="A1307">
            <v>1307</v>
          </cell>
          <cell r="F1307">
            <v>56204825.082762524</v>
          </cell>
          <cell r="G1307">
            <v>56204825.082762524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N1307">
            <v>33396581.883147676</v>
          </cell>
          <cell r="O1307">
            <v>22808243.199614849</v>
          </cell>
          <cell r="Q1307">
            <v>0</v>
          </cell>
          <cell r="R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331</v>
          </cell>
          <cell r="AE1307" t="str">
            <v>NA</v>
          </cell>
          <cell r="AF1307" t="str">
            <v>331.NA1</v>
          </cell>
        </row>
        <row r="1308">
          <cell r="A1308">
            <v>1308</v>
          </cell>
          <cell r="AD1308">
            <v>331</v>
          </cell>
          <cell r="AE1308" t="str">
            <v>NA</v>
          </cell>
          <cell r="AF1308" t="str">
            <v>331.NA2</v>
          </cell>
        </row>
        <row r="1309">
          <cell r="A1309">
            <v>1309</v>
          </cell>
          <cell r="B1309">
            <v>332</v>
          </cell>
          <cell r="C1309" t="str">
            <v>Reservoirs, Dams &amp; Waterways</v>
          </cell>
          <cell r="AD1309">
            <v>332</v>
          </cell>
          <cell r="AE1309" t="str">
            <v>NA</v>
          </cell>
          <cell r="AF1309" t="str">
            <v>332.NA</v>
          </cell>
        </row>
        <row r="1310">
          <cell r="A1310">
            <v>1310</v>
          </cell>
          <cell r="D1310" t="str">
            <v>CAGW</v>
          </cell>
          <cell r="E1310" t="str">
            <v>P</v>
          </cell>
          <cell r="F1310">
            <v>-82295268.893616006</v>
          </cell>
          <cell r="G1310">
            <v>-82295268.893616006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M1310">
            <v>0.59419421435740905</v>
          </cell>
          <cell r="N1310">
            <v>-48899372.645573884</v>
          </cell>
          <cell r="O1310">
            <v>-33395896.248042122</v>
          </cell>
          <cell r="Q1310">
            <v>0</v>
          </cell>
          <cell r="R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D1310">
            <v>332</v>
          </cell>
          <cell r="AE1310" t="str">
            <v>CAGW</v>
          </cell>
          <cell r="AF1310" t="str">
            <v>332.CAGW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80540695.980197445</v>
          </cell>
          <cell r="G1311">
            <v>80540695.980197445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0.59419421435740905</v>
          </cell>
          <cell r="N1311">
            <v>47856815.571752355</v>
          </cell>
          <cell r="O1311">
            <v>32683880.40844509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332</v>
          </cell>
          <cell r="AE1311" t="str">
            <v>SG</v>
          </cell>
          <cell r="AF1311" t="str">
            <v>332.SG</v>
          </cell>
        </row>
        <row r="1312">
          <cell r="A1312">
            <v>1312</v>
          </cell>
          <cell r="F1312">
            <v>-1754572.9134185612</v>
          </cell>
          <cell r="G1312">
            <v>-1754572.9134185612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N1312">
            <v>-1042557.0738215297</v>
          </cell>
          <cell r="O1312">
            <v>-712015.83959703147</v>
          </cell>
          <cell r="Q1312">
            <v>0</v>
          </cell>
          <cell r="R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332</v>
          </cell>
          <cell r="AE1312" t="str">
            <v>NA</v>
          </cell>
          <cell r="AF1312" t="str">
            <v>332.NA1</v>
          </cell>
        </row>
        <row r="1313">
          <cell r="A1313">
            <v>1313</v>
          </cell>
          <cell r="AD1313">
            <v>332</v>
          </cell>
          <cell r="AE1313" t="str">
            <v>NA</v>
          </cell>
          <cell r="AF1313" t="str">
            <v>332.NA2</v>
          </cell>
        </row>
        <row r="1314">
          <cell r="A1314">
            <v>1314</v>
          </cell>
          <cell r="B1314">
            <v>333</v>
          </cell>
          <cell r="C1314" t="str">
            <v>Water Wheel, Turbines, &amp; Generators</v>
          </cell>
          <cell r="AD1314">
            <v>333</v>
          </cell>
          <cell r="AE1314" t="str">
            <v>NA</v>
          </cell>
          <cell r="AF1314" t="str">
            <v>333.NA</v>
          </cell>
        </row>
        <row r="1315">
          <cell r="A1315">
            <v>1315</v>
          </cell>
          <cell r="D1315" t="str">
            <v>CAGW</v>
          </cell>
          <cell r="E1315" t="str">
            <v>P</v>
          </cell>
          <cell r="F1315">
            <v>19737628.463180393</v>
          </cell>
          <cell r="G1315">
            <v>19737628.463180393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M1315">
            <v>0.59419421435740905</v>
          </cell>
          <cell r="N1315">
            <v>11727984.637957908</v>
          </cell>
          <cell r="O1315">
            <v>8009643.8252224848</v>
          </cell>
          <cell r="Q1315">
            <v>0</v>
          </cell>
          <cell r="R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333</v>
          </cell>
          <cell r="AE1315" t="str">
            <v>CAGW</v>
          </cell>
          <cell r="AF1315" t="str">
            <v>333.CAGW</v>
          </cell>
        </row>
        <row r="1316">
          <cell r="A1316">
            <v>1316</v>
          </cell>
          <cell r="D1316" t="str">
            <v>SGU</v>
          </cell>
          <cell r="E1316" t="str">
            <v>P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M1316">
            <v>0.59419421435740905</v>
          </cell>
          <cell r="N1316">
            <v>0</v>
          </cell>
          <cell r="O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333</v>
          </cell>
          <cell r="AE1316" t="str">
            <v>SGU</v>
          </cell>
          <cell r="AF1316" t="str">
            <v>333.SGU</v>
          </cell>
        </row>
        <row r="1317">
          <cell r="A1317">
            <v>1317</v>
          </cell>
          <cell r="F1317">
            <v>19737628.463180393</v>
          </cell>
          <cell r="G1317">
            <v>19737628.463180393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N1317">
            <v>11727984.637957908</v>
          </cell>
          <cell r="O1317">
            <v>8009643.8252224848</v>
          </cell>
          <cell r="Q1317">
            <v>0</v>
          </cell>
          <cell r="R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D1317">
            <v>333</v>
          </cell>
          <cell r="AE1317" t="str">
            <v>NA</v>
          </cell>
          <cell r="AF1317" t="str">
            <v>333.NA1</v>
          </cell>
        </row>
        <row r="1318">
          <cell r="A1318">
            <v>1318</v>
          </cell>
          <cell r="AD1318">
            <v>333</v>
          </cell>
          <cell r="AE1318" t="str">
            <v>NA</v>
          </cell>
          <cell r="AF1318" t="str">
            <v>333.NA2</v>
          </cell>
        </row>
        <row r="1319">
          <cell r="A1319">
            <v>1319</v>
          </cell>
          <cell r="B1319">
            <v>334</v>
          </cell>
          <cell r="C1319" t="str">
            <v>Accessory Electric Equipment</v>
          </cell>
          <cell r="AD1319">
            <v>334</v>
          </cell>
          <cell r="AE1319" t="str">
            <v>NA</v>
          </cell>
          <cell r="AF1319" t="str">
            <v>334.NA</v>
          </cell>
        </row>
        <row r="1320">
          <cell r="A1320">
            <v>1320</v>
          </cell>
          <cell r="D1320" t="str">
            <v>CAGW</v>
          </cell>
          <cell r="E1320" t="str">
            <v>P</v>
          </cell>
          <cell r="F1320">
            <v>15056808.532999992</v>
          </cell>
          <cell r="G1320">
            <v>15056808.532999992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0.59419421435740905</v>
          </cell>
          <cell r="N1320">
            <v>8946668.516995864</v>
          </cell>
          <cell r="O1320">
            <v>6110140.0160041293</v>
          </cell>
          <cell r="Q1320">
            <v>0</v>
          </cell>
          <cell r="R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>
            <v>334</v>
          </cell>
          <cell r="AE1320" t="str">
            <v>CAGW</v>
          </cell>
          <cell r="AF1320" t="str">
            <v>334.CAGW</v>
          </cell>
        </row>
        <row r="1321">
          <cell r="A1321">
            <v>1321</v>
          </cell>
          <cell r="D1321" t="str">
            <v>SGU</v>
          </cell>
          <cell r="E1321" t="str">
            <v>P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M1321">
            <v>0.59419421435740905</v>
          </cell>
          <cell r="N1321">
            <v>0</v>
          </cell>
          <cell r="O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>
            <v>334</v>
          </cell>
          <cell r="AE1321" t="str">
            <v>SGU</v>
          </cell>
          <cell r="AF1321" t="str">
            <v>334.SGU</v>
          </cell>
        </row>
        <row r="1322">
          <cell r="A1322">
            <v>1322</v>
          </cell>
          <cell r="F1322">
            <v>15056808.532999992</v>
          </cell>
          <cell r="G1322">
            <v>15056808.532999992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N1322">
            <v>8946668.516995864</v>
          </cell>
          <cell r="O1322">
            <v>6110140.0160041293</v>
          </cell>
          <cell r="Q1322">
            <v>0</v>
          </cell>
          <cell r="R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D1322">
            <v>334</v>
          </cell>
          <cell r="AE1322" t="str">
            <v>NA</v>
          </cell>
          <cell r="AF1322" t="str">
            <v>334.NA1</v>
          </cell>
        </row>
        <row r="1323">
          <cell r="A1323">
            <v>1323</v>
          </cell>
          <cell r="AD1323">
            <v>334</v>
          </cell>
          <cell r="AE1323" t="str">
            <v>NA</v>
          </cell>
          <cell r="AF1323" t="str">
            <v>334.NA2</v>
          </cell>
        </row>
        <row r="1324">
          <cell r="A1324">
            <v>1324</v>
          </cell>
          <cell r="B1324">
            <v>335</v>
          </cell>
          <cell r="C1324" t="str">
            <v>Misc. Power Plant Equipment</v>
          </cell>
          <cell r="AD1324">
            <v>335</v>
          </cell>
          <cell r="AE1324" t="str">
            <v>NA</v>
          </cell>
          <cell r="AF1324" t="str">
            <v>335.NA</v>
          </cell>
        </row>
        <row r="1325">
          <cell r="A1325">
            <v>1325</v>
          </cell>
          <cell r="D1325" t="str">
            <v>CAGW</v>
          </cell>
          <cell r="E1325" t="str">
            <v>P</v>
          </cell>
          <cell r="F1325">
            <v>495321.06553625216</v>
          </cell>
          <cell r="G1325">
            <v>495321.06553625216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M1325">
            <v>0.59419421435740905</v>
          </cell>
          <cell r="N1325">
            <v>294316.9113909881</v>
          </cell>
          <cell r="O1325">
            <v>201004.1541452641</v>
          </cell>
          <cell r="Q1325">
            <v>0</v>
          </cell>
          <cell r="R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D1325">
            <v>335</v>
          </cell>
          <cell r="AE1325" t="str">
            <v>CAGW</v>
          </cell>
          <cell r="AF1325" t="str">
            <v>335.CAGW</v>
          </cell>
        </row>
        <row r="1326">
          <cell r="A1326">
            <v>1326</v>
          </cell>
          <cell r="D1326" t="str">
            <v>SGU</v>
          </cell>
          <cell r="E1326" t="str">
            <v>P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M1326">
            <v>0.59419421435740905</v>
          </cell>
          <cell r="N1326">
            <v>0</v>
          </cell>
          <cell r="O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D1326">
            <v>335</v>
          </cell>
          <cell r="AE1326" t="str">
            <v>SGU</v>
          </cell>
          <cell r="AF1326" t="str">
            <v>335.SGU</v>
          </cell>
        </row>
        <row r="1327">
          <cell r="A1327">
            <v>1327</v>
          </cell>
          <cell r="F1327">
            <v>495321.06553625216</v>
          </cell>
          <cell r="G1327">
            <v>495321.06553625216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N1327">
            <v>294316.9113909881</v>
          </cell>
          <cell r="O1327">
            <v>201004.1541452641</v>
          </cell>
          <cell r="Q1327">
            <v>0</v>
          </cell>
          <cell r="R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335</v>
          </cell>
          <cell r="AE1327" t="str">
            <v>NA</v>
          </cell>
          <cell r="AF1327" t="str">
            <v>335.NA1</v>
          </cell>
        </row>
        <row r="1328">
          <cell r="A1328">
            <v>1328</v>
          </cell>
          <cell r="AD1328">
            <v>335</v>
          </cell>
          <cell r="AE1328" t="str">
            <v>NA</v>
          </cell>
          <cell r="AF1328" t="str">
            <v>335.NA2</v>
          </cell>
        </row>
        <row r="1329">
          <cell r="A1329">
            <v>1329</v>
          </cell>
          <cell r="B1329">
            <v>336</v>
          </cell>
          <cell r="C1329" t="str">
            <v>Roads, Railroads &amp; Bridges</v>
          </cell>
          <cell r="AD1329">
            <v>336</v>
          </cell>
          <cell r="AE1329" t="str">
            <v>NA</v>
          </cell>
          <cell r="AF1329" t="str">
            <v>336.NA</v>
          </cell>
        </row>
        <row r="1330">
          <cell r="A1330">
            <v>1330</v>
          </cell>
          <cell r="D1330" t="str">
            <v>CAGW</v>
          </cell>
          <cell r="E1330" t="str">
            <v>P</v>
          </cell>
          <cell r="F1330">
            <v>4799120.0052153217</v>
          </cell>
          <cell r="G1330">
            <v>4799120.0052153217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M1330">
            <v>0.59419421435740905</v>
          </cell>
          <cell r="N1330">
            <v>2851609.341105843</v>
          </cell>
          <cell r="O1330">
            <v>1947510.6641094787</v>
          </cell>
          <cell r="Q1330">
            <v>0</v>
          </cell>
          <cell r="R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336</v>
          </cell>
          <cell r="AE1330" t="str">
            <v>CAGW</v>
          </cell>
          <cell r="AF1330" t="str">
            <v>336.CAGW</v>
          </cell>
        </row>
        <row r="1331">
          <cell r="A1331">
            <v>1331</v>
          </cell>
          <cell r="D1331" t="str">
            <v>CAEW</v>
          </cell>
          <cell r="E1331" t="str">
            <v>P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M1331">
            <v>0.59419421435740905</v>
          </cell>
          <cell r="N1331">
            <v>0</v>
          </cell>
          <cell r="O1331">
            <v>0</v>
          </cell>
          <cell r="Q1331">
            <v>0</v>
          </cell>
          <cell r="R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D1331">
            <v>336</v>
          </cell>
          <cell r="AE1331" t="str">
            <v>CAEW</v>
          </cell>
          <cell r="AF1331" t="str">
            <v>336.CAEW</v>
          </cell>
        </row>
        <row r="1332">
          <cell r="A1332">
            <v>1332</v>
          </cell>
          <cell r="D1332" t="str">
            <v>SGU</v>
          </cell>
          <cell r="E1332" t="str">
            <v>P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M1332">
            <v>0.59419421435740905</v>
          </cell>
          <cell r="N1332">
            <v>0</v>
          </cell>
          <cell r="O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D1332">
            <v>336</v>
          </cell>
          <cell r="AE1332" t="str">
            <v>SGU</v>
          </cell>
          <cell r="AF1332" t="str">
            <v>336.SGU</v>
          </cell>
        </row>
        <row r="1333">
          <cell r="A1333">
            <v>1333</v>
          </cell>
          <cell r="F1333">
            <v>4799120.0052153217</v>
          </cell>
          <cell r="G1333">
            <v>4799120.0052153217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N1333">
            <v>2851609.341105843</v>
          </cell>
          <cell r="O1333">
            <v>1947510.6641094787</v>
          </cell>
          <cell r="Q1333">
            <v>0</v>
          </cell>
          <cell r="R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336</v>
          </cell>
          <cell r="AE1333" t="str">
            <v>NA</v>
          </cell>
          <cell r="AF1333" t="str">
            <v>336.NA1</v>
          </cell>
        </row>
        <row r="1334">
          <cell r="A1334">
            <v>1334</v>
          </cell>
          <cell r="AD1334">
            <v>336</v>
          </cell>
          <cell r="AE1334" t="str">
            <v>NA</v>
          </cell>
          <cell r="AF1334" t="str">
            <v>336.NA2</v>
          </cell>
        </row>
        <row r="1335">
          <cell r="A1335">
            <v>1335</v>
          </cell>
          <cell r="AD1335">
            <v>336</v>
          </cell>
          <cell r="AE1335" t="str">
            <v>NA</v>
          </cell>
          <cell r="AF1335" t="str">
            <v>336.NA3</v>
          </cell>
        </row>
        <row r="1336">
          <cell r="A1336">
            <v>1336</v>
          </cell>
          <cell r="B1336" t="str">
            <v>H00</v>
          </cell>
          <cell r="C1336" t="str">
            <v>Unclassified Hydro Plant - Acct 300</v>
          </cell>
          <cell r="AD1336" t="str">
            <v>H00</v>
          </cell>
          <cell r="AE1336" t="str">
            <v>NA</v>
          </cell>
          <cell r="AF1336" t="str">
            <v>H00.NA</v>
          </cell>
        </row>
        <row r="1337">
          <cell r="A1337">
            <v>1337</v>
          </cell>
          <cell r="D1337" t="str">
            <v>SG</v>
          </cell>
          <cell r="E1337" t="str">
            <v>P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M1337">
            <v>0.59419421435740905</v>
          </cell>
          <cell r="N1337">
            <v>0</v>
          </cell>
          <cell r="O1337">
            <v>0</v>
          </cell>
          <cell r="Q1337">
            <v>0</v>
          </cell>
          <cell r="R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 t="str">
            <v>H00</v>
          </cell>
          <cell r="AE1337" t="str">
            <v>SG</v>
          </cell>
          <cell r="AF1337" t="str">
            <v>H00.SG</v>
          </cell>
        </row>
        <row r="1338">
          <cell r="A1338">
            <v>1338</v>
          </cell>
          <cell r="D1338" t="str">
            <v>DGU</v>
          </cell>
          <cell r="E1338" t="str">
            <v>P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M1338">
            <v>0.59419421435740905</v>
          </cell>
          <cell r="N1338">
            <v>0</v>
          </cell>
          <cell r="O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D1338" t="str">
            <v>H00</v>
          </cell>
          <cell r="AE1338" t="str">
            <v>DGU</v>
          </cell>
          <cell r="AF1338" t="str">
            <v>H00.DGU</v>
          </cell>
        </row>
        <row r="1339">
          <cell r="A1339">
            <v>1339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N1339">
            <v>0</v>
          </cell>
          <cell r="O1339">
            <v>0</v>
          </cell>
          <cell r="Q1339">
            <v>0</v>
          </cell>
          <cell r="R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D1339" t="str">
            <v>H00</v>
          </cell>
          <cell r="AE1339" t="str">
            <v>NA</v>
          </cell>
          <cell r="AF1339" t="str">
            <v>H00.NA1</v>
          </cell>
        </row>
        <row r="1340">
          <cell r="A1340">
            <v>1340</v>
          </cell>
          <cell r="AD1340" t="str">
            <v>H00</v>
          </cell>
          <cell r="AE1340" t="str">
            <v>NA</v>
          </cell>
          <cell r="AF1340" t="str">
            <v>H00.NA2</v>
          </cell>
        </row>
        <row r="1341">
          <cell r="A1341">
            <v>1341</v>
          </cell>
          <cell r="AD1341" t="str">
            <v>H00</v>
          </cell>
          <cell r="AE1341" t="str">
            <v>NA</v>
          </cell>
          <cell r="AF1341" t="str">
            <v>H00.NA3</v>
          </cell>
        </row>
        <row r="1342">
          <cell r="A1342">
            <v>1342</v>
          </cell>
          <cell r="B1342" t="str">
            <v>Total Hydraulic Plant</v>
          </cell>
          <cell r="F1342">
            <v>100961986.64909427</v>
          </cell>
          <cell r="G1342">
            <v>100961986.64909427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N1342">
            <v>59991028.336921804</v>
          </cell>
          <cell r="O1342">
            <v>40970958.31217248</v>
          </cell>
          <cell r="Q1342">
            <v>0</v>
          </cell>
          <cell r="R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 t="str">
            <v>Total Hydraulic Plant</v>
          </cell>
          <cell r="AE1342" t="str">
            <v>NA</v>
          </cell>
          <cell r="AF1342" t="str">
            <v>Total Hydraulic Plant.NA</v>
          </cell>
        </row>
        <row r="1343">
          <cell r="A1343">
            <v>1343</v>
          </cell>
          <cell r="AD1343" t="str">
            <v>Total Hydraulic Plant</v>
          </cell>
          <cell r="AE1343" t="str">
            <v>NA</v>
          </cell>
          <cell r="AF1343" t="str">
            <v>Total Hydraulic Plant.NA1</v>
          </cell>
        </row>
        <row r="1344">
          <cell r="A1344">
            <v>1344</v>
          </cell>
          <cell r="B1344">
            <v>340</v>
          </cell>
          <cell r="C1344" t="str">
            <v>Land and Land Rights</v>
          </cell>
          <cell r="AD1344">
            <v>340</v>
          </cell>
          <cell r="AE1344" t="str">
            <v>NA</v>
          </cell>
          <cell r="AF1344" t="str">
            <v>340.NA</v>
          </cell>
        </row>
        <row r="1345">
          <cell r="A1345">
            <v>1345</v>
          </cell>
          <cell r="D1345" t="str">
            <v>CAGW</v>
          </cell>
          <cell r="E1345" t="str">
            <v>P</v>
          </cell>
          <cell r="F1345">
            <v>976897.80883704626</v>
          </cell>
          <cell r="G1345">
            <v>976897.80883704626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M1345">
            <v>0.59419421435740905</v>
          </cell>
          <cell r="N1345">
            <v>580467.02602940309</v>
          </cell>
          <cell r="O1345">
            <v>396430.78280764318</v>
          </cell>
          <cell r="Q1345">
            <v>0</v>
          </cell>
          <cell r="R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D1345">
            <v>340</v>
          </cell>
          <cell r="AE1345" t="str">
            <v>CAGW</v>
          </cell>
          <cell r="AF1345" t="str">
            <v>340.CAGW</v>
          </cell>
        </row>
        <row r="1346">
          <cell r="A1346">
            <v>1346</v>
          </cell>
          <cell r="D1346" t="str">
            <v>DGU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0.59419421435740905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340</v>
          </cell>
          <cell r="AE1346" t="str">
            <v>DGU</v>
          </cell>
          <cell r="AF1346" t="str">
            <v>340.DGU</v>
          </cell>
        </row>
        <row r="1347">
          <cell r="A1347">
            <v>1347</v>
          </cell>
          <cell r="F1347">
            <v>976897.80883704626</v>
          </cell>
          <cell r="G1347">
            <v>976897.80883704626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N1347">
            <v>580467.02602940309</v>
          </cell>
          <cell r="O1347">
            <v>396430.78280764318</v>
          </cell>
          <cell r="Q1347">
            <v>0</v>
          </cell>
          <cell r="R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340</v>
          </cell>
          <cell r="AE1347" t="str">
            <v>NA</v>
          </cell>
          <cell r="AF1347" t="str">
            <v>340.NA1</v>
          </cell>
        </row>
        <row r="1348">
          <cell r="A1348">
            <v>1348</v>
          </cell>
          <cell r="AD1348">
            <v>340</v>
          </cell>
          <cell r="AE1348" t="str">
            <v>NA</v>
          </cell>
          <cell r="AF1348" t="str">
            <v>340.NA2</v>
          </cell>
        </row>
        <row r="1349">
          <cell r="A1349">
            <v>1349</v>
          </cell>
          <cell r="B1349">
            <v>341</v>
          </cell>
          <cell r="C1349" t="str">
            <v>Structures and Improvements</v>
          </cell>
          <cell r="AD1349">
            <v>341</v>
          </cell>
          <cell r="AE1349" t="str">
            <v>NA</v>
          </cell>
          <cell r="AF1349" t="str">
            <v>341.NA</v>
          </cell>
        </row>
        <row r="1350">
          <cell r="A1350">
            <v>1350</v>
          </cell>
          <cell r="D1350" t="str">
            <v>CAGW</v>
          </cell>
          <cell r="E1350" t="str">
            <v>P</v>
          </cell>
          <cell r="F1350">
            <v>12575345.454235533</v>
          </cell>
          <cell r="G1350">
            <v>12575345.454235533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M1350">
            <v>0.59419421435740905</v>
          </cell>
          <cell r="N1350">
            <v>7472197.5124524981</v>
          </cell>
          <cell r="O1350">
            <v>5103147.9417830352</v>
          </cell>
          <cell r="Q1350">
            <v>0</v>
          </cell>
          <cell r="R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341</v>
          </cell>
          <cell r="AE1350" t="str">
            <v>CAGW</v>
          </cell>
          <cell r="AF1350" t="str">
            <v>341.CAGW</v>
          </cell>
        </row>
        <row r="1351">
          <cell r="A1351">
            <v>1351</v>
          </cell>
          <cell r="D1351" t="str">
            <v>DGU</v>
          </cell>
          <cell r="E1351" t="str">
            <v>P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M1351">
            <v>0.59419421435740905</v>
          </cell>
          <cell r="N1351">
            <v>0</v>
          </cell>
          <cell r="O1351">
            <v>0</v>
          </cell>
          <cell r="Q1351">
            <v>0</v>
          </cell>
          <cell r="R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D1351">
            <v>341</v>
          </cell>
          <cell r="AE1351" t="str">
            <v>DGU</v>
          </cell>
          <cell r="AF1351" t="str">
            <v>341.DGU</v>
          </cell>
        </row>
        <row r="1352">
          <cell r="A1352">
            <v>1352</v>
          </cell>
          <cell r="F1352">
            <v>12575345.454235533</v>
          </cell>
          <cell r="G1352">
            <v>12575345.454235533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N1352">
            <v>7472197.5124524981</v>
          </cell>
          <cell r="O1352">
            <v>5103147.9417830352</v>
          </cell>
          <cell r="Q1352">
            <v>0</v>
          </cell>
          <cell r="R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D1352">
            <v>341</v>
          </cell>
          <cell r="AE1352" t="str">
            <v>NA</v>
          </cell>
          <cell r="AF1352" t="str">
            <v>341.NA1</v>
          </cell>
        </row>
        <row r="1353">
          <cell r="A1353">
            <v>1353</v>
          </cell>
          <cell r="AD1353">
            <v>341</v>
          </cell>
          <cell r="AE1353" t="str">
            <v>NA</v>
          </cell>
          <cell r="AF1353" t="str">
            <v>341.NA2</v>
          </cell>
        </row>
        <row r="1354">
          <cell r="A1354">
            <v>1354</v>
          </cell>
          <cell r="B1354">
            <v>342</v>
          </cell>
          <cell r="C1354" t="str">
            <v>Fuel Holders, Producers &amp; Accessories</v>
          </cell>
          <cell r="AD1354">
            <v>342</v>
          </cell>
          <cell r="AE1354" t="str">
            <v>NA</v>
          </cell>
          <cell r="AF1354" t="str">
            <v>342.NA</v>
          </cell>
        </row>
        <row r="1355">
          <cell r="A1355">
            <v>1355</v>
          </cell>
          <cell r="D1355" t="str">
            <v>CAGW</v>
          </cell>
          <cell r="E1355" t="str">
            <v>P</v>
          </cell>
          <cell r="F1355">
            <v>350126.01659648248</v>
          </cell>
          <cell r="G1355">
            <v>350126.01659648248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0.59419421435740905</v>
          </cell>
          <cell r="N1355">
            <v>208042.85335763608</v>
          </cell>
          <cell r="O1355">
            <v>142083.16323884641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342</v>
          </cell>
          <cell r="AE1355" t="str">
            <v>CAGW</v>
          </cell>
          <cell r="AF1355" t="str">
            <v>342.CAGW</v>
          </cell>
        </row>
        <row r="1356">
          <cell r="A1356">
            <v>1356</v>
          </cell>
          <cell r="D1356" t="str">
            <v>DGU</v>
          </cell>
          <cell r="E1356" t="str">
            <v>P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0.59419421435740905</v>
          </cell>
          <cell r="N1356">
            <v>0</v>
          </cell>
          <cell r="O1356">
            <v>0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342</v>
          </cell>
          <cell r="AE1356" t="str">
            <v>DGU</v>
          </cell>
          <cell r="AF1356" t="str">
            <v>342.DGU</v>
          </cell>
        </row>
        <row r="1357">
          <cell r="A1357">
            <v>1357</v>
          </cell>
          <cell r="F1357">
            <v>350126.01659648248</v>
          </cell>
          <cell r="G1357">
            <v>350126.01659648248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208042.85335763608</v>
          </cell>
          <cell r="O1357">
            <v>142083.16323884641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342</v>
          </cell>
          <cell r="AE1357" t="str">
            <v>NA</v>
          </cell>
          <cell r="AF1357" t="str">
            <v>342.NA1</v>
          </cell>
        </row>
        <row r="1358">
          <cell r="A1358">
            <v>1358</v>
          </cell>
          <cell r="AD1358">
            <v>342</v>
          </cell>
          <cell r="AE1358" t="str">
            <v>NA</v>
          </cell>
          <cell r="AF1358" t="str">
            <v>342.NA2</v>
          </cell>
        </row>
        <row r="1359">
          <cell r="A1359">
            <v>1359</v>
          </cell>
          <cell r="B1359">
            <v>343</v>
          </cell>
          <cell r="C1359" t="str">
            <v>Prime Movers</v>
          </cell>
          <cell r="AD1359">
            <v>343</v>
          </cell>
          <cell r="AE1359" t="str">
            <v>NA</v>
          </cell>
          <cell r="AF1359" t="str">
            <v>343.NA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272522045.94683242</v>
          </cell>
          <cell r="G1360">
            <v>272522045.94683242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0.59419421435740905</v>
          </cell>
          <cell r="N1360">
            <v>161931022.9864518</v>
          </cell>
          <cell r="O1360">
            <v>110591022.9603806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343</v>
          </cell>
          <cell r="AE1360" t="str">
            <v>SG</v>
          </cell>
          <cell r="AF1360" t="str">
            <v>343.SG</v>
          </cell>
        </row>
        <row r="1361">
          <cell r="A1361">
            <v>1361</v>
          </cell>
          <cell r="D1361" t="str">
            <v>DGU</v>
          </cell>
          <cell r="E1361" t="str">
            <v>P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0.59419421435740905</v>
          </cell>
          <cell r="N1361">
            <v>0</v>
          </cell>
          <cell r="O1361">
            <v>0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343</v>
          </cell>
          <cell r="AE1361" t="str">
            <v>DGU</v>
          </cell>
          <cell r="AF1361" t="str">
            <v>343.DGU</v>
          </cell>
        </row>
        <row r="1362">
          <cell r="A1362">
            <v>1362</v>
          </cell>
          <cell r="D1362" t="str">
            <v>CAGW</v>
          </cell>
          <cell r="E1362" t="str">
            <v>P</v>
          </cell>
          <cell r="F1362">
            <v>51794623.839613825</v>
          </cell>
          <cell r="G1362">
            <v>51794623.839613825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0.59419421435740905</v>
          </cell>
          <cell r="N1362">
            <v>30776065.820316866</v>
          </cell>
          <cell r="O1362">
            <v>21018558.019296959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343</v>
          </cell>
          <cell r="AE1362" t="str">
            <v>CAGW</v>
          </cell>
          <cell r="AF1362" t="str">
            <v>343.CAGW</v>
          </cell>
        </row>
        <row r="1363">
          <cell r="A1363">
            <v>1363</v>
          </cell>
          <cell r="D1363" t="str">
            <v>CAEW</v>
          </cell>
          <cell r="E1363" t="str">
            <v>P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0.59419421435740905</v>
          </cell>
          <cell r="N1363">
            <v>0</v>
          </cell>
          <cell r="O1363">
            <v>0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343</v>
          </cell>
          <cell r="AE1363" t="str">
            <v>CAEW</v>
          </cell>
          <cell r="AF1363" t="str">
            <v>343.CAEW</v>
          </cell>
        </row>
        <row r="1364">
          <cell r="A1364">
            <v>1364</v>
          </cell>
          <cell r="D1364" t="str">
            <v>CAGE</v>
          </cell>
          <cell r="E1364" t="str">
            <v>P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M1364">
            <v>0.59419421435740905</v>
          </cell>
          <cell r="N1364">
            <v>0</v>
          </cell>
          <cell r="O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343</v>
          </cell>
          <cell r="AE1364" t="str">
            <v>CAGE</v>
          </cell>
          <cell r="AF1364" t="str">
            <v>343.CAGE</v>
          </cell>
        </row>
        <row r="1365">
          <cell r="A1365">
            <v>1365</v>
          </cell>
          <cell r="F1365">
            <v>324316669.78644621</v>
          </cell>
          <cell r="G1365">
            <v>324316669.78644621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N1365">
            <v>192707088.80676866</v>
          </cell>
          <cell r="O1365">
            <v>131609580.97967756</v>
          </cell>
          <cell r="Q1365">
            <v>0</v>
          </cell>
          <cell r="R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343</v>
          </cell>
          <cell r="AE1365" t="str">
            <v>NA</v>
          </cell>
          <cell r="AF1365" t="str">
            <v>343.NA1</v>
          </cell>
        </row>
        <row r="1366">
          <cell r="A1366">
            <v>1366</v>
          </cell>
          <cell r="AD1366">
            <v>343</v>
          </cell>
          <cell r="AE1366" t="str">
            <v>NA</v>
          </cell>
          <cell r="AF1366" t="str">
            <v>343.NA2</v>
          </cell>
        </row>
        <row r="1367">
          <cell r="A1367">
            <v>1367</v>
          </cell>
          <cell r="B1367">
            <v>344</v>
          </cell>
          <cell r="C1367" t="str">
            <v>Generators</v>
          </cell>
          <cell r="AD1367">
            <v>344</v>
          </cell>
          <cell r="AE1367" t="str">
            <v>NA</v>
          </cell>
          <cell r="AF1367" t="str">
            <v>344.NA</v>
          </cell>
        </row>
        <row r="1368">
          <cell r="A1368">
            <v>1368</v>
          </cell>
          <cell r="D1368" t="str">
            <v>S</v>
          </cell>
          <cell r="E1368" t="str">
            <v>P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0.59419421435740905</v>
          </cell>
          <cell r="N1368">
            <v>0</v>
          </cell>
          <cell r="O1368">
            <v>0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344</v>
          </cell>
          <cell r="AE1368" t="str">
            <v>S</v>
          </cell>
          <cell r="AF1368" t="str">
            <v>344.S</v>
          </cell>
        </row>
        <row r="1369">
          <cell r="A1369">
            <v>1369</v>
          </cell>
          <cell r="D1369" t="str">
            <v>CAGW</v>
          </cell>
          <cell r="E1369" t="str">
            <v>P</v>
          </cell>
          <cell r="F1369">
            <v>29021301.901553459</v>
          </cell>
          <cell r="G1369">
            <v>29021301.901553459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0.59419421435740905</v>
          </cell>
          <cell r="N1369">
            <v>17244289.683022738</v>
          </cell>
          <cell r="O1369">
            <v>11777012.21853072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344</v>
          </cell>
          <cell r="AE1369" t="str">
            <v>CAGW</v>
          </cell>
          <cell r="AF1369" t="str">
            <v>344.CAGW</v>
          </cell>
        </row>
        <row r="1370">
          <cell r="A1370">
            <v>1370</v>
          </cell>
          <cell r="D1370" t="str">
            <v>DGU</v>
          </cell>
          <cell r="E1370" t="str">
            <v>P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M1370">
            <v>0.59419421435740905</v>
          </cell>
          <cell r="N1370">
            <v>0</v>
          </cell>
          <cell r="O1370">
            <v>0</v>
          </cell>
          <cell r="Q1370">
            <v>0</v>
          </cell>
          <cell r="R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344</v>
          </cell>
          <cell r="AE1370" t="str">
            <v>DGU</v>
          </cell>
          <cell r="AF1370" t="str">
            <v>344.DGU</v>
          </cell>
        </row>
        <row r="1371">
          <cell r="A1371">
            <v>1371</v>
          </cell>
          <cell r="D1371" t="str">
            <v>CAGE</v>
          </cell>
          <cell r="E1371" t="str">
            <v>P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M1371">
            <v>0.59419421435740905</v>
          </cell>
          <cell r="N1371">
            <v>0</v>
          </cell>
          <cell r="O1371">
            <v>0</v>
          </cell>
          <cell r="Q1371">
            <v>0</v>
          </cell>
          <cell r="R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D1371">
            <v>344</v>
          </cell>
          <cell r="AE1371" t="str">
            <v>CAGE</v>
          </cell>
          <cell r="AF1371" t="str">
            <v>344.CAGE</v>
          </cell>
        </row>
        <row r="1372">
          <cell r="A1372">
            <v>1372</v>
          </cell>
          <cell r="F1372">
            <v>29021301.901553459</v>
          </cell>
          <cell r="G1372">
            <v>29021301.901553459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N1372">
            <v>17244289.683022738</v>
          </cell>
          <cell r="O1372">
            <v>11777012.21853072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344</v>
          </cell>
          <cell r="AE1372" t="str">
            <v>NA</v>
          </cell>
          <cell r="AF1372" t="str">
            <v>344.NA1</v>
          </cell>
        </row>
        <row r="1373">
          <cell r="A1373">
            <v>1373</v>
          </cell>
          <cell r="AD1373">
            <v>344</v>
          </cell>
          <cell r="AE1373" t="str">
            <v>NA</v>
          </cell>
          <cell r="AF1373" t="str">
            <v>344.NA2</v>
          </cell>
        </row>
        <row r="1374">
          <cell r="A1374">
            <v>1374</v>
          </cell>
          <cell r="B1374">
            <v>345</v>
          </cell>
          <cell r="C1374" t="str">
            <v>Accessory Electric Plant</v>
          </cell>
          <cell r="AD1374">
            <v>345</v>
          </cell>
          <cell r="AE1374" t="str">
            <v>NA</v>
          </cell>
          <cell r="AF1374" t="str">
            <v>345.NA</v>
          </cell>
        </row>
        <row r="1375">
          <cell r="A1375">
            <v>1375</v>
          </cell>
          <cell r="D1375" t="str">
            <v>CAGW</v>
          </cell>
          <cell r="E1375" t="str">
            <v>P</v>
          </cell>
          <cell r="F1375">
            <v>19135021.713521142</v>
          </cell>
          <cell r="G1375">
            <v>19135021.713521142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M1375">
            <v>0.59419421435740905</v>
          </cell>
          <cell r="N1375">
            <v>11369919.193777658</v>
          </cell>
          <cell r="O1375">
            <v>7765102.5197434835</v>
          </cell>
          <cell r="Q1375">
            <v>0</v>
          </cell>
          <cell r="R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>
            <v>345</v>
          </cell>
          <cell r="AE1375" t="str">
            <v>CAGW</v>
          </cell>
          <cell r="AF1375" t="str">
            <v>345.CAGW</v>
          </cell>
        </row>
        <row r="1376">
          <cell r="A1376">
            <v>1376</v>
          </cell>
          <cell r="D1376" t="str">
            <v>DGU</v>
          </cell>
          <cell r="E1376" t="str">
            <v>P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M1376">
            <v>0.59419421435740905</v>
          </cell>
          <cell r="N1376">
            <v>0</v>
          </cell>
          <cell r="O1376">
            <v>0</v>
          </cell>
          <cell r="Q1376">
            <v>0</v>
          </cell>
          <cell r="R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345</v>
          </cell>
          <cell r="AE1376" t="str">
            <v>DGU</v>
          </cell>
          <cell r="AF1376" t="str">
            <v>345.DGU</v>
          </cell>
        </row>
        <row r="1377">
          <cell r="A1377">
            <v>1377</v>
          </cell>
          <cell r="F1377">
            <v>19135021.713521142</v>
          </cell>
          <cell r="G1377">
            <v>19135021.713521142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11369919.193777658</v>
          </cell>
          <cell r="O1377">
            <v>7765102.5197434835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>
            <v>345</v>
          </cell>
          <cell r="AE1377" t="str">
            <v>NA</v>
          </cell>
          <cell r="AF1377" t="str">
            <v>345.NA1</v>
          </cell>
        </row>
        <row r="1378">
          <cell r="A1378">
            <v>1378</v>
          </cell>
          <cell r="AD1378">
            <v>345</v>
          </cell>
          <cell r="AE1378" t="str">
            <v>NA</v>
          </cell>
          <cell r="AF1378" t="str">
            <v>345.NA2</v>
          </cell>
        </row>
        <row r="1379">
          <cell r="A1379">
            <v>1379</v>
          </cell>
          <cell r="B1379">
            <v>346</v>
          </cell>
          <cell r="C1379" t="str">
            <v>Misc. Power Plant Equipment</v>
          </cell>
          <cell r="AD1379">
            <v>346</v>
          </cell>
          <cell r="AE1379" t="str">
            <v>NA</v>
          </cell>
          <cell r="AF1379" t="str">
            <v>346.NA</v>
          </cell>
        </row>
        <row r="1380">
          <cell r="A1380">
            <v>1380</v>
          </cell>
          <cell r="D1380" t="str">
            <v>CAGW</v>
          </cell>
          <cell r="E1380" t="str">
            <v>P</v>
          </cell>
          <cell r="F1380">
            <v>881794.15030796116</v>
          </cell>
          <cell r="G1380">
            <v>881794.15030796116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M1380">
            <v>0.59419421435740905</v>
          </cell>
          <cell r="N1380">
            <v>523956.98236719804</v>
          </cell>
          <cell r="O1380">
            <v>357837.16794076312</v>
          </cell>
          <cell r="Q1380">
            <v>0</v>
          </cell>
          <cell r="R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D1380">
            <v>346</v>
          </cell>
          <cell r="AE1380" t="str">
            <v>CAGW</v>
          </cell>
          <cell r="AF1380" t="str">
            <v>346.CAGW</v>
          </cell>
        </row>
        <row r="1381">
          <cell r="A1381">
            <v>1381</v>
          </cell>
          <cell r="D1381" t="str">
            <v>SG-U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0.59419421435740905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346</v>
          </cell>
          <cell r="AE1381" t="str">
            <v>SG-U</v>
          </cell>
          <cell r="AF1381" t="str">
            <v>346.SG-U</v>
          </cell>
        </row>
        <row r="1382">
          <cell r="A1382">
            <v>1382</v>
          </cell>
          <cell r="F1382">
            <v>881794.15030796116</v>
          </cell>
          <cell r="G1382">
            <v>881794.15030796116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523956.98236719804</v>
          </cell>
          <cell r="O1382">
            <v>357837.16794076312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>
            <v>346</v>
          </cell>
          <cell r="AE1382" t="str">
            <v>NA</v>
          </cell>
          <cell r="AF1382" t="str">
            <v>346.NA1</v>
          </cell>
        </row>
        <row r="1383">
          <cell r="A1383">
            <v>1383</v>
          </cell>
          <cell r="AD1383">
            <v>346</v>
          </cell>
          <cell r="AE1383" t="str">
            <v>NA</v>
          </cell>
          <cell r="AF1383" t="str">
            <v>346.NA2</v>
          </cell>
        </row>
        <row r="1384">
          <cell r="A1384">
            <v>1384</v>
          </cell>
          <cell r="B1384" t="str">
            <v>OP</v>
          </cell>
          <cell r="C1384" t="str">
            <v>Unclassified Other Prod Plant-Acct 300</v>
          </cell>
          <cell r="AD1384" t="str">
            <v>OP</v>
          </cell>
          <cell r="AE1384" t="str">
            <v>NA</v>
          </cell>
          <cell r="AF1384" t="str">
            <v>OP.NA</v>
          </cell>
        </row>
        <row r="1385">
          <cell r="A1385">
            <v>1385</v>
          </cell>
          <cell r="D1385" t="str">
            <v>SG</v>
          </cell>
          <cell r="E1385" t="str">
            <v>P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M1385">
            <v>0.59419421435740905</v>
          </cell>
          <cell r="N1385">
            <v>0</v>
          </cell>
          <cell r="O1385">
            <v>0</v>
          </cell>
          <cell r="Q1385">
            <v>0</v>
          </cell>
          <cell r="R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D1385" t="str">
            <v>OP</v>
          </cell>
          <cell r="AE1385" t="str">
            <v>SG</v>
          </cell>
          <cell r="AF1385" t="str">
            <v>OP.SG</v>
          </cell>
        </row>
        <row r="1386">
          <cell r="A1386">
            <v>1386</v>
          </cell>
          <cell r="D1386" t="str">
            <v>CAGW</v>
          </cell>
          <cell r="E1386" t="str">
            <v>P</v>
          </cell>
          <cell r="F1386">
            <v>-119359.20448769673</v>
          </cell>
          <cell r="G1386">
            <v>-119359.20448769673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M1386">
            <v>0.59419421435740905</v>
          </cell>
          <cell r="N1386">
            <v>-70922.548736892291</v>
          </cell>
          <cell r="O1386">
            <v>-48436.655750804435</v>
          </cell>
          <cell r="Q1386">
            <v>0</v>
          </cell>
          <cell r="R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 t="str">
            <v>OP</v>
          </cell>
          <cell r="AE1386" t="str">
            <v>CAGW</v>
          </cell>
          <cell r="AF1386" t="str">
            <v>OP.CAGW</v>
          </cell>
        </row>
        <row r="1387">
          <cell r="A1387">
            <v>1387</v>
          </cell>
          <cell r="F1387">
            <v>-119359.20448769673</v>
          </cell>
          <cell r="G1387">
            <v>-119359.20448769673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N1387">
            <v>-70922.548736892291</v>
          </cell>
          <cell r="O1387">
            <v>-48436.655750804435</v>
          </cell>
          <cell r="Q1387">
            <v>0</v>
          </cell>
          <cell r="R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 t="str">
            <v>OP</v>
          </cell>
          <cell r="AE1387" t="str">
            <v>NA</v>
          </cell>
          <cell r="AF1387" t="str">
            <v>OP.NA1</v>
          </cell>
        </row>
        <row r="1388">
          <cell r="A1388">
            <v>1388</v>
          </cell>
          <cell r="AD1388" t="str">
            <v>OP</v>
          </cell>
          <cell r="AE1388" t="str">
            <v>NA</v>
          </cell>
          <cell r="AF1388" t="str">
            <v>OP.NA2</v>
          </cell>
        </row>
        <row r="1389">
          <cell r="A1389">
            <v>1389</v>
          </cell>
          <cell r="B1389" t="str">
            <v>Total Other Generation Plant</v>
          </cell>
          <cell r="F1389">
            <v>387137797.62701011</v>
          </cell>
          <cell r="G1389">
            <v>387137797.62701011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N1389">
            <v>230035039.50903887</v>
          </cell>
          <cell r="O1389">
            <v>157102758.11797121</v>
          </cell>
          <cell r="Q1389">
            <v>0</v>
          </cell>
          <cell r="R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 t="str">
            <v>Total Other Generation Plant</v>
          </cell>
          <cell r="AE1389" t="str">
            <v>NA</v>
          </cell>
          <cell r="AF1389" t="str">
            <v>Total Other Generation Plant.NA</v>
          </cell>
        </row>
        <row r="1390">
          <cell r="A1390">
            <v>1390</v>
          </cell>
          <cell r="AD1390" t="str">
            <v>Total Other Generation Plant</v>
          </cell>
          <cell r="AE1390" t="str">
            <v>NA</v>
          </cell>
          <cell r="AF1390" t="str">
            <v>Total Other Generation Plant.NA1</v>
          </cell>
        </row>
        <row r="1391">
          <cell r="A1391">
            <v>1391</v>
          </cell>
          <cell r="B1391" t="str">
            <v>Experimental Plant</v>
          </cell>
          <cell r="AD1391" t="str">
            <v>Experimental Plant</v>
          </cell>
          <cell r="AE1391" t="str">
            <v>NA</v>
          </cell>
          <cell r="AF1391" t="str">
            <v>Experimental Plant.NA</v>
          </cell>
        </row>
        <row r="1392">
          <cell r="A1392">
            <v>1392</v>
          </cell>
          <cell r="B1392">
            <v>103</v>
          </cell>
          <cell r="C1392" t="str">
            <v>Experimental Plant</v>
          </cell>
          <cell r="AD1392">
            <v>103</v>
          </cell>
          <cell r="AE1392" t="str">
            <v>NA</v>
          </cell>
          <cell r="AF1392" t="str">
            <v>103.NA</v>
          </cell>
        </row>
        <row r="1393">
          <cell r="A1393">
            <v>1393</v>
          </cell>
          <cell r="D1393" t="str">
            <v>DGP</v>
          </cell>
          <cell r="E1393" t="str">
            <v>P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M1393">
            <v>0.59419421435740905</v>
          </cell>
          <cell r="N1393">
            <v>0</v>
          </cell>
          <cell r="O1393">
            <v>0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103</v>
          </cell>
          <cell r="AE1393" t="str">
            <v>DGP</v>
          </cell>
          <cell r="AF1393" t="str">
            <v>103.DGP</v>
          </cell>
        </row>
        <row r="1394">
          <cell r="A1394">
            <v>1394</v>
          </cell>
          <cell r="B1394" t="str">
            <v>Total Experimental Plant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N1394">
            <v>0</v>
          </cell>
          <cell r="O1394">
            <v>0</v>
          </cell>
          <cell r="Q1394">
            <v>0</v>
          </cell>
          <cell r="R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 t="str">
            <v>Total Experimental Plant</v>
          </cell>
          <cell r="AE1394" t="str">
            <v>NA</v>
          </cell>
          <cell r="AF1394" t="str">
            <v>Total Experimental Plant.NA</v>
          </cell>
        </row>
        <row r="1395">
          <cell r="A1395">
            <v>1395</v>
          </cell>
          <cell r="AD1395" t="str">
            <v>Total Experimental Plant</v>
          </cell>
          <cell r="AE1395" t="str">
            <v>NA</v>
          </cell>
          <cell r="AF1395" t="str">
            <v>Total Experimental Plant.NA1</v>
          </cell>
        </row>
        <row r="1396">
          <cell r="A1396">
            <v>1396</v>
          </cell>
          <cell r="B1396" t="str">
            <v>TOTAL GENERATION PLANT</v>
          </cell>
          <cell r="F1396">
            <v>792145131.51161909</v>
          </cell>
          <cell r="G1396">
            <v>792145131.51161909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N1396">
            <v>470688054.07559299</v>
          </cell>
          <cell r="O1396">
            <v>321457077.4360261</v>
          </cell>
          <cell r="Q1396">
            <v>0</v>
          </cell>
          <cell r="R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 t="str">
            <v>TOTAL GENERATION PLANT</v>
          </cell>
          <cell r="AE1396" t="str">
            <v>NA</v>
          </cell>
          <cell r="AF1396" t="str">
            <v>TOTAL GENERATION PLANT.NA</v>
          </cell>
        </row>
        <row r="1397">
          <cell r="A1397">
            <v>1397</v>
          </cell>
          <cell r="AD1397" t="str">
            <v>TOTAL GENERATION PLANT</v>
          </cell>
          <cell r="AE1397" t="str">
            <v>NA</v>
          </cell>
          <cell r="AF1397" t="str">
            <v>TOTAL GENERATION PLANT.NA1</v>
          </cell>
        </row>
        <row r="1398">
          <cell r="A1398">
            <v>1398</v>
          </cell>
          <cell r="B1398">
            <v>350</v>
          </cell>
          <cell r="C1398" t="str">
            <v>Land and Land Rights</v>
          </cell>
          <cell r="AD1398">
            <v>350</v>
          </cell>
          <cell r="AE1398" t="str">
            <v>NA</v>
          </cell>
          <cell r="AF1398" t="str">
            <v>350.NA</v>
          </cell>
        </row>
        <row r="1399">
          <cell r="A1399">
            <v>1399</v>
          </cell>
          <cell r="D1399" t="str">
            <v>SG</v>
          </cell>
          <cell r="E1399" t="str">
            <v>T</v>
          </cell>
          <cell r="F1399">
            <v>7841.3932584950517</v>
          </cell>
          <cell r="G1399">
            <v>0</v>
          </cell>
          <cell r="H1399">
            <v>7841.3932584950517</v>
          </cell>
          <cell r="I1399">
            <v>0</v>
          </cell>
          <cell r="J1399">
            <v>0</v>
          </cell>
          <cell r="K1399">
            <v>0</v>
          </cell>
          <cell r="P1399">
            <v>1</v>
          </cell>
          <cell r="Q1399">
            <v>7841.3932584950517</v>
          </cell>
          <cell r="R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D1399">
            <v>350</v>
          </cell>
          <cell r="AE1399" t="str">
            <v>SG</v>
          </cell>
          <cell r="AF1399" t="str">
            <v>350.SG</v>
          </cell>
        </row>
        <row r="1400">
          <cell r="A1400">
            <v>1400</v>
          </cell>
          <cell r="D1400" t="str">
            <v>JBG</v>
          </cell>
          <cell r="E1400" t="str">
            <v>T</v>
          </cell>
          <cell r="F1400">
            <v>498314.62268544961</v>
          </cell>
          <cell r="G1400">
            <v>0</v>
          </cell>
          <cell r="H1400">
            <v>498314.62268544961</v>
          </cell>
          <cell r="I1400">
            <v>0</v>
          </cell>
          <cell r="J1400">
            <v>0</v>
          </cell>
          <cell r="K1400">
            <v>0</v>
          </cell>
          <cell r="P1400">
            <v>1</v>
          </cell>
          <cell r="Q1400">
            <v>498314.62268544961</v>
          </cell>
          <cell r="R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350</v>
          </cell>
          <cell r="AE1400" t="str">
            <v>JBG</v>
          </cell>
          <cell r="AF1400" t="str">
            <v>350.JBG</v>
          </cell>
        </row>
        <row r="1401">
          <cell r="A1401">
            <v>1401</v>
          </cell>
          <cell r="D1401" t="str">
            <v>CAGW</v>
          </cell>
          <cell r="E1401" t="str">
            <v>T</v>
          </cell>
          <cell r="F1401">
            <v>7864250.0384147875</v>
          </cell>
          <cell r="G1401">
            <v>0</v>
          </cell>
          <cell r="H1401">
            <v>7864250.0384147875</v>
          </cell>
          <cell r="I1401">
            <v>0</v>
          </cell>
          <cell r="J1401">
            <v>0</v>
          </cell>
          <cell r="K1401">
            <v>0</v>
          </cell>
          <cell r="P1401">
            <v>1</v>
          </cell>
          <cell r="Q1401">
            <v>7864250.0384147875</v>
          </cell>
          <cell r="R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350</v>
          </cell>
          <cell r="AE1401" t="str">
            <v>CAGW</v>
          </cell>
          <cell r="AF1401" t="str">
            <v>350.CAGW</v>
          </cell>
        </row>
        <row r="1402">
          <cell r="A1402">
            <v>1402</v>
          </cell>
          <cell r="F1402">
            <v>8370406.054358732</v>
          </cell>
          <cell r="G1402">
            <v>0</v>
          </cell>
          <cell r="H1402">
            <v>8370406.054358732</v>
          </cell>
          <cell r="I1402">
            <v>0</v>
          </cell>
          <cell r="J1402">
            <v>0</v>
          </cell>
          <cell r="K1402">
            <v>0</v>
          </cell>
          <cell r="N1402">
            <v>0</v>
          </cell>
          <cell r="O1402">
            <v>0</v>
          </cell>
          <cell r="Q1402">
            <v>8370406.054358732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350</v>
          </cell>
          <cell r="AE1402" t="str">
            <v>NA</v>
          </cell>
          <cell r="AF1402" t="str">
            <v>350.NA1</v>
          </cell>
        </row>
        <row r="1403">
          <cell r="A1403">
            <v>1403</v>
          </cell>
          <cell r="AD1403">
            <v>350</v>
          </cell>
          <cell r="AE1403" t="str">
            <v>NA</v>
          </cell>
          <cell r="AF1403" t="str">
            <v>350.NA2</v>
          </cell>
        </row>
        <row r="1404">
          <cell r="A1404">
            <v>1404</v>
          </cell>
          <cell r="B1404">
            <v>352</v>
          </cell>
          <cell r="C1404" t="str">
            <v>Structures and Improvements</v>
          </cell>
          <cell r="AD1404">
            <v>352</v>
          </cell>
          <cell r="AE1404" t="str">
            <v>NA</v>
          </cell>
          <cell r="AF1404" t="str">
            <v>352.NA</v>
          </cell>
        </row>
        <row r="1405">
          <cell r="A1405">
            <v>1405</v>
          </cell>
          <cell r="D1405" t="str">
            <v>SG</v>
          </cell>
          <cell r="E1405" t="str">
            <v>T</v>
          </cell>
          <cell r="F1405">
            <v>247.41516141276875</v>
          </cell>
          <cell r="G1405">
            <v>0</v>
          </cell>
          <cell r="H1405">
            <v>247.41516141276875</v>
          </cell>
          <cell r="I1405">
            <v>0</v>
          </cell>
          <cell r="J1405">
            <v>0</v>
          </cell>
          <cell r="K1405">
            <v>0</v>
          </cell>
          <cell r="P1405">
            <v>1</v>
          </cell>
          <cell r="Q1405">
            <v>247.41516141276875</v>
          </cell>
          <cell r="R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D1405">
            <v>352</v>
          </cell>
          <cell r="AE1405" t="str">
            <v>SG</v>
          </cell>
          <cell r="AF1405" t="str">
            <v>352.SG</v>
          </cell>
        </row>
        <row r="1406">
          <cell r="A1406">
            <v>1406</v>
          </cell>
          <cell r="D1406" t="str">
            <v>JBG</v>
          </cell>
          <cell r="E1406" t="str">
            <v>T</v>
          </cell>
          <cell r="F1406">
            <v>360664.03703532042</v>
          </cell>
          <cell r="G1406">
            <v>0</v>
          </cell>
          <cell r="H1406">
            <v>360664.03703532042</v>
          </cell>
          <cell r="I1406">
            <v>0</v>
          </cell>
          <cell r="J1406">
            <v>0</v>
          </cell>
          <cell r="K1406">
            <v>0</v>
          </cell>
          <cell r="P1406">
            <v>1</v>
          </cell>
          <cell r="Q1406">
            <v>360664.03703532042</v>
          </cell>
          <cell r="R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352</v>
          </cell>
          <cell r="AE1406" t="str">
            <v>JBG</v>
          </cell>
          <cell r="AF1406" t="str">
            <v>352.JBG</v>
          </cell>
        </row>
        <row r="1407">
          <cell r="A1407">
            <v>1407</v>
          </cell>
          <cell r="D1407" t="str">
            <v>CAGW</v>
          </cell>
          <cell r="E1407" t="str">
            <v>T</v>
          </cell>
          <cell r="F1407">
            <v>15844396.694255963</v>
          </cell>
          <cell r="G1407">
            <v>0</v>
          </cell>
          <cell r="H1407">
            <v>15844396.694255963</v>
          </cell>
          <cell r="I1407">
            <v>0</v>
          </cell>
          <cell r="J1407">
            <v>0</v>
          </cell>
          <cell r="K1407">
            <v>0</v>
          </cell>
          <cell r="P1407">
            <v>1</v>
          </cell>
          <cell r="Q1407">
            <v>15844396.694255963</v>
          </cell>
          <cell r="R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352</v>
          </cell>
          <cell r="AE1407" t="str">
            <v>CAGW</v>
          </cell>
          <cell r="AF1407" t="str">
            <v>352.CAGW</v>
          </cell>
        </row>
        <row r="1408">
          <cell r="A1408">
            <v>1408</v>
          </cell>
          <cell r="D1408" t="str">
            <v>SG/CAGW</v>
          </cell>
          <cell r="E1408" t="str">
            <v>T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P1408">
            <v>1</v>
          </cell>
          <cell r="Q1408">
            <v>0</v>
          </cell>
          <cell r="R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352</v>
          </cell>
          <cell r="AE1408" t="str">
            <v>SG/CAGW</v>
          </cell>
          <cell r="AF1408" t="str">
            <v>352.SG/CAGW</v>
          </cell>
        </row>
        <row r="1409">
          <cell r="A1409">
            <v>1409</v>
          </cell>
          <cell r="F1409">
            <v>16205308.146452697</v>
          </cell>
          <cell r="G1409">
            <v>0</v>
          </cell>
          <cell r="H1409">
            <v>16205308.146452697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16205308.146452697</v>
          </cell>
          <cell r="R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352</v>
          </cell>
          <cell r="AE1409" t="str">
            <v>NA</v>
          </cell>
          <cell r="AF1409" t="str">
            <v>352.NA1</v>
          </cell>
        </row>
        <row r="1410">
          <cell r="A1410">
            <v>1410</v>
          </cell>
          <cell r="AD1410">
            <v>352</v>
          </cell>
          <cell r="AE1410" t="str">
            <v>NA</v>
          </cell>
          <cell r="AF1410" t="str">
            <v>352.NA2</v>
          </cell>
        </row>
        <row r="1411">
          <cell r="A1411">
            <v>1411</v>
          </cell>
          <cell r="B1411">
            <v>353</v>
          </cell>
          <cell r="C1411" t="str">
            <v>Station Equipment</v>
          </cell>
          <cell r="AD1411">
            <v>353</v>
          </cell>
          <cell r="AE1411" t="str">
            <v>NA</v>
          </cell>
          <cell r="AF1411" t="str">
            <v>353.NA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522698746.80871063</v>
          </cell>
          <cell r="G1412">
            <v>0</v>
          </cell>
          <cell r="H1412">
            <v>522698746.80871063</v>
          </cell>
          <cell r="I1412">
            <v>0</v>
          </cell>
          <cell r="J1412">
            <v>0</v>
          </cell>
          <cell r="K1412">
            <v>0</v>
          </cell>
          <cell r="P1412">
            <v>1</v>
          </cell>
          <cell r="Q1412">
            <v>522698746.80871063</v>
          </cell>
          <cell r="R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353</v>
          </cell>
          <cell r="AE1412" t="str">
            <v>SG</v>
          </cell>
          <cell r="AF1412" t="str">
            <v>353.SG</v>
          </cell>
        </row>
        <row r="1413">
          <cell r="A1413">
            <v>1413</v>
          </cell>
          <cell r="D1413" t="str">
            <v>JBG</v>
          </cell>
          <cell r="E1413" t="str">
            <v>T</v>
          </cell>
          <cell r="F1413">
            <v>-11206163.815496951</v>
          </cell>
          <cell r="G1413">
            <v>0</v>
          </cell>
          <cell r="H1413">
            <v>-11206163.815496951</v>
          </cell>
          <cell r="I1413">
            <v>0</v>
          </cell>
          <cell r="J1413">
            <v>0</v>
          </cell>
          <cell r="K1413">
            <v>0</v>
          </cell>
          <cell r="P1413">
            <v>1</v>
          </cell>
          <cell r="Q1413">
            <v>-11206163.815496951</v>
          </cell>
          <cell r="R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353</v>
          </cell>
          <cell r="AE1413" t="str">
            <v>JBG</v>
          </cell>
          <cell r="AF1413" t="str">
            <v>353.JBG</v>
          </cell>
        </row>
        <row r="1414">
          <cell r="A1414">
            <v>1414</v>
          </cell>
          <cell r="D1414" t="str">
            <v>CAGW</v>
          </cell>
          <cell r="E1414" t="str">
            <v>T</v>
          </cell>
          <cell r="F1414">
            <v>-233705021.11062804</v>
          </cell>
          <cell r="G1414">
            <v>0</v>
          </cell>
          <cell r="H1414">
            <v>-233705021.11062804</v>
          </cell>
          <cell r="I1414">
            <v>0</v>
          </cell>
          <cell r="J1414">
            <v>0</v>
          </cell>
          <cell r="K1414">
            <v>0</v>
          </cell>
          <cell r="P1414">
            <v>1</v>
          </cell>
          <cell r="Q1414">
            <v>-233705021.11062804</v>
          </cell>
          <cell r="R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353</v>
          </cell>
          <cell r="AE1414" t="str">
            <v>CAGW</v>
          </cell>
          <cell r="AF1414" t="str">
            <v>353.CAGW</v>
          </cell>
        </row>
        <row r="1415">
          <cell r="A1415">
            <v>1415</v>
          </cell>
          <cell r="F1415">
            <v>277787561.88258564</v>
          </cell>
          <cell r="G1415">
            <v>0</v>
          </cell>
          <cell r="H1415">
            <v>277787561.88258564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277787561.88258564</v>
          </cell>
          <cell r="R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353</v>
          </cell>
          <cell r="AE1415" t="str">
            <v>NA</v>
          </cell>
          <cell r="AF1415" t="str">
            <v>353.NA1</v>
          </cell>
        </row>
        <row r="1416">
          <cell r="A1416">
            <v>1416</v>
          </cell>
          <cell r="AD1416">
            <v>353</v>
          </cell>
          <cell r="AE1416" t="str">
            <v>NA</v>
          </cell>
          <cell r="AF1416" t="str">
            <v>353.NA2</v>
          </cell>
        </row>
        <row r="1417">
          <cell r="A1417">
            <v>1417</v>
          </cell>
          <cell r="B1417">
            <v>354</v>
          </cell>
          <cell r="C1417" t="str">
            <v>Towers and Fixtures</v>
          </cell>
          <cell r="AD1417">
            <v>354</v>
          </cell>
          <cell r="AE1417" t="str">
            <v>NA</v>
          </cell>
          <cell r="AF1417" t="str">
            <v>354.NA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9656.8610182530192</v>
          </cell>
          <cell r="G1418">
            <v>0</v>
          </cell>
          <cell r="H1418">
            <v>9656.8610182530192</v>
          </cell>
          <cell r="I1418">
            <v>0</v>
          </cell>
          <cell r="J1418">
            <v>0</v>
          </cell>
          <cell r="K1418">
            <v>0</v>
          </cell>
          <cell r="P1418">
            <v>1</v>
          </cell>
          <cell r="Q1418">
            <v>9656.8610182530192</v>
          </cell>
          <cell r="R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354</v>
          </cell>
          <cell r="AE1418" t="str">
            <v>SG</v>
          </cell>
          <cell r="AF1418" t="str">
            <v>354.SG</v>
          </cell>
        </row>
        <row r="1419">
          <cell r="A1419">
            <v>1419</v>
          </cell>
          <cell r="D1419" t="str">
            <v>JBG</v>
          </cell>
          <cell r="E1419" t="str">
            <v>T</v>
          </cell>
          <cell r="F1419">
            <v>6081943.2814179193</v>
          </cell>
          <cell r="G1419">
            <v>0</v>
          </cell>
          <cell r="H1419">
            <v>6081943.2814179193</v>
          </cell>
          <cell r="I1419">
            <v>0</v>
          </cell>
          <cell r="J1419">
            <v>0</v>
          </cell>
          <cell r="K1419">
            <v>0</v>
          </cell>
          <cell r="P1419">
            <v>1</v>
          </cell>
          <cell r="Q1419">
            <v>6081943.2814179193</v>
          </cell>
          <cell r="R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354</v>
          </cell>
          <cell r="AE1419" t="str">
            <v>JBG</v>
          </cell>
          <cell r="AF1419" t="str">
            <v>354.JBG</v>
          </cell>
        </row>
        <row r="1420">
          <cell r="A1420">
            <v>1420</v>
          </cell>
          <cell r="D1420" t="str">
            <v>CAGW</v>
          </cell>
          <cell r="E1420" t="str">
            <v>T</v>
          </cell>
          <cell r="F1420">
            <v>39873509.520668685</v>
          </cell>
          <cell r="G1420">
            <v>0</v>
          </cell>
          <cell r="H1420">
            <v>39873509.520668685</v>
          </cell>
          <cell r="I1420">
            <v>0</v>
          </cell>
          <cell r="J1420">
            <v>0</v>
          </cell>
          <cell r="K1420">
            <v>0</v>
          </cell>
          <cell r="P1420">
            <v>1</v>
          </cell>
          <cell r="Q1420">
            <v>39873509.520668685</v>
          </cell>
          <cell r="R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354</v>
          </cell>
          <cell r="AE1420" t="str">
            <v>CAGW</v>
          </cell>
          <cell r="AF1420" t="str">
            <v>354.CAGW</v>
          </cell>
        </row>
        <row r="1421">
          <cell r="A1421">
            <v>1421</v>
          </cell>
          <cell r="F1421">
            <v>45965109.663104855</v>
          </cell>
          <cell r="G1421">
            <v>0</v>
          </cell>
          <cell r="H1421">
            <v>45965109.663104855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45965109.663104855</v>
          </cell>
          <cell r="R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354</v>
          </cell>
          <cell r="AE1421" t="str">
            <v>NA</v>
          </cell>
          <cell r="AF1421" t="str">
            <v>354.NA1</v>
          </cell>
        </row>
        <row r="1422">
          <cell r="A1422">
            <v>1422</v>
          </cell>
          <cell r="AD1422">
            <v>354</v>
          </cell>
          <cell r="AE1422" t="str">
            <v>NA</v>
          </cell>
          <cell r="AF1422" t="str">
            <v>354.NA2</v>
          </cell>
        </row>
        <row r="1423">
          <cell r="A1423">
            <v>1423</v>
          </cell>
          <cell r="B1423">
            <v>355</v>
          </cell>
          <cell r="C1423" t="str">
            <v>Poles and Fixtures</v>
          </cell>
          <cell r="AD1423">
            <v>355</v>
          </cell>
          <cell r="AE1423" t="str">
            <v>NA</v>
          </cell>
          <cell r="AF1423" t="str">
            <v>355.NA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61082351.005096726</v>
          </cell>
          <cell r="G1424">
            <v>0</v>
          </cell>
          <cell r="H1424">
            <v>61082351.005096726</v>
          </cell>
          <cell r="I1424">
            <v>0</v>
          </cell>
          <cell r="J1424">
            <v>0</v>
          </cell>
          <cell r="K1424">
            <v>0</v>
          </cell>
          <cell r="P1424">
            <v>1</v>
          </cell>
          <cell r="Q1424">
            <v>61082351.005096726</v>
          </cell>
          <cell r="R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355</v>
          </cell>
          <cell r="AE1424" t="str">
            <v>SG</v>
          </cell>
          <cell r="AF1424" t="str">
            <v>355.SG</v>
          </cell>
        </row>
        <row r="1425">
          <cell r="A1425">
            <v>1425</v>
          </cell>
          <cell r="D1425" t="str">
            <v>JBG</v>
          </cell>
          <cell r="E1425" t="str">
            <v>T</v>
          </cell>
          <cell r="F1425">
            <v>76336.275216255221</v>
          </cell>
          <cell r="G1425">
            <v>0</v>
          </cell>
          <cell r="H1425">
            <v>76336.275216255221</v>
          </cell>
          <cell r="I1425">
            <v>0</v>
          </cell>
          <cell r="J1425">
            <v>0</v>
          </cell>
          <cell r="K1425">
            <v>0</v>
          </cell>
          <cell r="P1425">
            <v>1</v>
          </cell>
          <cell r="Q1425">
            <v>76336.275216255221</v>
          </cell>
          <cell r="R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355</v>
          </cell>
          <cell r="AE1425" t="str">
            <v>JBG</v>
          </cell>
          <cell r="AF1425" t="str">
            <v>355.JBG</v>
          </cell>
        </row>
        <row r="1426">
          <cell r="A1426">
            <v>1426</v>
          </cell>
          <cell r="D1426" t="str">
            <v>CAGW</v>
          </cell>
          <cell r="E1426" t="str">
            <v>T</v>
          </cell>
          <cell r="F1426">
            <v>96243371.596084625</v>
          </cell>
          <cell r="G1426">
            <v>0</v>
          </cell>
          <cell r="H1426">
            <v>96243371.596084625</v>
          </cell>
          <cell r="I1426">
            <v>0</v>
          </cell>
          <cell r="J1426">
            <v>0</v>
          </cell>
          <cell r="K1426">
            <v>0</v>
          </cell>
          <cell r="P1426">
            <v>1</v>
          </cell>
          <cell r="Q1426">
            <v>96243371.596084625</v>
          </cell>
          <cell r="R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355</v>
          </cell>
          <cell r="AE1426" t="str">
            <v>CAGW</v>
          </cell>
          <cell r="AF1426" t="str">
            <v>355.CAGW</v>
          </cell>
        </row>
        <row r="1427">
          <cell r="A1427">
            <v>1427</v>
          </cell>
          <cell r="D1427" t="str">
            <v>SG/CAGW</v>
          </cell>
          <cell r="E1427" t="str">
            <v>T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P1427">
            <v>1</v>
          </cell>
          <cell r="Q1427">
            <v>0</v>
          </cell>
          <cell r="R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355</v>
          </cell>
          <cell r="AE1427" t="str">
            <v>SG/CAGW</v>
          </cell>
          <cell r="AF1427" t="str">
            <v>355.SG/CAGW</v>
          </cell>
        </row>
        <row r="1428">
          <cell r="A1428">
            <v>1428</v>
          </cell>
          <cell r="F1428">
            <v>157402058.87639761</v>
          </cell>
          <cell r="G1428">
            <v>0</v>
          </cell>
          <cell r="H1428">
            <v>157402058.87639761</v>
          </cell>
          <cell r="I1428">
            <v>0</v>
          </cell>
          <cell r="J1428">
            <v>0</v>
          </cell>
          <cell r="K1428">
            <v>0</v>
          </cell>
          <cell r="N1428">
            <v>0</v>
          </cell>
          <cell r="O1428">
            <v>0</v>
          </cell>
          <cell r="Q1428">
            <v>157402058.87639761</v>
          </cell>
          <cell r="R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D1428">
            <v>355</v>
          </cell>
          <cell r="AE1428" t="str">
            <v>NA</v>
          </cell>
          <cell r="AF1428" t="str">
            <v>355.NA1</v>
          </cell>
        </row>
        <row r="1429">
          <cell r="A1429">
            <v>1429</v>
          </cell>
          <cell r="AD1429">
            <v>355</v>
          </cell>
          <cell r="AE1429" t="str">
            <v>NA</v>
          </cell>
          <cell r="AF1429" t="str">
            <v>355.NA2</v>
          </cell>
        </row>
        <row r="1430">
          <cell r="A1430">
            <v>1430</v>
          </cell>
          <cell r="B1430">
            <v>356</v>
          </cell>
          <cell r="C1430" t="str">
            <v>Clearing and Grading</v>
          </cell>
          <cell r="AD1430">
            <v>356</v>
          </cell>
          <cell r="AE1430" t="str">
            <v>NA</v>
          </cell>
          <cell r="AF1430" t="str">
            <v>356.NA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117945.30028124209</v>
          </cell>
          <cell r="G1431">
            <v>0</v>
          </cell>
          <cell r="H1431">
            <v>117945.30028124209</v>
          </cell>
          <cell r="I1431">
            <v>0</v>
          </cell>
          <cell r="J1431">
            <v>0</v>
          </cell>
          <cell r="K1431">
            <v>0</v>
          </cell>
          <cell r="P1431">
            <v>1</v>
          </cell>
          <cell r="Q1431">
            <v>117945.30028124209</v>
          </cell>
          <cell r="R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356</v>
          </cell>
          <cell r="AE1431" t="str">
            <v>SG</v>
          </cell>
          <cell r="AF1431" t="str">
            <v>356.SG</v>
          </cell>
        </row>
        <row r="1432">
          <cell r="A1432">
            <v>1432</v>
          </cell>
          <cell r="D1432" t="str">
            <v>JBG</v>
          </cell>
          <cell r="E1432" t="str">
            <v>T</v>
          </cell>
          <cell r="F1432">
            <v>4187841.9751599776</v>
          </cell>
          <cell r="G1432">
            <v>0</v>
          </cell>
          <cell r="H1432">
            <v>4187841.9751599776</v>
          </cell>
          <cell r="I1432">
            <v>0</v>
          </cell>
          <cell r="J1432">
            <v>0</v>
          </cell>
          <cell r="K1432">
            <v>0</v>
          </cell>
          <cell r="P1432">
            <v>1</v>
          </cell>
          <cell r="Q1432">
            <v>4187841.9751599776</v>
          </cell>
          <cell r="R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356</v>
          </cell>
          <cell r="AE1432" t="str">
            <v>JBG</v>
          </cell>
          <cell r="AF1432" t="str">
            <v>356.JBG</v>
          </cell>
        </row>
        <row r="1433">
          <cell r="A1433">
            <v>1433</v>
          </cell>
          <cell r="D1433" t="str">
            <v>CAGW</v>
          </cell>
          <cell r="E1433" t="str">
            <v>T</v>
          </cell>
          <cell r="F1433">
            <v>72195855.998822495</v>
          </cell>
          <cell r="G1433">
            <v>0</v>
          </cell>
          <cell r="H1433">
            <v>72195855.998822495</v>
          </cell>
          <cell r="I1433">
            <v>0</v>
          </cell>
          <cell r="J1433">
            <v>0</v>
          </cell>
          <cell r="K1433">
            <v>0</v>
          </cell>
          <cell r="P1433">
            <v>1</v>
          </cell>
          <cell r="Q1433">
            <v>72195855.998822495</v>
          </cell>
          <cell r="R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356</v>
          </cell>
          <cell r="AE1433" t="str">
            <v>CAGW</v>
          </cell>
          <cell r="AF1433" t="str">
            <v>356.CAGW</v>
          </cell>
        </row>
        <row r="1434">
          <cell r="A1434">
            <v>1434</v>
          </cell>
          <cell r="F1434">
            <v>76501643.27426371</v>
          </cell>
          <cell r="G1434">
            <v>0</v>
          </cell>
          <cell r="H1434">
            <v>76501643.27426371</v>
          </cell>
          <cell r="I1434">
            <v>0</v>
          </cell>
          <cell r="J1434">
            <v>0</v>
          </cell>
          <cell r="K1434">
            <v>0</v>
          </cell>
          <cell r="N1434">
            <v>0</v>
          </cell>
          <cell r="O1434">
            <v>0</v>
          </cell>
          <cell r="Q1434">
            <v>76501643.27426371</v>
          </cell>
          <cell r="R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D1434">
            <v>356</v>
          </cell>
          <cell r="AE1434" t="str">
            <v>NA</v>
          </cell>
          <cell r="AF1434" t="str">
            <v>356.NA1</v>
          </cell>
        </row>
        <row r="1435">
          <cell r="A1435">
            <v>1435</v>
          </cell>
          <cell r="AD1435">
            <v>356</v>
          </cell>
          <cell r="AE1435" t="str">
            <v>NA</v>
          </cell>
          <cell r="AF1435" t="str">
            <v>356.NA2</v>
          </cell>
        </row>
        <row r="1436">
          <cell r="A1436">
            <v>1436</v>
          </cell>
          <cell r="B1436">
            <v>357</v>
          </cell>
          <cell r="C1436" t="str">
            <v>Underground Conduit</v>
          </cell>
          <cell r="AD1436">
            <v>357</v>
          </cell>
          <cell r="AE1436" t="str">
            <v>NA</v>
          </cell>
          <cell r="AF1436" t="str">
            <v>357.NA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P1437">
            <v>1</v>
          </cell>
          <cell r="Q1437">
            <v>0</v>
          </cell>
          <cell r="R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357</v>
          </cell>
          <cell r="AE1437" t="str">
            <v>SG</v>
          </cell>
          <cell r="AF1437" t="str">
            <v>357.SG</v>
          </cell>
        </row>
        <row r="1438">
          <cell r="A1438">
            <v>1438</v>
          </cell>
          <cell r="D1438" t="str">
            <v>JBG</v>
          </cell>
          <cell r="E1438" t="str">
            <v>T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P1438">
            <v>1</v>
          </cell>
          <cell r="Q1438">
            <v>0</v>
          </cell>
          <cell r="R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357</v>
          </cell>
          <cell r="AE1438" t="str">
            <v>JBG</v>
          </cell>
          <cell r="AF1438" t="str">
            <v>357.JBG</v>
          </cell>
        </row>
        <row r="1439">
          <cell r="A1439">
            <v>1439</v>
          </cell>
          <cell r="D1439" t="str">
            <v>CAGW</v>
          </cell>
          <cell r="E1439" t="str">
            <v>T</v>
          </cell>
          <cell r="F1439">
            <v>95169.4819133087</v>
          </cell>
          <cell r="G1439">
            <v>0</v>
          </cell>
          <cell r="H1439">
            <v>95169.4819133087</v>
          </cell>
          <cell r="I1439">
            <v>0</v>
          </cell>
          <cell r="J1439">
            <v>0</v>
          </cell>
          <cell r="K1439">
            <v>0</v>
          </cell>
          <cell r="P1439">
            <v>1</v>
          </cell>
          <cell r="Q1439">
            <v>95169.4819133087</v>
          </cell>
          <cell r="R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357</v>
          </cell>
          <cell r="AE1439" t="str">
            <v>CAGW</v>
          </cell>
          <cell r="AF1439" t="str">
            <v>357.CAGW</v>
          </cell>
        </row>
        <row r="1440">
          <cell r="A1440">
            <v>1440</v>
          </cell>
          <cell r="F1440">
            <v>95169.4819133087</v>
          </cell>
          <cell r="G1440">
            <v>0</v>
          </cell>
          <cell r="H1440">
            <v>95169.4819133087</v>
          </cell>
          <cell r="I1440">
            <v>0</v>
          </cell>
          <cell r="J1440">
            <v>0</v>
          </cell>
          <cell r="K1440">
            <v>0</v>
          </cell>
          <cell r="N1440">
            <v>0</v>
          </cell>
          <cell r="O1440">
            <v>0</v>
          </cell>
          <cell r="Q1440">
            <v>95169.4819133087</v>
          </cell>
          <cell r="R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D1440">
            <v>357</v>
          </cell>
          <cell r="AE1440" t="str">
            <v>NA</v>
          </cell>
          <cell r="AF1440" t="str">
            <v>357.NA1</v>
          </cell>
        </row>
        <row r="1441">
          <cell r="A1441">
            <v>1441</v>
          </cell>
          <cell r="AD1441">
            <v>357</v>
          </cell>
          <cell r="AE1441" t="str">
            <v>NA</v>
          </cell>
          <cell r="AF1441" t="str">
            <v>357.NA2</v>
          </cell>
        </row>
        <row r="1442">
          <cell r="A1442">
            <v>1442</v>
          </cell>
          <cell r="B1442">
            <v>358</v>
          </cell>
          <cell r="C1442" t="str">
            <v xml:space="preserve">Underground Conductors </v>
          </cell>
          <cell r="AD1442">
            <v>358</v>
          </cell>
          <cell r="AE1442" t="str">
            <v>NA</v>
          </cell>
          <cell r="AF1442" t="str">
            <v>358.NA</v>
          </cell>
        </row>
        <row r="1443">
          <cell r="A1443">
            <v>1443</v>
          </cell>
          <cell r="D1443" t="str">
            <v>SG</v>
          </cell>
          <cell r="E1443" t="str">
            <v>T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P1443">
            <v>1</v>
          </cell>
          <cell r="Q1443">
            <v>0</v>
          </cell>
          <cell r="R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>
            <v>358</v>
          </cell>
          <cell r="AE1443" t="str">
            <v>SG</v>
          </cell>
          <cell r="AF1443" t="str">
            <v>358.SG</v>
          </cell>
        </row>
        <row r="1444">
          <cell r="A1444">
            <v>1444</v>
          </cell>
          <cell r="D1444" t="str">
            <v>JBG</v>
          </cell>
          <cell r="E1444" t="str">
            <v>T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P1444">
            <v>1</v>
          </cell>
          <cell r="Q1444">
            <v>0</v>
          </cell>
          <cell r="R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D1444">
            <v>358</v>
          </cell>
          <cell r="AE1444" t="str">
            <v>JBG</v>
          </cell>
          <cell r="AF1444" t="str">
            <v>358.JBG</v>
          </cell>
        </row>
        <row r="1445">
          <cell r="A1445">
            <v>1445</v>
          </cell>
          <cell r="D1445" t="str">
            <v>CAGW</v>
          </cell>
          <cell r="E1445" t="str">
            <v>T</v>
          </cell>
          <cell r="F1445">
            <v>66147.521128439505</v>
          </cell>
          <cell r="G1445">
            <v>0</v>
          </cell>
          <cell r="H1445">
            <v>66147.521128439505</v>
          </cell>
          <cell r="I1445">
            <v>0</v>
          </cell>
          <cell r="J1445">
            <v>0</v>
          </cell>
          <cell r="K1445">
            <v>0</v>
          </cell>
          <cell r="P1445">
            <v>1</v>
          </cell>
          <cell r="Q1445">
            <v>66147.521128439505</v>
          </cell>
          <cell r="R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D1445">
            <v>358</v>
          </cell>
          <cell r="AE1445" t="str">
            <v>CAGW</v>
          </cell>
          <cell r="AF1445" t="str">
            <v>358.CAGW</v>
          </cell>
        </row>
        <row r="1446">
          <cell r="A1446">
            <v>1446</v>
          </cell>
          <cell r="F1446">
            <v>66147.521128439505</v>
          </cell>
          <cell r="G1446">
            <v>0</v>
          </cell>
          <cell r="H1446">
            <v>66147.521128439505</v>
          </cell>
          <cell r="I1446">
            <v>0</v>
          </cell>
          <cell r="J1446">
            <v>0</v>
          </cell>
          <cell r="K1446">
            <v>0</v>
          </cell>
          <cell r="N1446">
            <v>0</v>
          </cell>
          <cell r="O1446">
            <v>0</v>
          </cell>
          <cell r="Q1446">
            <v>66147.521128439505</v>
          </cell>
          <cell r="R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>
            <v>358</v>
          </cell>
          <cell r="AE1446" t="str">
            <v>NA</v>
          </cell>
          <cell r="AF1446" t="str">
            <v>358.NA1</v>
          </cell>
        </row>
        <row r="1447">
          <cell r="A1447">
            <v>1447</v>
          </cell>
          <cell r="AD1447">
            <v>358</v>
          </cell>
          <cell r="AE1447" t="str">
            <v>NA</v>
          </cell>
          <cell r="AF1447" t="str">
            <v>358.NA2</v>
          </cell>
        </row>
        <row r="1448">
          <cell r="A1448">
            <v>1448</v>
          </cell>
          <cell r="B1448">
            <v>359</v>
          </cell>
          <cell r="C1448" t="str">
            <v>Roads and Trails</v>
          </cell>
          <cell r="AD1448">
            <v>359</v>
          </cell>
          <cell r="AE1448" t="str">
            <v>NA</v>
          </cell>
          <cell r="AF1448" t="str">
            <v>359.NA</v>
          </cell>
        </row>
        <row r="1449">
          <cell r="A1449">
            <v>1449</v>
          </cell>
          <cell r="D1449" t="str">
            <v>SG</v>
          </cell>
          <cell r="E1449" t="str">
            <v>T</v>
          </cell>
          <cell r="F1449">
            <v>1240.6384516620847</v>
          </cell>
          <cell r="G1449">
            <v>0</v>
          </cell>
          <cell r="H1449">
            <v>1240.6384516620847</v>
          </cell>
          <cell r="I1449">
            <v>0</v>
          </cell>
          <cell r="J1449">
            <v>0</v>
          </cell>
          <cell r="K1449">
            <v>0</v>
          </cell>
          <cell r="P1449">
            <v>1</v>
          </cell>
          <cell r="Q1449">
            <v>1240.6384516620847</v>
          </cell>
          <cell r="R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>
            <v>359</v>
          </cell>
          <cell r="AE1449" t="str">
            <v>SG</v>
          </cell>
          <cell r="AF1449" t="str">
            <v>359.SG</v>
          </cell>
        </row>
        <row r="1450">
          <cell r="A1450">
            <v>1450</v>
          </cell>
          <cell r="D1450" t="str">
            <v>JBG</v>
          </cell>
          <cell r="E1450" t="str">
            <v>T</v>
          </cell>
          <cell r="F1450">
            <v>1063.6239820266128</v>
          </cell>
          <cell r="G1450">
            <v>0</v>
          </cell>
          <cell r="H1450">
            <v>1063.6239820266128</v>
          </cell>
          <cell r="I1450">
            <v>0</v>
          </cell>
          <cell r="J1450">
            <v>0</v>
          </cell>
          <cell r="K1450">
            <v>0</v>
          </cell>
          <cell r="P1450">
            <v>1</v>
          </cell>
          <cell r="Q1450">
            <v>1063.6239820266128</v>
          </cell>
          <cell r="R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D1450">
            <v>359</v>
          </cell>
          <cell r="AE1450" t="str">
            <v>JBG</v>
          </cell>
          <cell r="AF1450" t="str">
            <v>359.JBG</v>
          </cell>
        </row>
        <row r="1451">
          <cell r="A1451">
            <v>1451</v>
          </cell>
          <cell r="D1451" t="str">
            <v>CAGW</v>
          </cell>
          <cell r="E1451" t="str">
            <v>T</v>
          </cell>
          <cell r="F1451">
            <v>1522320.2593396679</v>
          </cell>
          <cell r="G1451">
            <v>0</v>
          </cell>
          <cell r="H1451">
            <v>1522320.2593396679</v>
          </cell>
          <cell r="I1451">
            <v>0</v>
          </cell>
          <cell r="J1451">
            <v>0</v>
          </cell>
          <cell r="K1451">
            <v>0</v>
          </cell>
          <cell r="P1451">
            <v>1</v>
          </cell>
          <cell r="Q1451">
            <v>1522320.2593396679</v>
          </cell>
          <cell r="R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D1451">
            <v>359</v>
          </cell>
          <cell r="AE1451" t="str">
            <v>CAGW</v>
          </cell>
          <cell r="AF1451" t="str">
            <v>359.CAGW</v>
          </cell>
        </row>
        <row r="1452">
          <cell r="A1452">
            <v>1452</v>
          </cell>
          <cell r="F1452">
            <v>1524624.5217733565</v>
          </cell>
          <cell r="G1452">
            <v>0</v>
          </cell>
          <cell r="H1452">
            <v>1524624.5217733565</v>
          </cell>
          <cell r="I1452">
            <v>0</v>
          </cell>
          <cell r="J1452">
            <v>0</v>
          </cell>
          <cell r="K1452">
            <v>0</v>
          </cell>
          <cell r="N1452">
            <v>0</v>
          </cell>
          <cell r="O1452">
            <v>0</v>
          </cell>
          <cell r="Q1452">
            <v>1524624.5217733565</v>
          </cell>
          <cell r="R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359</v>
          </cell>
          <cell r="AE1452" t="str">
            <v>NA</v>
          </cell>
          <cell r="AF1452" t="str">
            <v>359.NA1</v>
          </cell>
        </row>
        <row r="1453">
          <cell r="A1453">
            <v>1453</v>
          </cell>
          <cell r="AD1453">
            <v>359</v>
          </cell>
          <cell r="AE1453" t="str">
            <v>NA</v>
          </cell>
          <cell r="AF1453" t="str">
            <v>359.NA2</v>
          </cell>
        </row>
        <row r="1454">
          <cell r="A1454">
            <v>1454</v>
          </cell>
          <cell r="B1454" t="str">
            <v>TP</v>
          </cell>
          <cell r="C1454" t="str">
            <v>Unclassified Trans Plant - Acct 300</v>
          </cell>
          <cell r="AD1454" t="str">
            <v>TP</v>
          </cell>
          <cell r="AE1454" t="str">
            <v>NA</v>
          </cell>
          <cell r="AF1454" t="str">
            <v>TP.NA</v>
          </cell>
        </row>
        <row r="1455">
          <cell r="A1455">
            <v>1455</v>
          </cell>
          <cell r="D1455" t="str">
            <v>CAGW</v>
          </cell>
          <cell r="E1455" t="str">
            <v>T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P1455">
            <v>1</v>
          </cell>
          <cell r="Q1455">
            <v>0</v>
          </cell>
          <cell r="R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D1455" t="str">
            <v>TP</v>
          </cell>
          <cell r="AE1455" t="str">
            <v>CAGW</v>
          </cell>
          <cell r="AF1455" t="str">
            <v>TP.CAGW</v>
          </cell>
        </row>
        <row r="1456">
          <cell r="A1456">
            <v>1456</v>
          </cell>
          <cell r="D1456" t="str">
            <v>SG</v>
          </cell>
          <cell r="E1456" t="str">
            <v>T</v>
          </cell>
          <cell r="F1456">
            <v>8470059.1607269756</v>
          </cell>
          <cell r="G1456">
            <v>0</v>
          </cell>
          <cell r="H1456">
            <v>8470059.1607269756</v>
          </cell>
          <cell r="I1456">
            <v>0</v>
          </cell>
          <cell r="J1456">
            <v>0</v>
          </cell>
          <cell r="K1456">
            <v>0</v>
          </cell>
          <cell r="P1456">
            <v>1</v>
          </cell>
          <cell r="Q1456">
            <v>8470059.1607269756</v>
          </cell>
          <cell r="R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 t="str">
            <v>TP</v>
          </cell>
          <cell r="AE1456" t="str">
            <v>SG</v>
          </cell>
          <cell r="AF1456" t="str">
            <v>TP.SG</v>
          </cell>
        </row>
        <row r="1457">
          <cell r="A1457">
            <v>1457</v>
          </cell>
          <cell r="F1457">
            <v>8470059.1607269756</v>
          </cell>
          <cell r="G1457">
            <v>0</v>
          </cell>
          <cell r="H1457">
            <v>8470059.1607269756</v>
          </cell>
          <cell r="I1457">
            <v>0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8470059.1607269756</v>
          </cell>
          <cell r="R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 t="str">
            <v>TP</v>
          </cell>
          <cell r="AE1457" t="str">
            <v>NA</v>
          </cell>
          <cell r="AF1457" t="str">
            <v>TP.NA1</v>
          </cell>
        </row>
        <row r="1458">
          <cell r="A1458">
            <v>1458</v>
          </cell>
          <cell r="AD1458" t="str">
            <v>TP</v>
          </cell>
          <cell r="AE1458" t="str">
            <v>NA</v>
          </cell>
          <cell r="AF1458" t="str">
            <v>TP.NA2</v>
          </cell>
        </row>
        <row r="1459">
          <cell r="A1459">
            <v>1459</v>
          </cell>
          <cell r="B1459" t="str">
            <v>TS0</v>
          </cell>
          <cell r="C1459" t="str">
            <v>Unclassified Trans Sub Plant - Acct 300</v>
          </cell>
          <cell r="AD1459" t="str">
            <v>TS0</v>
          </cell>
          <cell r="AE1459" t="str">
            <v>NA</v>
          </cell>
          <cell r="AF1459" t="str">
            <v>TS0.NA</v>
          </cell>
        </row>
        <row r="1460">
          <cell r="A1460">
            <v>1460</v>
          </cell>
          <cell r="D1460" t="str">
            <v>SG</v>
          </cell>
          <cell r="E1460" t="str">
            <v>T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P1460">
            <v>1</v>
          </cell>
          <cell r="Q1460">
            <v>0</v>
          </cell>
          <cell r="R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 t="str">
            <v>TS0</v>
          </cell>
          <cell r="AE1460" t="str">
            <v>SG</v>
          </cell>
          <cell r="AF1460" t="str">
            <v>TS0.SG</v>
          </cell>
        </row>
        <row r="1461">
          <cell r="A1461">
            <v>1461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 t="str">
            <v>TS0</v>
          </cell>
          <cell r="AE1461" t="str">
            <v>NA</v>
          </cell>
          <cell r="AF1461" t="str">
            <v>TS0.NA1</v>
          </cell>
        </row>
        <row r="1462">
          <cell r="A1462">
            <v>1462</v>
          </cell>
          <cell r="AD1462" t="str">
            <v>TS0</v>
          </cell>
          <cell r="AE1462" t="str">
            <v>NA</v>
          </cell>
          <cell r="AF1462" t="str">
            <v>TS0.NA2</v>
          </cell>
        </row>
        <row r="1463">
          <cell r="A1463">
            <v>1463</v>
          </cell>
          <cell r="B1463" t="str">
            <v>TOTAL TRANSMISSION PLANT</v>
          </cell>
          <cell r="F1463">
            <v>592388088.58270538</v>
          </cell>
          <cell r="G1463">
            <v>0</v>
          </cell>
          <cell r="H1463">
            <v>592388088.58270538</v>
          </cell>
          <cell r="I1463">
            <v>0</v>
          </cell>
          <cell r="J1463">
            <v>0</v>
          </cell>
          <cell r="K1463">
            <v>0</v>
          </cell>
          <cell r="N1463">
            <v>0</v>
          </cell>
          <cell r="O1463">
            <v>0</v>
          </cell>
          <cell r="Q1463">
            <v>592388088.58270538</v>
          </cell>
          <cell r="R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D1463" t="str">
            <v>TOTAL TRANSMISSION PLANT</v>
          </cell>
          <cell r="AE1463" t="str">
            <v>NA</v>
          </cell>
          <cell r="AF1463" t="str">
            <v>TOTAL TRANSMISSION PLANT.NA</v>
          </cell>
        </row>
        <row r="1464">
          <cell r="A1464">
            <v>1464</v>
          </cell>
          <cell r="AD1464" t="str">
            <v>TOTAL TRANSMISSION PLANT</v>
          </cell>
          <cell r="AE1464" t="str">
            <v>NA</v>
          </cell>
          <cell r="AF1464" t="str">
            <v>TOTAL TRANSMISSION PLANT.NA1</v>
          </cell>
        </row>
        <row r="1465">
          <cell r="A1465">
            <v>1465</v>
          </cell>
          <cell r="B1465">
            <v>360</v>
          </cell>
          <cell r="C1465" t="str">
            <v>Land and Land Rights</v>
          </cell>
          <cell r="AD1465">
            <v>360</v>
          </cell>
          <cell r="AE1465" t="str">
            <v>NA</v>
          </cell>
          <cell r="AF1465" t="str">
            <v>360.NA</v>
          </cell>
        </row>
        <row r="1466">
          <cell r="A1466">
            <v>1466</v>
          </cell>
          <cell r="AD1466">
            <v>360</v>
          </cell>
          <cell r="AE1466" t="str">
            <v>NA</v>
          </cell>
          <cell r="AF1466" t="str">
            <v>360.NA1</v>
          </cell>
        </row>
        <row r="1467">
          <cell r="A1467">
            <v>1467</v>
          </cell>
          <cell r="C1467" t="str">
            <v>Demand - Primary</v>
          </cell>
          <cell r="D1467" t="str">
            <v>S1</v>
          </cell>
          <cell r="E1467" t="str">
            <v>DPW</v>
          </cell>
          <cell r="F1467">
            <v>2118954.9007960064</v>
          </cell>
          <cell r="G1467">
            <v>0</v>
          </cell>
          <cell r="H1467">
            <v>0</v>
          </cell>
          <cell r="I1467">
            <v>2118954.9007960064</v>
          </cell>
          <cell r="J1467">
            <v>0</v>
          </cell>
          <cell r="K1467">
            <v>0</v>
          </cell>
          <cell r="S1467" t="str">
            <v>PLNT2</v>
          </cell>
          <cell r="T1467">
            <v>512484.23389784311</v>
          </cell>
          <cell r="U1467">
            <v>1606470.6668981635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D1467">
            <v>360</v>
          </cell>
          <cell r="AE1467" t="str">
            <v>S1</v>
          </cell>
          <cell r="AF1467" t="str">
            <v>360.S1</v>
          </cell>
        </row>
        <row r="1468">
          <cell r="A1468">
            <v>1468</v>
          </cell>
          <cell r="D1468" t="str">
            <v xml:space="preserve">   Assigned</v>
          </cell>
          <cell r="E1468" t="str">
            <v>DPW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S1468" t="str">
            <v>PLNT2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360</v>
          </cell>
          <cell r="AE1468" t="str">
            <v xml:space="preserve">   Assigned</v>
          </cell>
          <cell r="AF1468" t="str">
            <v>360.   Assigned</v>
          </cell>
        </row>
        <row r="1469">
          <cell r="A1469">
            <v>1469</v>
          </cell>
          <cell r="F1469">
            <v>2118954.9007960064</v>
          </cell>
          <cell r="G1469">
            <v>0</v>
          </cell>
          <cell r="H1469">
            <v>0</v>
          </cell>
          <cell r="I1469">
            <v>2118954.9007960064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512484.23389784311</v>
          </cell>
          <cell r="U1469">
            <v>1606470.6668981635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360</v>
          </cell>
          <cell r="AE1469" t="str">
            <v>NA</v>
          </cell>
          <cell r="AF1469" t="str">
            <v>360.NA2</v>
          </cell>
        </row>
        <row r="1470">
          <cell r="A1470">
            <v>1470</v>
          </cell>
          <cell r="AD1470">
            <v>360</v>
          </cell>
          <cell r="AE1470" t="str">
            <v>NA</v>
          </cell>
          <cell r="AF1470" t="str">
            <v>360.NA3</v>
          </cell>
        </row>
        <row r="1471">
          <cell r="A1471">
            <v>1471</v>
          </cell>
          <cell r="B1471">
            <v>361</v>
          </cell>
          <cell r="C1471" t="str">
            <v>Structures and Improvements</v>
          </cell>
          <cell r="AD1471">
            <v>361</v>
          </cell>
          <cell r="AE1471" t="str">
            <v>NA</v>
          </cell>
          <cell r="AF1471" t="str">
            <v>361.NA</v>
          </cell>
        </row>
        <row r="1472">
          <cell r="A1472">
            <v>1472</v>
          </cell>
          <cell r="AD1472">
            <v>361</v>
          </cell>
          <cell r="AE1472" t="str">
            <v>NA</v>
          </cell>
          <cell r="AF1472" t="str">
            <v>361.NA1</v>
          </cell>
        </row>
        <row r="1473">
          <cell r="A1473">
            <v>1473</v>
          </cell>
          <cell r="C1473" t="str">
            <v>Demand - Primary</v>
          </cell>
          <cell r="D1473" t="str">
            <v>S1</v>
          </cell>
          <cell r="E1473" t="str">
            <v>DPW</v>
          </cell>
          <cell r="F1473">
            <v>6594538.2045789845</v>
          </cell>
          <cell r="G1473">
            <v>0</v>
          </cell>
          <cell r="H1473">
            <v>0</v>
          </cell>
          <cell r="I1473">
            <v>6594538.2045789845</v>
          </cell>
          <cell r="J1473">
            <v>0</v>
          </cell>
          <cell r="K1473">
            <v>0</v>
          </cell>
          <cell r="S1473" t="str">
            <v>PLNT2</v>
          </cell>
          <cell r="T1473">
            <v>1594935.7196862188</v>
          </cell>
          <cell r="U1473">
            <v>4999602.484892766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361</v>
          </cell>
          <cell r="AE1473" t="str">
            <v>S1</v>
          </cell>
          <cell r="AF1473" t="str">
            <v>361.S1</v>
          </cell>
        </row>
        <row r="1474">
          <cell r="A1474">
            <v>1474</v>
          </cell>
          <cell r="D1474" t="str">
            <v xml:space="preserve">   Assigned</v>
          </cell>
          <cell r="E1474" t="str">
            <v>DPW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S1474" t="str">
            <v>PLNT2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D1474">
            <v>361</v>
          </cell>
          <cell r="AE1474" t="str">
            <v xml:space="preserve">   Assigned</v>
          </cell>
          <cell r="AF1474" t="str">
            <v>361.   Assigned</v>
          </cell>
        </row>
        <row r="1475">
          <cell r="A1475">
            <v>1475</v>
          </cell>
          <cell r="F1475">
            <v>6594538.2045789845</v>
          </cell>
          <cell r="G1475">
            <v>0</v>
          </cell>
          <cell r="H1475">
            <v>0</v>
          </cell>
          <cell r="I1475">
            <v>6594538.2045789845</v>
          </cell>
          <cell r="J1475">
            <v>0</v>
          </cell>
          <cell r="K1475">
            <v>0</v>
          </cell>
          <cell r="N1475">
            <v>0</v>
          </cell>
          <cell r="O1475">
            <v>0</v>
          </cell>
          <cell r="Q1475">
            <v>0</v>
          </cell>
          <cell r="R1475">
            <v>0</v>
          </cell>
          <cell r="T1475">
            <v>1594935.7196862188</v>
          </cell>
          <cell r="U1475">
            <v>4999602.484892766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361</v>
          </cell>
          <cell r="AE1475" t="str">
            <v>NA</v>
          </cell>
          <cell r="AF1475" t="str">
            <v>361.NA2</v>
          </cell>
        </row>
        <row r="1476">
          <cell r="A1476">
            <v>1476</v>
          </cell>
          <cell r="AD1476">
            <v>361</v>
          </cell>
          <cell r="AE1476" t="str">
            <v>NA</v>
          </cell>
          <cell r="AF1476" t="str">
            <v>361.NA3</v>
          </cell>
        </row>
        <row r="1477">
          <cell r="A1477">
            <v>1477</v>
          </cell>
          <cell r="B1477">
            <v>362</v>
          </cell>
          <cell r="C1477" t="str">
            <v>Station Equipment</v>
          </cell>
          <cell r="AD1477">
            <v>362</v>
          </cell>
          <cell r="AE1477" t="str">
            <v>NA</v>
          </cell>
          <cell r="AF1477" t="str">
            <v>362.NA</v>
          </cell>
        </row>
        <row r="1478">
          <cell r="A1478">
            <v>1478</v>
          </cell>
          <cell r="AD1478">
            <v>362</v>
          </cell>
          <cell r="AE1478" t="str">
            <v>NA</v>
          </cell>
          <cell r="AF1478" t="str">
            <v>362.NA1</v>
          </cell>
        </row>
        <row r="1479">
          <cell r="A1479">
            <v>1479</v>
          </cell>
          <cell r="C1479" t="str">
            <v>Demand - Primary</v>
          </cell>
          <cell r="D1479" t="str">
            <v>S1</v>
          </cell>
          <cell r="E1479" t="str">
            <v>DPW</v>
          </cell>
          <cell r="F1479">
            <v>80413305.813331634</v>
          </cell>
          <cell r="G1479">
            <v>0</v>
          </cell>
          <cell r="H1479">
            <v>0</v>
          </cell>
          <cell r="I1479">
            <v>80413305.813331634</v>
          </cell>
          <cell r="J1479">
            <v>0</v>
          </cell>
          <cell r="K1479">
            <v>0</v>
          </cell>
          <cell r="S1479" t="str">
            <v>SUBS</v>
          </cell>
          <cell r="T1479">
            <v>80413305.813331634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362</v>
          </cell>
          <cell r="AE1479" t="str">
            <v>S1</v>
          </cell>
          <cell r="AF1479" t="str">
            <v>362.S1</v>
          </cell>
        </row>
        <row r="1480">
          <cell r="A1480">
            <v>1480</v>
          </cell>
          <cell r="D1480" t="str">
            <v xml:space="preserve">   Assigned</v>
          </cell>
          <cell r="E1480" t="str">
            <v>DPW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S1480" t="str">
            <v>SUBS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362</v>
          </cell>
          <cell r="AE1480" t="str">
            <v xml:space="preserve">   Assigned</v>
          </cell>
          <cell r="AF1480" t="str">
            <v>362.   Assigned</v>
          </cell>
        </row>
        <row r="1481">
          <cell r="A1481">
            <v>1481</v>
          </cell>
          <cell r="F1481">
            <v>80413305.813331634</v>
          </cell>
          <cell r="G1481">
            <v>0</v>
          </cell>
          <cell r="H1481">
            <v>0</v>
          </cell>
          <cell r="I1481">
            <v>80413305.813331634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80413305.813331634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362</v>
          </cell>
          <cell r="AE1481" t="str">
            <v>NA</v>
          </cell>
          <cell r="AF1481" t="str">
            <v>362.NA2</v>
          </cell>
        </row>
        <row r="1482">
          <cell r="A1482">
            <v>1482</v>
          </cell>
          <cell r="AD1482">
            <v>362</v>
          </cell>
          <cell r="AE1482" t="str">
            <v>NA</v>
          </cell>
          <cell r="AF1482" t="str">
            <v>362.NA3</v>
          </cell>
        </row>
        <row r="1483">
          <cell r="A1483">
            <v>1483</v>
          </cell>
          <cell r="B1483">
            <v>364</v>
          </cell>
          <cell r="C1483" t="str">
            <v>Poles, Towers &amp; Fixtures</v>
          </cell>
          <cell r="AD1483">
            <v>364</v>
          </cell>
          <cell r="AE1483" t="str">
            <v>NA</v>
          </cell>
          <cell r="AF1483" t="str">
            <v>364.NA</v>
          </cell>
        </row>
        <row r="1484">
          <cell r="A1484">
            <v>1484</v>
          </cell>
          <cell r="AD1484">
            <v>364</v>
          </cell>
          <cell r="AE1484" t="str">
            <v>NA</v>
          </cell>
          <cell r="AF1484" t="str">
            <v>364.NA1</v>
          </cell>
        </row>
        <row r="1485">
          <cell r="A1485">
            <v>1485</v>
          </cell>
          <cell r="C1485" t="str">
            <v>Demand - Primary</v>
          </cell>
          <cell r="D1485" t="str">
            <v>S1</v>
          </cell>
          <cell r="E1485" t="str">
            <v>DPW</v>
          </cell>
          <cell r="F1485">
            <v>115447520.53774388</v>
          </cell>
          <cell r="G1485">
            <v>0</v>
          </cell>
          <cell r="H1485">
            <v>0</v>
          </cell>
          <cell r="I1485">
            <v>115447520.53774388</v>
          </cell>
          <cell r="J1485">
            <v>0</v>
          </cell>
          <cell r="K1485">
            <v>0</v>
          </cell>
          <cell r="S1485" t="str">
            <v>PC</v>
          </cell>
          <cell r="T1485">
            <v>0</v>
          </cell>
          <cell r="U1485">
            <v>115447520.53774388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364</v>
          </cell>
          <cell r="AE1485" t="str">
            <v>S1</v>
          </cell>
          <cell r="AF1485" t="str">
            <v>364.S1</v>
          </cell>
        </row>
        <row r="1486">
          <cell r="A1486">
            <v>1486</v>
          </cell>
          <cell r="D1486" t="str">
            <v xml:space="preserve">   Demand - Secondary</v>
          </cell>
          <cell r="E1486" t="str">
            <v>DPW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S1486" t="str">
            <v>PC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D1486">
            <v>364</v>
          </cell>
          <cell r="AE1486" t="str">
            <v xml:space="preserve">   Demand - Secondary</v>
          </cell>
          <cell r="AF1486" t="str">
            <v>364.   Demand - Secondary</v>
          </cell>
        </row>
        <row r="1487">
          <cell r="A1487">
            <v>1487</v>
          </cell>
          <cell r="D1487" t="str">
            <v xml:space="preserve">   Assigned</v>
          </cell>
          <cell r="E1487" t="str">
            <v>DPW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S1487" t="str">
            <v>PC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D1487">
            <v>364</v>
          </cell>
          <cell r="AE1487" t="str">
            <v xml:space="preserve">   Assigned</v>
          </cell>
          <cell r="AF1487" t="str">
            <v>364.   Assigned</v>
          </cell>
        </row>
        <row r="1488">
          <cell r="A1488">
            <v>1488</v>
          </cell>
          <cell r="F1488">
            <v>115447520.53774388</v>
          </cell>
          <cell r="G1488">
            <v>0</v>
          </cell>
          <cell r="H1488">
            <v>0</v>
          </cell>
          <cell r="I1488">
            <v>115447520.53774388</v>
          </cell>
          <cell r="J1488">
            <v>0</v>
          </cell>
          <cell r="K1488">
            <v>0</v>
          </cell>
          <cell r="N1488">
            <v>0</v>
          </cell>
          <cell r="O1488">
            <v>0</v>
          </cell>
          <cell r="Q1488">
            <v>0</v>
          </cell>
          <cell r="R1488">
            <v>0</v>
          </cell>
          <cell r="T1488">
            <v>0</v>
          </cell>
          <cell r="U1488">
            <v>115447520.53774388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364</v>
          </cell>
          <cell r="AE1488" t="str">
            <v>NA</v>
          </cell>
          <cell r="AF1488" t="str">
            <v>364.NA2</v>
          </cell>
        </row>
        <row r="1489">
          <cell r="A1489">
            <v>1489</v>
          </cell>
          <cell r="AD1489">
            <v>364</v>
          </cell>
          <cell r="AE1489" t="str">
            <v>NA</v>
          </cell>
          <cell r="AF1489" t="str">
            <v>364.NA3</v>
          </cell>
        </row>
        <row r="1490">
          <cell r="A1490">
            <v>1490</v>
          </cell>
          <cell r="B1490">
            <v>365</v>
          </cell>
          <cell r="C1490" t="str">
            <v>Overhead Conductors</v>
          </cell>
          <cell r="AD1490">
            <v>365</v>
          </cell>
          <cell r="AE1490" t="str">
            <v>NA</v>
          </cell>
          <cell r="AF1490" t="str">
            <v>365.NA</v>
          </cell>
        </row>
        <row r="1491">
          <cell r="A1491">
            <v>1491</v>
          </cell>
          <cell r="AD1491">
            <v>365</v>
          </cell>
          <cell r="AE1491" t="str">
            <v>NA</v>
          </cell>
          <cell r="AF1491" t="str">
            <v>365.NA1</v>
          </cell>
        </row>
        <row r="1492">
          <cell r="A1492">
            <v>1492</v>
          </cell>
          <cell r="C1492" t="str">
            <v>Demand - Primary</v>
          </cell>
          <cell r="D1492" t="str">
            <v>S1</v>
          </cell>
          <cell r="E1492" t="str">
            <v>DPW</v>
          </cell>
          <cell r="F1492">
            <v>77678527.264030784</v>
          </cell>
          <cell r="G1492">
            <v>0</v>
          </cell>
          <cell r="H1492">
            <v>0</v>
          </cell>
          <cell r="I1492">
            <v>77678527.264030784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77678527.264030784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365</v>
          </cell>
          <cell r="AE1492" t="str">
            <v>S1</v>
          </cell>
          <cell r="AF1492" t="str">
            <v>365.S1</v>
          </cell>
        </row>
        <row r="1493">
          <cell r="A1493">
            <v>1493</v>
          </cell>
          <cell r="D1493" t="str">
            <v xml:space="preserve">   Demand - Secondary</v>
          </cell>
          <cell r="E1493" t="str">
            <v>DPW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S1493" t="str">
            <v>PC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365</v>
          </cell>
          <cell r="AE1493" t="str">
            <v xml:space="preserve">   Demand - Secondary</v>
          </cell>
          <cell r="AF1493" t="str">
            <v>365.   Demand - Secondary</v>
          </cell>
        </row>
        <row r="1494">
          <cell r="A1494">
            <v>1494</v>
          </cell>
          <cell r="D1494" t="str">
            <v xml:space="preserve">   Assigned</v>
          </cell>
          <cell r="E1494" t="str">
            <v>DPW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S1494" t="str">
            <v>PC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D1494">
            <v>365</v>
          </cell>
          <cell r="AE1494" t="str">
            <v xml:space="preserve">   Assigned</v>
          </cell>
          <cell r="AF1494" t="str">
            <v>365.   Assigned</v>
          </cell>
        </row>
        <row r="1495">
          <cell r="A1495">
            <v>1495</v>
          </cell>
          <cell r="F1495">
            <v>77678527.264030784</v>
          </cell>
          <cell r="G1495">
            <v>0</v>
          </cell>
          <cell r="H1495">
            <v>0</v>
          </cell>
          <cell r="I1495">
            <v>77678527.264030784</v>
          </cell>
          <cell r="J1495">
            <v>0</v>
          </cell>
          <cell r="K1495">
            <v>0</v>
          </cell>
          <cell r="N1495">
            <v>0</v>
          </cell>
          <cell r="O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77678527.264030784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365</v>
          </cell>
          <cell r="AE1495" t="str">
            <v>NA</v>
          </cell>
          <cell r="AF1495" t="str">
            <v>365.NA2</v>
          </cell>
        </row>
        <row r="1496">
          <cell r="A1496">
            <v>1496</v>
          </cell>
          <cell r="AD1496">
            <v>365</v>
          </cell>
          <cell r="AE1496" t="str">
            <v>NA</v>
          </cell>
          <cell r="AF1496" t="str">
            <v>365.NA3</v>
          </cell>
        </row>
        <row r="1497">
          <cell r="A1497">
            <v>1497</v>
          </cell>
          <cell r="B1497">
            <v>366</v>
          </cell>
          <cell r="C1497" t="str">
            <v>Underground Conduit</v>
          </cell>
          <cell r="AD1497">
            <v>366</v>
          </cell>
          <cell r="AE1497" t="str">
            <v>NA</v>
          </cell>
          <cell r="AF1497" t="str">
            <v>366.NA</v>
          </cell>
        </row>
        <row r="1498">
          <cell r="A1498">
            <v>1498</v>
          </cell>
          <cell r="AD1498">
            <v>366</v>
          </cell>
          <cell r="AE1498" t="str">
            <v>NA</v>
          </cell>
          <cell r="AF1498" t="str">
            <v>366.NA1</v>
          </cell>
        </row>
        <row r="1499">
          <cell r="A1499">
            <v>1499</v>
          </cell>
          <cell r="C1499" t="str">
            <v>Demand - Primary</v>
          </cell>
          <cell r="D1499" t="str">
            <v>S1</v>
          </cell>
          <cell r="E1499" t="str">
            <v>DPW</v>
          </cell>
          <cell r="F1499">
            <v>20433285.815328289</v>
          </cell>
          <cell r="G1499">
            <v>0</v>
          </cell>
          <cell r="H1499">
            <v>0</v>
          </cell>
          <cell r="I1499">
            <v>20433285.815328289</v>
          </cell>
          <cell r="J1499">
            <v>0</v>
          </cell>
          <cell r="K1499">
            <v>0</v>
          </cell>
          <cell r="S1499" t="str">
            <v>PC</v>
          </cell>
          <cell r="T1499">
            <v>0</v>
          </cell>
          <cell r="U1499">
            <v>20433285.815328289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D1499">
            <v>366</v>
          </cell>
          <cell r="AE1499" t="str">
            <v>S1</v>
          </cell>
          <cell r="AF1499" t="str">
            <v>366.S1</v>
          </cell>
        </row>
        <row r="1500">
          <cell r="A1500">
            <v>1500</v>
          </cell>
          <cell r="D1500" t="str">
            <v xml:space="preserve">   Demand - Secondary</v>
          </cell>
          <cell r="E1500" t="str">
            <v>DPW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366</v>
          </cell>
          <cell r="AE1500" t="str">
            <v xml:space="preserve">   Demand - Secondary</v>
          </cell>
          <cell r="AF1500" t="str">
            <v>366.   Demand - Secondary</v>
          </cell>
        </row>
        <row r="1501">
          <cell r="A1501">
            <v>1501</v>
          </cell>
          <cell r="D1501" t="str">
            <v xml:space="preserve">   Assigned</v>
          </cell>
          <cell r="E1501" t="str">
            <v>DPW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S1501" t="str">
            <v>PC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366</v>
          </cell>
          <cell r="AE1501" t="str">
            <v xml:space="preserve">   Assigned</v>
          </cell>
          <cell r="AF1501" t="str">
            <v>366.   Assigned</v>
          </cell>
        </row>
        <row r="1502">
          <cell r="A1502">
            <v>1502</v>
          </cell>
          <cell r="F1502">
            <v>20433285.815328289</v>
          </cell>
          <cell r="G1502">
            <v>0</v>
          </cell>
          <cell r="H1502">
            <v>0</v>
          </cell>
          <cell r="I1502">
            <v>20433285.815328289</v>
          </cell>
          <cell r="J1502">
            <v>0</v>
          </cell>
          <cell r="K1502">
            <v>0</v>
          </cell>
          <cell r="N1502">
            <v>0</v>
          </cell>
          <cell r="O1502">
            <v>0</v>
          </cell>
          <cell r="Q1502">
            <v>0</v>
          </cell>
          <cell r="R1502">
            <v>0</v>
          </cell>
          <cell r="T1502">
            <v>0</v>
          </cell>
          <cell r="U1502">
            <v>20433285.815328289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366</v>
          </cell>
          <cell r="AE1502" t="str">
            <v>NA</v>
          </cell>
          <cell r="AF1502" t="str">
            <v>366.NA2</v>
          </cell>
        </row>
        <row r="1503">
          <cell r="A1503">
            <v>1503</v>
          </cell>
          <cell r="AD1503">
            <v>366</v>
          </cell>
          <cell r="AE1503" t="str">
            <v>NA</v>
          </cell>
          <cell r="AF1503" t="str">
            <v>366.NA3</v>
          </cell>
        </row>
        <row r="1504">
          <cell r="A1504">
            <v>1504</v>
          </cell>
          <cell r="B1504">
            <v>367</v>
          </cell>
          <cell r="C1504" t="str">
            <v xml:space="preserve">Underground Conductors </v>
          </cell>
          <cell r="AD1504">
            <v>367</v>
          </cell>
          <cell r="AE1504" t="str">
            <v>NA</v>
          </cell>
          <cell r="AF1504" t="str">
            <v>367.NA</v>
          </cell>
        </row>
        <row r="1505">
          <cell r="A1505">
            <v>1505</v>
          </cell>
          <cell r="AD1505">
            <v>367</v>
          </cell>
          <cell r="AE1505" t="str">
            <v>NA</v>
          </cell>
          <cell r="AF1505" t="str">
            <v>367.NA1</v>
          </cell>
        </row>
        <row r="1506">
          <cell r="A1506">
            <v>1506</v>
          </cell>
          <cell r="C1506" t="str">
            <v>Demand - Primary</v>
          </cell>
          <cell r="D1506" t="str">
            <v>S1</v>
          </cell>
          <cell r="E1506" t="str">
            <v>DPW</v>
          </cell>
          <cell r="F1506">
            <v>32919259.532765683</v>
          </cell>
          <cell r="G1506">
            <v>0</v>
          </cell>
          <cell r="H1506">
            <v>0</v>
          </cell>
          <cell r="I1506">
            <v>32919259.532765683</v>
          </cell>
          <cell r="J1506">
            <v>0</v>
          </cell>
          <cell r="K1506">
            <v>0</v>
          </cell>
          <cell r="S1506" t="str">
            <v>PC</v>
          </cell>
          <cell r="T1506">
            <v>0</v>
          </cell>
          <cell r="U1506">
            <v>32919259.532765683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367</v>
          </cell>
          <cell r="AE1506" t="str">
            <v>S1</v>
          </cell>
          <cell r="AF1506" t="str">
            <v>367.S1</v>
          </cell>
        </row>
        <row r="1507">
          <cell r="A1507">
            <v>1507</v>
          </cell>
          <cell r="D1507" t="str">
            <v xml:space="preserve">   Demand - Secondary</v>
          </cell>
          <cell r="E1507" t="str">
            <v>DPW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S1507" t="str">
            <v>PC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D1507">
            <v>367</v>
          </cell>
          <cell r="AE1507" t="str">
            <v xml:space="preserve">   Demand - Secondary</v>
          </cell>
          <cell r="AF1507" t="str">
            <v>367.   Demand - Secondary</v>
          </cell>
        </row>
        <row r="1508">
          <cell r="A1508">
            <v>1508</v>
          </cell>
          <cell r="D1508" t="str">
            <v xml:space="preserve">   Assigned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PC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>
            <v>367</v>
          </cell>
          <cell r="AE1508" t="str">
            <v xml:space="preserve">   Assigned</v>
          </cell>
          <cell r="AF1508" t="str">
            <v>367.   Assigned</v>
          </cell>
        </row>
        <row r="1509">
          <cell r="A1509">
            <v>1509</v>
          </cell>
          <cell r="F1509">
            <v>32919259.532765683</v>
          </cell>
          <cell r="G1509">
            <v>0</v>
          </cell>
          <cell r="H1509">
            <v>0</v>
          </cell>
          <cell r="I1509">
            <v>32919259.532765683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32919259.532765683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>
            <v>367</v>
          </cell>
          <cell r="AE1509" t="str">
            <v>NA</v>
          </cell>
          <cell r="AF1509" t="str">
            <v>367.NA2</v>
          </cell>
        </row>
        <row r="1510">
          <cell r="A1510">
            <v>1510</v>
          </cell>
          <cell r="AD1510">
            <v>367</v>
          </cell>
          <cell r="AE1510" t="str">
            <v>NA</v>
          </cell>
          <cell r="AF1510" t="str">
            <v>367.NA3</v>
          </cell>
        </row>
        <row r="1511">
          <cell r="A1511">
            <v>1511</v>
          </cell>
          <cell r="B1511">
            <v>368</v>
          </cell>
          <cell r="C1511" t="str">
            <v>Line Transformers</v>
          </cell>
          <cell r="AD1511">
            <v>368</v>
          </cell>
          <cell r="AE1511" t="str">
            <v>NA</v>
          </cell>
          <cell r="AF1511" t="str">
            <v>368.NA</v>
          </cell>
        </row>
        <row r="1512">
          <cell r="A1512">
            <v>1512</v>
          </cell>
          <cell r="AD1512">
            <v>368</v>
          </cell>
          <cell r="AE1512" t="str">
            <v>NA</v>
          </cell>
          <cell r="AF1512" t="str">
            <v>368.NA1</v>
          </cell>
        </row>
        <row r="1513">
          <cell r="A1513">
            <v>1513</v>
          </cell>
          <cell r="C1513" t="str">
            <v>Demand - Secondary</v>
          </cell>
          <cell r="D1513" t="str">
            <v>S1</v>
          </cell>
          <cell r="E1513" t="str">
            <v>DPW</v>
          </cell>
          <cell r="F1513">
            <v>121331428.91328639</v>
          </cell>
          <cell r="G1513">
            <v>0</v>
          </cell>
          <cell r="H1513">
            <v>0</v>
          </cell>
          <cell r="I1513">
            <v>121331428.91328639</v>
          </cell>
          <cell r="J1513">
            <v>0</v>
          </cell>
          <cell r="K1513">
            <v>0</v>
          </cell>
          <cell r="S1513" t="str">
            <v>XFMR</v>
          </cell>
          <cell r="T1513">
            <v>0</v>
          </cell>
          <cell r="U1513">
            <v>0</v>
          </cell>
          <cell r="V1513">
            <v>121331428.91328639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368</v>
          </cell>
          <cell r="AE1513" t="str">
            <v>S1</v>
          </cell>
          <cell r="AF1513" t="str">
            <v>368.S1</v>
          </cell>
        </row>
        <row r="1514">
          <cell r="A1514">
            <v>1514</v>
          </cell>
          <cell r="D1514" t="str">
            <v xml:space="preserve">   Assigned</v>
          </cell>
          <cell r="E1514" t="str">
            <v>DPW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S1514" t="str">
            <v>XFMR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D1514">
            <v>368</v>
          </cell>
          <cell r="AE1514" t="str">
            <v xml:space="preserve">   Assigned</v>
          </cell>
          <cell r="AF1514" t="str">
            <v>368.   Assigned</v>
          </cell>
        </row>
        <row r="1515">
          <cell r="A1515">
            <v>1515</v>
          </cell>
          <cell r="F1515">
            <v>121331428.91328639</v>
          </cell>
          <cell r="G1515">
            <v>0</v>
          </cell>
          <cell r="H1515">
            <v>0</v>
          </cell>
          <cell r="I1515">
            <v>121331428.91328639</v>
          </cell>
          <cell r="J1515">
            <v>0</v>
          </cell>
          <cell r="K1515">
            <v>0</v>
          </cell>
          <cell r="N1515">
            <v>0</v>
          </cell>
          <cell r="O1515">
            <v>0</v>
          </cell>
          <cell r="Q1515">
            <v>0</v>
          </cell>
          <cell r="R1515">
            <v>0</v>
          </cell>
          <cell r="T1515">
            <v>0</v>
          </cell>
          <cell r="U1515">
            <v>0</v>
          </cell>
          <cell r="V1515">
            <v>121331428.91328639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368</v>
          </cell>
          <cell r="AE1515" t="str">
            <v>NA</v>
          </cell>
          <cell r="AF1515" t="str">
            <v>368.NA2</v>
          </cell>
        </row>
        <row r="1516">
          <cell r="A1516">
            <v>1516</v>
          </cell>
          <cell r="AD1516">
            <v>368</v>
          </cell>
          <cell r="AE1516" t="str">
            <v>NA</v>
          </cell>
          <cell r="AF1516" t="str">
            <v>368.NA3</v>
          </cell>
        </row>
        <row r="1517">
          <cell r="A1517">
            <v>1517</v>
          </cell>
          <cell r="B1517">
            <v>369</v>
          </cell>
          <cell r="C1517" t="str">
            <v>Services</v>
          </cell>
          <cell r="AD1517">
            <v>369</v>
          </cell>
          <cell r="AE1517" t="str">
            <v>NA</v>
          </cell>
          <cell r="AF1517" t="str">
            <v>369.NA</v>
          </cell>
        </row>
        <row r="1518">
          <cell r="A1518">
            <v>1518</v>
          </cell>
          <cell r="AD1518">
            <v>369</v>
          </cell>
          <cell r="AE1518" t="str">
            <v>NA</v>
          </cell>
          <cell r="AF1518" t="str">
            <v>369.NA1</v>
          </cell>
        </row>
        <row r="1519">
          <cell r="A1519">
            <v>1519</v>
          </cell>
          <cell r="C1519" t="str">
            <v xml:space="preserve">   Customer OH</v>
          </cell>
          <cell r="D1519" t="str">
            <v>S</v>
          </cell>
          <cell r="E1519" t="str">
            <v>DPW</v>
          </cell>
          <cell r="F1519">
            <v>70144835.560202315</v>
          </cell>
          <cell r="G1519">
            <v>0</v>
          </cell>
          <cell r="H1519">
            <v>0</v>
          </cell>
          <cell r="I1519">
            <v>70144835.560202315</v>
          </cell>
          <cell r="J1519">
            <v>0</v>
          </cell>
          <cell r="K1519">
            <v>0</v>
          </cell>
          <cell r="S1519" t="str">
            <v>SERV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70144835.560202315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369</v>
          </cell>
          <cell r="AE1519" t="str">
            <v>S</v>
          </cell>
          <cell r="AF1519" t="str">
            <v>369.S1</v>
          </cell>
        </row>
        <row r="1520">
          <cell r="A1520">
            <v>1520</v>
          </cell>
          <cell r="D1520" t="str">
            <v xml:space="preserve">   Customer UG</v>
          </cell>
          <cell r="E1520" t="str">
            <v>DPW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S1520" t="str">
            <v>SERV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369</v>
          </cell>
          <cell r="AE1520" t="str">
            <v xml:space="preserve">   Customer UG</v>
          </cell>
          <cell r="AF1520" t="str">
            <v>369.   Customer UG</v>
          </cell>
        </row>
        <row r="1521">
          <cell r="A1521">
            <v>1521</v>
          </cell>
          <cell r="D1521" t="str">
            <v xml:space="preserve">   Assigned</v>
          </cell>
          <cell r="E1521" t="str">
            <v>DPW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S1521" t="str">
            <v>SERV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D1521">
            <v>369</v>
          </cell>
          <cell r="AE1521" t="str">
            <v xml:space="preserve">   Assigned</v>
          </cell>
          <cell r="AF1521" t="str">
            <v>369.   Assigned</v>
          </cell>
        </row>
        <row r="1522">
          <cell r="A1522">
            <v>1522</v>
          </cell>
          <cell r="F1522">
            <v>70144835.560202315</v>
          </cell>
          <cell r="G1522">
            <v>0</v>
          </cell>
          <cell r="H1522">
            <v>0</v>
          </cell>
          <cell r="I1522">
            <v>70144835.560202315</v>
          </cell>
          <cell r="J1522">
            <v>0</v>
          </cell>
          <cell r="K1522">
            <v>0</v>
          </cell>
          <cell r="N1522">
            <v>0</v>
          </cell>
          <cell r="O1522">
            <v>0</v>
          </cell>
          <cell r="Q1522">
            <v>0</v>
          </cell>
          <cell r="R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70144835.560202315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369</v>
          </cell>
          <cell r="AE1522" t="str">
            <v>NA</v>
          </cell>
          <cell r="AF1522" t="str">
            <v>369.NA2</v>
          </cell>
        </row>
        <row r="1523">
          <cell r="A1523">
            <v>1523</v>
          </cell>
          <cell r="AD1523">
            <v>369</v>
          </cell>
          <cell r="AE1523" t="str">
            <v>NA</v>
          </cell>
          <cell r="AF1523" t="str">
            <v>369.NA3</v>
          </cell>
        </row>
        <row r="1524">
          <cell r="A1524">
            <v>1524</v>
          </cell>
          <cell r="B1524">
            <v>370</v>
          </cell>
          <cell r="C1524" t="str">
            <v>Meters</v>
          </cell>
          <cell r="AD1524">
            <v>370</v>
          </cell>
          <cell r="AE1524" t="str">
            <v>NA</v>
          </cell>
          <cell r="AF1524" t="str">
            <v>370.NA</v>
          </cell>
        </row>
        <row r="1525">
          <cell r="A1525">
            <v>1525</v>
          </cell>
          <cell r="AD1525">
            <v>370</v>
          </cell>
          <cell r="AE1525" t="str">
            <v>NA</v>
          </cell>
          <cell r="AF1525" t="str">
            <v>370.NA1</v>
          </cell>
        </row>
        <row r="1526">
          <cell r="A1526">
            <v>1526</v>
          </cell>
          <cell r="C1526" t="str">
            <v xml:space="preserve">   Customer</v>
          </cell>
          <cell r="D1526" t="str">
            <v>S</v>
          </cell>
          <cell r="E1526" t="str">
            <v>DPW</v>
          </cell>
          <cell r="F1526">
            <v>14216852.839547347</v>
          </cell>
          <cell r="G1526">
            <v>0</v>
          </cell>
          <cell r="H1526">
            <v>0</v>
          </cell>
          <cell r="I1526">
            <v>14216852.839547347</v>
          </cell>
          <cell r="J1526">
            <v>0</v>
          </cell>
          <cell r="K1526">
            <v>0</v>
          </cell>
          <cell r="S1526" t="str">
            <v>METR</v>
          </cell>
          <cell r="T1526">
            <v>0</v>
          </cell>
          <cell r="U1526">
            <v>0</v>
          </cell>
          <cell r="V1526">
            <v>0</v>
          </cell>
          <cell r="W1526">
            <v>14216852.839547347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370</v>
          </cell>
          <cell r="AE1526" t="str">
            <v>S</v>
          </cell>
          <cell r="AF1526" t="str">
            <v>370.S1</v>
          </cell>
        </row>
        <row r="1527">
          <cell r="A1527">
            <v>1527</v>
          </cell>
          <cell r="D1527" t="str">
            <v xml:space="preserve">   Assigned</v>
          </cell>
          <cell r="E1527" t="str">
            <v>DPW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S1527" t="str">
            <v>METR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370</v>
          </cell>
          <cell r="AE1527" t="str">
            <v xml:space="preserve">   Assigned</v>
          </cell>
          <cell r="AF1527" t="str">
            <v>370.   Assigned</v>
          </cell>
        </row>
        <row r="1528">
          <cell r="A1528">
            <v>1528</v>
          </cell>
          <cell r="F1528">
            <v>14216852.839547347</v>
          </cell>
          <cell r="G1528">
            <v>0</v>
          </cell>
          <cell r="H1528">
            <v>0</v>
          </cell>
          <cell r="I1528">
            <v>14216852.839547347</v>
          </cell>
          <cell r="J1528">
            <v>0</v>
          </cell>
          <cell r="K1528">
            <v>0</v>
          </cell>
          <cell r="N1528">
            <v>0</v>
          </cell>
          <cell r="O1528">
            <v>0</v>
          </cell>
          <cell r="Q1528">
            <v>0</v>
          </cell>
          <cell r="R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14216852.839547347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370</v>
          </cell>
          <cell r="AE1528" t="str">
            <v>NA</v>
          </cell>
          <cell r="AF1528" t="str">
            <v>370.NA2</v>
          </cell>
        </row>
        <row r="1529">
          <cell r="A1529">
            <v>1529</v>
          </cell>
          <cell r="AD1529">
            <v>370</v>
          </cell>
          <cell r="AE1529" t="str">
            <v>NA</v>
          </cell>
          <cell r="AF1529" t="str">
            <v>370.NA3</v>
          </cell>
        </row>
        <row r="1530">
          <cell r="A1530">
            <v>1530</v>
          </cell>
          <cell r="B1530">
            <v>371</v>
          </cell>
          <cell r="C1530" t="str">
            <v>Installations on Customers' Premises</v>
          </cell>
          <cell r="AD1530">
            <v>371</v>
          </cell>
          <cell r="AE1530" t="str">
            <v>NA</v>
          </cell>
          <cell r="AF1530" t="str">
            <v>371.NA</v>
          </cell>
        </row>
        <row r="1531">
          <cell r="A1531">
            <v>1531</v>
          </cell>
          <cell r="AD1531">
            <v>371</v>
          </cell>
          <cell r="AE1531" t="str">
            <v>NA</v>
          </cell>
          <cell r="AF1531" t="str">
            <v>371.NA1</v>
          </cell>
        </row>
        <row r="1532">
          <cell r="A1532">
            <v>1532</v>
          </cell>
          <cell r="C1532" t="str">
            <v xml:space="preserve">   Demand - Primary</v>
          </cell>
          <cell r="D1532" t="str">
            <v>S</v>
          </cell>
          <cell r="E1532" t="str">
            <v>DPW</v>
          </cell>
          <cell r="F1532">
            <v>546583.48480086296</v>
          </cell>
          <cell r="G1532">
            <v>0</v>
          </cell>
          <cell r="H1532">
            <v>0</v>
          </cell>
          <cell r="I1532">
            <v>546583.48480086296</v>
          </cell>
          <cell r="J1532">
            <v>0</v>
          </cell>
          <cell r="K1532">
            <v>0</v>
          </cell>
          <cell r="S1532" t="str">
            <v>PC</v>
          </cell>
          <cell r="T1532">
            <v>0</v>
          </cell>
          <cell r="U1532">
            <v>546583.48480086296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D1532">
            <v>371</v>
          </cell>
          <cell r="AE1532" t="str">
            <v>S</v>
          </cell>
          <cell r="AF1532" t="str">
            <v>371.S1</v>
          </cell>
        </row>
        <row r="1533">
          <cell r="A1533">
            <v>1533</v>
          </cell>
          <cell r="D1533" t="str">
            <v xml:space="preserve">   Demand - Secondary</v>
          </cell>
          <cell r="E1533" t="str">
            <v>DPW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S1533" t="str">
            <v>PC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371</v>
          </cell>
          <cell r="AE1533" t="str">
            <v xml:space="preserve">   Demand - Secondary</v>
          </cell>
          <cell r="AF1533" t="str">
            <v>371.   Demand - Secondary</v>
          </cell>
        </row>
        <row r="1534">
          <cell r="A1534">
            <v>1534</v>
          </cell>
          <cell r="D1534" t="str">
            <v xml:space="preserve">   Assigned</v>
          </cell>
          <cell r="E1534" t="str">
            <v>DPW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S1534" t="str">
            <v>PC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371</v>
          </cell>
          <cell r="AE1534" t="str">
            <v xml:space="preserve">   Assigned</v>
          </cell>
          <cell r="AF1534" t="str">
            <v>371.   Assigned</v>
          </cell>
        </row>
        <row r="1535">
          <cell r="A1535">
            <v>1535</v>
          </cell>
          <cell r="F1535">
            <v>546583.48480086296</v>
          </cell>
          <cell r="G1535">
            <v>0</v>
          </cell>
          <cell r="H1535">
            <v>0</v>
          </cell>
          <cell r="I1535">
            <v>546583.48480086296</v>
          </cell>
          <cell r="J1535">
            <v>0</v>
          </cell>
          <cell r="K1535">
            <v>0</v>
          </cell>
          <cell r="N1535">
            <v>0</v>
          </cell>
          <cell r="O1535">
            <v>0</v>
          </cell>
          <cell r="Q1535">
            <v>0</v>
          </cell>
          <cell r="R1535">
            <v>0</v>
          </cell>
          <cell r="T1535">
            <v>0</v>
          </cell>
          <cell r="U1535">
            <v>546583.48480086296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371</v>
          </cell>
          <cell r="AE1535" t="str">
            <v>NA</v>
          </cell>
          <cell r="AF1535" t="str">
            <v>371.NA2</v>
          </cell>
        </row>
        <row r="1536">
          <cell r="A1536">
            <v>1536</v>
          </cell>
          <cell r="AD1536">
            <v>371</v>
          </cell>
          <cell r="AE1536" t="str">
            <v>NA</v>
          </cell>
          <cell r="AF1536" t="str">
            <v>371.NA3</v>
          </cell>
        </row>
        <row r="1537">
          <cell r="A1537">
            <v>1537</v>
          </cell>
          <cell r="B1537">
            <v>372</v>
          </cell>
          <cell r="C1537" t="str">
            <v>Leased Property</v>
          </cell>
          <cell r="AD1537">
            <v>372</v>
          </cell>
          <cell r="AE1537" t="str">
            <v>NA</v>
          </cell>
          <cell r="AF1537" t="str">
            <v>372.NA</v>
          </cell>
        </row>
        <row r="1538">
          <cell r="A1538">
            <v>1538</v>
          </cell>
          <cell r="D1538" t="str">
            <v>S</v>
          </cell>
          <cell r="F1538">
            <v>0</v>
          </cell>
          <cell r="AD1538">
            <v>372</v>
          </cell>
          <cell r="AE1538" t="str">
            <v>S</v>
          </cell>
          <cell r="AF1538" t="str">
            <v>372.S1</v>
          </cell>
        </row>
        <row r="1539">
          <cell r="A1539">
            <v>1539</v>
          </cell>
          <cell r="D1539" t="str">
            <v xml:space="preserve">   Demand - Primary</v>
          </cell>
          <cell r="E1539" t="str">
            <v>DPW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S1539" t="str">
            <v>PLNT2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372</v>
          </cell>
          <cell r="AE1539" t="str">
            <v xml:space="preserve">   Demand - Primary</v>
          </cell>
          <cell r="AF1539" t="str">
            <v>372.   Demand - Primary</v>
          </cell>
        </row>
        <row r="1540">
          <cell r="A1540">
            <v>1540</v>
          </cell>
          <cell r="D1540" t="str">
            <v xml:space="preserve">   Demand - Secondary</v>
          </cell>
          <cell r="E1540" t="str">
            <v>DPW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S1540" t="str">
            <v>PLNT2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372</v>
          </cell>
          <cell r="AE1540" t="str">
            <v xml:space="preserve">   Demand - Secondary</v>
          </cell>
          <cell r="AF1540" t="str">
            <v>372.   Demand - Secondary</v>
          </cell>
        </row>
        <row r="1541">
          <cell r="A1541">
            <v>1541</v>
          </cell>
          <cell r="D1541" t="str">
            <v xml:space="preserve">   Assigned</v>
          </cell>
          <cell r="E1541" t="str">
            <v>DPW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S1541" t="str">
            <v>PLNT2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372</v>
          </cell>
          <cell r="AE1541" t="str">
            <v xml:space="preserve">   Assigned</v>
          </cell>
          <cell r="AF1541" t="str">
            <v>372.   Assigned</v>
          </cell>
        </row>
        <row r="1542">
          <cell r="A1542">
            <v>1542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N1542">
            <v>0</v>
          </cell>
          <cell r="O1542">
            <v>0</v>
          </cell>
          <cell r="Q1542">
            <v>0</v>
          </cell>
          <cell r="R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372</v>
          </cell>
          <cell r="AE1542" t="str">
            <v>NA</v>
          </cell>
          <cell r="AF1542" t="str">
            <v>372.NA1</v>
          </cell>
        </row>
        <row r="1543">
          <cell r="A1543">
            <v>1543</v>
          </cell>
          <cell r="AD1543">
            <v>372</v>
          </cell>
          <cell r="AE1543" t="str">
            <v>NA</v>
          </cell>
          <cell r="AF1543" t="str">
            <v>372.NA2</v>
          </cell>
        </row>
        <row r="1544">
          <cell r="A1544">
            <v>1544</v>
          </cell>
          <cell r="B1544">
            <v>373</v>
          </cell>
          <cell r="C1544" t="str">
            <v>Street Lights</v>
          </cell>
          <cell r="AD1544">
            <v>373</v>
          </cell>
          <cell r="AE1544" t="str">
            <v>NA</v>
          </cell>
          <cell r="AF1544" t="str">
            <v>373.NA2</v>
          </cell>
        </row>
        <row r="1545">
          <cell r="A1545">
            <v>1545</v>
          </cell>
          <cell r="D1545" t="str">
            <v>S</v>
          </cell>
          <cell r="E1545" t="str">
            <v>DPW</v>
          </cell>
          <cell r="F1545">
            <v>5044269.550829011</v>
          </cell>
          <cell r="G1545">
            <v>0</v>
          </cell>
          <cell r="H1545">
            <v>0</v>
          </cell>
          <cell r="I1545">
            <v>5044269.550829011</v>
          </cell>
          <cell r="J1545">
            <v>0</v>
          </cell>
          <cell r="K1545">
            <v>0</v>
          </cell>
          <cell r="S1545" t="str">
            <v>PC</v>
          </cell>
          <cell r="T1545">
            <v>0</v>
          </cell>
          <cell r="U1545">
            <v>5044269.550829011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373</v>
          </cell>
          <cell r="AE1545" t="str">
            <v>S</v>
          </cell>
          <cell r="AF1545" t="str">
            <v>373.S1</v>
          </cell>
        </row>
        <row r="1546">
          <cell r="A1546">
            <v>1546</v>
          </cell>
          <cell r="D1546" t="str">
            <v xml:space="preserve">   Customer</v>
          </cell>
          <cell r="E1546" t="str">
            <v>DPW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S1546" t="str">
            <v>PC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373</v>
          </cell>
          <cell r="AE1546" t="str">
            <v xml:space="preserve">   Customer</v>
          </cell>
          <cell r="AF1546" t="str">
            <v>373.   Customer</v>
          </cell>
        </row>
        <row r="1547">
          <cell r="A1547">
            <v>1547</v>
          </cell>
          <cell r="D1547" t="str">
            <v xml:space="preserve">   Public Authority</v>
          </cell>
          <cell r="E1547" t="str">
            <v>DPW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S1547" t="str">
            <v>PC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373</v>
          </cell>
          <cell r="AE1547" t="str">
            <v xml:space="preserve">   Public Authority</v>
          </cell>
          <cell r="AF1547" t="str">
            <v>373.   Public Authority</v>
          </cell>
        </row>
        <row r="1548">
          <cell r="A1548">
            <v>1548</v>
          </cell>
          <cell r="F1548">
            <v>5044269.550829011</v>
          </cell>
          <cell r="G1548">
            <v>0</v>
          </cell>
          <cell r="H1548">
            <v>0</v>
          </cell>
          <cell r="I1548">
            <v>5044269.550829011</v>
          </cell>
          <cell r="J1548">
            <v>0</v>
          </cell>
          <cell r="K1548">
            <v>0</v>
          </cell>
          <cell r="N1548">
            <v>0</v>
          </cell>
          <cell r="O1548">
            <v>0</v>
          </cell>
          <cell r="Q1548">
            <v>0</v>
          </cell>
          <cell r="R1548">
            <v>0</v>
          </cell>
          <cell r="T1548">
            <v>0</v>
          </cell>
          <cell r="U1548">
            <v>5044269.550829011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373</v>
          </cell>
          <cell r="AE1548" t="str">
            <v>NA</v>
          </cell>
          <cell r="AF1548" t="str">
            <v>373.NA3</v>
          </cell>
        </row>
        <row r="1549">
          <cell r="A1549">
            <v>1549</v>
          </cell>
          <cell r="AD1549">
            <v>373</v>
          </cell>
          <cell r="AE1549" t="str">
            <v>NA</v>
          </cell>
          <cell r="AF1549" t="str">
            <v>373.NA4</v>
          </cell>
        </row>
        <row r="1550">
          <cell r="A1550">
            <v>1550</v>
          </cell>
          <cell r="B1550" t="str">
            <v>DP</v>
          </cell>
          <cell r="C1550" t="str">
            <v>Unclassified Dist Plant - Acct 300</v>
          </cell>
          <cell r="AD1550" t="str">
            <v>DP</v>
          </cell>
          <cell r="AE1550" t="str">
            <v>NA</v>
          </cell>
          <cell r="AF1550" t="str">
            <v>DP.NA</v>
          </cell>
        </row>
        <row r="1551">
          <cell r="A1551">
            <v>1551</v>
          </cell>
          <cell r="D1551" t="str">
            <v>S</v>
          </cell>
          <cell r="E1551" t="str">
            <v>DPW</v>
          </cell>
          <cell r="F1551">
            <v>4546566.7</v>
          </cell>
          <cell r="G1551">
            <v>0</v>
          </cell>
          <cell r="H1551">
            <v>0</v>
          </cell>
          <cell r="I1551">
            <v>4546566.7</v>
          </cell>
          <cell r="J1551">
            <v>0</v>
          </cell>
          <cell r="K1551">
            <v>0</v>
          </cell>
          <cell r="S1551" t="str">
            <v>PLNT2</v>
          </cell>
          <cell r="T1551">
            <v>1099619.3223553936</v>
          </cell>
          <cell r="U1551">
            <v>3446947.3776446069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 t="str">
            <v>DP</v>
          </cell>
          <cell r="AE1551" t="str">
            <v>S</v>
          </cell>
          <cell r="AF1551" t="str">
            <v>DP.S</v>
          </cell>
        </row>
        <row r="1552">
          <cell r="A1552">
            <v>1552</v>
          </cell>
          <cell r="F1552">
            <v>4546566.7</v>
          </cell>
          <cell r="G1552">
            <v>0</v>
          </cell>
          <cell r="H1552">
            <v>0</v>
          </cell>
          <cell r="I1552">
            <v>4546566.7</v>
          </cell>
          <cell r="J1552">
            <v>0</v>
          </cell>
          <cell r="K1552">
            <v>0</v>
          </cell>
          <cell r="N1552">
            <v>0</v>
          </cell>
          <cell r="O1552">
            <v>0</v>
          </cell>
          <cell r="Q1552">
            <v>0</v>
          </cell>
          <cell r="R1552">
            <v>0</v>
          </cell>
          <cell r="T1552">
            <v>1099619.3223553936</v>
          </cell>
          <cell r="U1552">
            <v>3446947.3776446069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 t="str">
            <v>DP</v>
          </cell>
          <cell r="AE1552" t="str">
            <v>NA</v>
          </cell>
          <cell r="AF1552" t="str">
            <v>DP.NA1</v>
          </cell>
        </row>
        <row r="1553">
          <cell r="A1553">
            <v>1553</v>
          </cell>
          <cell r="AD1553" t="str">
            <v>DP</v>
          </cell>
          <cell r="AE1553" t="str">
            <v>NA</v>
          </cell>
          <cell r="AF1553" t="str">
            <v>DP.NA2</v>
          </cell>
        </row>
        <row r="1554">
          <cell r="A1554">
            <v>1554</v>
          </cell>
          <cell r="B1554" t="str">
            <v>DS0</v>
          </cell>
          <cell r="C1554" t="str">
            <v>Unclassified Dist Sub Plant - Acct 300</v>
          </cell>
          <cell r="AD1554" t="str">
            <v>DS0</v>
          </cell>
          <cell r="AE1554" t="str">
            <v>NA</v>
          </cell>
          <cell r="AF1554" t="str">
            <v>DS0.NA</v>
          </cell>
        </row>
        <row r="1555">
          <cell r="A1555">
            <v>1555</v>
          </cell>
          <cell r="D1555" t="str">
            <v>S</v>
          </cell>
          <cell r="E1555" t="str">
            <v>DPW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S1555" t="str">
            <v>PLNT2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D1555" t="str">
            <v>DS0</v>
          </cell>
          <cell r="AE1555" t="str">
            <v>S</v>
          </cell>
          <cell r="AF1555" t="str">
            <v>DS0.S</v>
          </cell>
        </row>
        <row r="1556">
          <cell r="A1556">
            <v>1556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N1556">
            <v>0</v>
          </cell>
          <cell r="O1556">
            <v>0</v>
          </cell>
          <cell r="Q1556">
            <v>0</v>
          </cell>
          <cell r="R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D1556" t="str">
            <v>DS0</v>
          </cell>
          <cell r="AE1556" t="str">
            <v>NA</v>
          </cell>
          <cell r="AF1556" t="str">
            <v>DS0.NA1</v>
          </cell>
        </row>
        <row r="1557">
          <cell r="A1557">
            <v>1557</v>
          </cell>
          <cell r="AD1557" t="str">
            <v>DS0</v>
          </cell>
          <cell r="AE1557" t="str">
            <v>NA</v>
          </cell>
          <cell r="AF1557" t="str">
            <v>DS0.NA2</v>
          </cell>
        </row>
        <row r="1558">
          <cell r="A1558">
            <v>1558</v>
          </cell>
          <cell r="AD1558" t="str">
            <v>DS0</v>
          </cell>
          <cell r="AE1558" t="str">
            <v>NA</v>
          </cell>
          <cell r="AF1558" t="str">
            <v>DS0.NA3</v>
          </cell>
        </row>
        <row r="1559">
          <cell r="A1559">
            <v>1559</v>
          </cell>
          <cell r="B1559" t="str">
            <v>TOTAL DISTRIBUTION PLANT</v>
          </cell>
          <cell r="F1559">
            <v>551435929.11724126</v>
          </cell>
          <cell r="G1559">
            <v>0</v>
          </cell>
          <cell r="H1559">
            <v>0</v>
          </cell>
          <cell r="I1559">
            <v>551435929.11724126</v>
          </cell>
          <cell r="J1559">
            <v>0</v>
          </cell>
          <cell r="K1559">
            <v>0</v>
          </cell>
          <cell r="N1559">
            <v>0</v>
          </cell>
          <cell r="O1559">
            <v>0</v>
          </cell>
          <cell r="Q1559">
            <v>0</v>
          </cell>
          <cell r="R1559">
            <v>0</v>
          </cell>
          <cell r="T1559">
            <v>83620345.089271083</v>
          </cell>
          <cell r="U1559">
            <v>262122466.71493408</v>
          </cell>
          <cell r="V1559">
            <v>121331428.91328639</v>
          </cell>
          <cell r="W1559">
            <v>14216852.839547347</v>
          </cell>
          <cell r="X1559">
            <v>70144835.560202315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 t="str">
            <v>TOTAL DISTRIBUTION PLANT</v>
          </cell>
          <cell r="AE1559" t="str">
            <v>NA</v>
          </cell>
          <cell r="AF1559" t="str">
            <v>TOTAL DISTRIBUTION PLANT.NA</v>
          </cell>
        </row>
        <row r="1560">
          <cell r="A1560">
            <v>1560</v>
          </cell>
          <cell r="AD1560" t="str">
            <v>TOTAL DISTRIBUTION PLANT</v>
          </cell>
          <cell r="AE1560" t="str">
            <v>NA</v>
          </cell>
          <cell r="AF1560" t="str">
            <v>TOTAL DISTRIBUTION PLANT.NA1</v>
          </cell>
        </row>
        <row r="1561">
          <cell r="A1561">
            <v>1561</v>
          </cell>
          <cell r="B1561">
            <v>389</v>
          </cell>
          <cell r="C1561" t="str">
            <v>Land and Land Rights</v>
          </cell>
          <cell r="AD1561">
            <v>389</v>
          </cell>
          <cell r="AE1561" t="str">
            <v>NA</v>
          </cell>
          <cell r="AF1561" t="str">
            <v>389.NA</v>
          </cell>
        </row>
        <row r="1562">
          <cell r="A1562">
            <v>1562</v>
          </cell>
          <cell r="D1562" t="str">
            <v>S</v>
          </cell>
          <cell r="E1562" t="str">
            <v>G-SITUS</v>
          </cell>
          <cell r="F1562">
            <v>1098826.3500000001</v>
          </cell>
          <cell r="G1562">
            <v>0</v>
          </cell>
          <cell r="H1562">
            <v>336067.17195112538</v>
          </cell>
          <cell r="I1562">
            <v>762759.17804887483</v>
          </cell>
          <cell r="J1562">
            <v>0</v>
          </cell>
          <cell r="K1562">
            <v>0</v>
          </cell>
          <cell r="M1562">
            <v>0.59419421435740905</v>
          </cell>
          <cell r="N1562">
            <v>0</v>
          </cell>
          <cell r="O1562">
            <v>0</v>
          </cell>
          <cell r="P1562">
            <v>1</v>
          </cell>
          <cell r="Q1562">
            <v>336067.17195112538</v>
          </cell>
          <cell r="R1562">
            <v>0</v>
          </cell>
          <cell r="S1562" t="str">
            <v>PLNT</v>
          </cell>
          <cell r="T1562">
            <v>113970.15463513137</v>
          </cell>
          <cell r="U1562">
            <v>357259.20567476965</v>
          </cell>
          <cell r="V1562">
            <v>171963.60198707492</v>
          </cell>
          <cell r="W1562">
            <v>20149.612059345163</v>
          </cell>
          <cell r="X1562">
            <v>99416.603692553734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389</v>
          </cell>
          <cell r="AE1562" t="str">
            <v>S</v>
          </cell>
          <cell r="AF1562" t="str">
            <v>389.S</v>
          </cell>
        </row>
        <row r="1563">
          <cell r="A1563">
            <v>1563</v>
          </cell>
          <cell r="D1563" t="str">
            <v>CN</v>
          </cell>
          <cell r="E1563" t="str">
            <v>CUST</v>
          </cell>
          <cell r="F1563">
            <v>78274.160878202412</v>
          </cell>
          <cell r="G1563">
            <v>0</v>
          </cell>
          <cell r="H1563">
            <v>0</v>
          </cell>
          <cell r="I1563">
            <v>0</v>
          </cell>
          <cell r="J1563">
            <v>78274.160878202412</v>
          </cell>
          <cell r="K1563">
            <v>0</v>
          </cell>
          <cell r="M1563">
            <v>0.59419421435740905</v>
          </cell>
          <cell r="N1563">
            <v>0</v>
          </cell>
          <cell r="O1563">
            <v>0</v>
          </cell>
          <cell r="P1563">
            <v>1</v>
          </cell>
          <cell r="Q1563">
            <v>0</v>
          </cell>
          <cell r="R1563">
            <v>0</v>
          </cell>
          <cell r="S1563" t="str">
            <v>CUST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389</v>
          </cell>
          <cell r="AE1563" t="str">
            <v>CN</v>
          </cell>
          <cell r="AF1563" t="str">
            <v>389.CN</v>
          </cell>
        </row>
        <row r="1564">
          <cell r="A1564">
            <v>1564</v>
          </cell>
          <cell r="D1564" t="str">
            <v>DGU</v>
          </cell>
          <cell r="E1564" t="str">
            <v>G-DGU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M1564">
            <v>0.59419421435740905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0</v>
          </cell>
          <cell r="S1564" t="str">
            <v>PLNT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D1564">
            <v>389</v>
          </cell>
          <cell r="AE1564" t="str">
            <v>DGU</v>
          </cell>
          <cell r="AF1564" t="str">
            <v>389.DGU</v>
          </cell>
        </row>
        <row r="1565">
          <cell r="A1565">
            <v>1565</v>
          </cell>
          <cell r="D1565" t="str">
            <v>CAGW</v>
          </cell>
          <cell r="E1565" t="str">
            <v>G-SG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M1565">
            <v>0.59419421435740905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0</v>
          </cell>
          <cell r="S1565" t="str">
            <v>PLNT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D1565">
            <v>389</v>
          </cell>
          <cell r="AE1565" t="str">
            <v>CAGW</v>
          </cell>
          <cell r="AF1565" t="str">
            <v>389.CAGW</v>
          </cell>
        </row>
        <row r="1566">
          <cell r="A1566">
            <v>1566</v>
          </cell>
          <cell r="D1566" t="str">
            <v>SO</v>
          </cell>
          <cell r="E1566" t="str">
            <v>PTD</v>
          </cell>
          <cell r="F1566">
            <v>503724.69182073907</v>
          </cell>
          <cell r="G1566">
            <v>246649.36815131264</v>
          </cell>
          <cell r="H1566">
            <v>102460.49619905479</v>
          </cell>
          <cell r="I1566">
            <v>154614.8274703717</v>
          </cell>
          <cell r="J1566">
            <v>0</v>
          </cell>
          <cell r="K1566">
            <v>0</v>
          </cell>
          <cell r="M1566">
            <v>0.59419421435740905</v>
          </cell>
          <cell r="N1566">
            <v>146557.62753042055</v>
          </cell>
          <cell r="O1566">
            <v>100091.74062089207</v>
          </cell>
          <cell r="P1566">
            <v>1</v>
          </cell>
          <cell r="Q1566">
            <v>102460.49619905479</v>
          </cell>
          <cell r="R1566">
            <v>0</v>
          </cell>
          <cell r="S1566" t="str">
            <v>PLNT</v>
          </cell>
          <cell r="T1566">
            <v>23102.279595976623</v>
          </cell>
          <cell r="U1566">
            <v>72418.100020642582</v>
          </cell>
          <cell r="V1566">
            <v>34857.820682574056</v>
          </cell>
          <cell r="W1566">
            <v>4084.4199346375458</v>
          </cell>
          <cell r="X1566">
            <v>20152.207236540886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389</v>
          </cell>
          <cell r="AE1566" t="str">
            <v>SO</v>
          </cell>
          <cell r="AF1566" t="str">
            <v>389.SO</v>
          </cell>
        </row>
        <row r="1567">
          <cell r="A1567">
            <v>1567</v>
          </cell>
          <cell r="F1567">
            <v>1680825.2026989416</v>
          </cell>
          <cell r="G1567">
            <v>246649.36815131264</v>
          </cell>
          <cell r="H1567">
            <v>438527.66815018014</v>
          </cell>
          <cell r="I1567">
            <v>917374.00551924657</v>
          </cell>
          <cell r="J1567">
            <v>78274.160878202412</v>
          </cell>
          <cell r="K1567">
            <v>0</v>
          </cell>
          <cell r="N1567">
            <v>146557.62753042055</v>
          </cell>
          <cell r="O1567">
            <v>100091.74062089207</v>
          </cell>
          <cell r="Q1567">
            <v>438527.66815018014</v>
          </cell>
          <cell r="R1567">
            <v>0</v>
          </cell>
          <cell r="T1567">
            <v>137072.434231108</v>
          </cell>
          <cell r="U1567">
            <v>429677.30569541221</v>
          </cell>
          <cell r="V1567">
            <v>206821.42266964898</v>
          </cell>
          <cell r="W1567">
            <v>24234.03199398271</v>
          </cell>
          <cell r="X1567">
            <v>119568.81092909462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389</v>
          </cell>
          <cell r="AE1567" t="str">
            <v>NA</v>
          </cell>
          <cell r="AF1567" t="str">
            <v>389.NA1</v>
          </cell>
        </row>
        <row r="1568">
          <cell r="A1568">
            <v>1568</v>
          </cell>
          <cell r="AD1568">
            <v>389</v>
          </cell>
          <cell r="AE1568" t="str">
            <v>NA</v>
          </cell>
          <cell r="AF1568" t="str">
            <v>389.NA2</v>
          </cell>
        </row>
        <row r="1569">
          <cell r="A1569">
            <v>1569</v>
          </cell>
          <cell r="B1569">
            <v>390</v>
          </cell>
          <cell r="C1569" t="str">
            <v>Structures and Improvements</v>
          </cell>
          <cell r="AD1569">
            <v>390</v>
          </cell>
          <cell r="AE1569" t="str">
            <v>NA</v>
          </cell>
          <cell r="AF1569" t="str">
            <v>390.NA</v>
          </cell>
        </row>
        <row r="1570">
          <cell r="A1570">
            <v>1570</v>
          </cell>
          <cell r="D1570" t="str">
            <v>S</v>
          </cell>
          <cell r="E1570" t="str">
            <v>G-SITUS</v>
          </cell>
          <cell r="F1570">
            <v>13944364.9</v>
          </cell>
          <cell r="G1570">
            <v>0</v>
          </cell>
          <cell r="H1570">
            <v>4264771.47785684</v>
          </cell>
          <cell r="I1570">
            <v>9679593.4221431613</v>
          </cell>
          <cell r="J1570">
            <v>0</v>
          </cell>
          <cell r="K1570">
            <v>0</v>
          </cell>
          <cell r="M1570">
            <v>0.59419421435740905</v>
          </cell>
          <cell r="N1570">
            <v>0</v>
          </cell>
          <cell r="O1570">
            <v>0</v>
          </cell>
          <cell r="P1570">
            <v>1</v>
          </cell>
          <cell r="Q1570">
            <v>4264771.47785684</v>
          </cell>
          <cell r="R1570">
            <v>0</v>
          </cell>
          <cell r="S1570" t="str">
            <v>PLNT</v>
          </cell>
          <cell r="T1570">
            <v>1446308.0758317253</v>
          </cell>
          <cell r="U1570">
            <v>4533703.3716138471</v>
          </cell>
          <cell r="V1570">
            <v>2182258.566720881</v>
          </cell>
          <cell r="W1570">
            <v>255703.31758876127</v>
          </cell>
          <cell r="X1570">
            <v>1261620.0903879458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390</v>
          </cell>
          <cell r="AE1570" t="str">
            <v>S</v>
          </cell>
          <cell r="AF1570" t="str">
            <v>390.S</v>
          </cell>
        </row>
        <row r="1571">
          <cell r="A1571">
            <v>1571</v>
          </cell>
          <cell r="D1571" t="str">
            <v>DGP</v>
          </cell>
          <cell r="E1571" t="str">
            <v>G-DGP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M1571">
            <v>0.59419421435740905</v>
          </cell>
          <cell r="N1571">
            <v>0</v>
          </cell>
          <cell r="O1571">
            <v>0</v>
          </cell>
          <cell r="P1571">
            <v>1</v>
          </cell>
          <cell r="Q1571">
            <v>0</v>
          </cell>
          <cell r="R1571">
            <v>0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390</v>
          </cell>
          <cell r="AE1571" t="str">
            <v>DGP</v>
          </cell>
          <cell r="AF1571" t="str">
            <v>390.DGP</v>
          </cell>
        </row>
        <row r="1572">
          <cell r="A1572">
            <v>1572</v>
          </cell>
          <cell r="D1572" t="str">
            <v>DGU</v>
          </cell>
          <cell r="E1572" t="str">
            <v>G-DGU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M1572">
            <v>0.59419421435740905</v>
          </cell>
          <cell r="N1572">
            <v>0</v>
          </cell>
          <cell r="O1572">
            <v>0</v>
          </cell>
          <cell r="P1572">
            <v>1</v>
          </cell>
          <cell r="Q1572">
            <v>0</v>
          </cell>
          <cell r="R1572">
            <v>0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390</v>
          </cell>
          <cell r="AE1572" t="str">
            <v>DGU</v>
          </cell>
          <cell r="AF1572" t="str">
            <v>390.DGU</v>
          </cell>
        </row>
        <row r="1573">
          <cell r="A1573">
            <v>1573</v>
          </cell>
          <cell r="D1573" t="str">
            <v>CN</v>
          </cell>
          <cell r="E1573" t="str">
            <v>CUST</v>
          </cell>
          <cell r="F1573">
            <v>569294.37611125188</v>
          </cell>
          <cell r="G1573">
            <v>0</v>
          </cell>
          <cell r="H1573">
            <v>0</v>
          </cell>
          <cell r="I1573">
            <v>0</v>
          </cell>
          <cell r="J1573">
            <v>569294.37611125188</v>
          </cell>
          <cell r="K1573">
            <v>0</v>
          </cell>
          <cell r="M1573">
            <v>0.59419421435740905</v>
          </cell>
          <cell r="N1573">
            <v>0</v>
          </cell>
          <cell r="O1573">
            <v>0</v>
          </cell>
          <cell r="P1573">
            <v>1</v>
          </cell>
          <cell r="Q1573">
            <v>0</v>
          </cell>
          <cell r="R1573">
            <v>0</v>
          </cell>
          <cell r="S1573" t="str">
            <v>CUST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390</v>
          </cell>
          <cell r="AE1573" t="str">
            <v>CN</v>
          </cell>
          <cell r="AF1573" t="str">
            <v>390.CN</v>
          </cell>
        </row>
        <row r="1574">
          <cell r="A1574">
            <v>1574</v>
          </cell>
          <cell r="D1574" t="str">
            <v>CAGW</v>
          </cell>
          <cell r="E1574" t="str">
            <v>G-SG</v>
          </cell>
          <cell r="F1574">
            <v>718671.99932019215</v>
          </cell>
          <cell r="G1574">
            <v>298397.76998759265</v>
          </cell>
          <cell r="H1574">
            <v>420274.2293325995</v>
          </cell>
          <cell r="I1574">
            <v>0</v>
          </cell>
          <cell r="J1574">
            <v>0</v>
          </cell>
          <cell r="K1574">
            <v>0</v>
          </cell>
          <cell r="M1574">
            <v>0.59419421435740905</v>
          </cell>
          <cell r="N1574">
            <v>177306.22850378047</v>
          </cell>
          <cell r="O1574">
            <v>121091.54148381218</v>
          </cell>
          <cell r="P1574">
            <v>1</v>
          </cell>
          <cell r="Q1574">
            <v>420274.2293325995</v>
          </cell>
          <cell r="R1574">
            <v>0</v>
          </cell>
          <cell r="S1574" t="str">
            <v>PLNT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390</v>
          </cell>
          <cell r="AE1574" t="str">
            <v>CAGW</v>
          </cell>
          <cell r="AF1574" t="str">
            <v>390.CAGW</v>
          </cell>
        </row>
        <row r="1575">
          <cell r="A1575">
            <v>1575</v>
          </cell>
          <cell r="D1575" t="str">
            <v>JBG</v>
          </cell>
          <cell r="E1575" t="str">
            <v>G-SG</v>
          </cell>
          <cell r="F1575">
            <v>4839.613294965402</v>
          </cell>
          <cell r="G1575">
            <v>2009.4421602428035</v>
          </cell>
          <cell r="H1575">
            <v>2830.1711347225987</v>
          </cell>
          <cell r="I1575">
            <v>0</v>
          </cell>
          <cell r="J1575">
            <v>0</v>
          </cell>
          <cell r="K1575">
            <v>0</v>
          </cell>
          <cell r="M1575">
            <v>0.59419421435740905</v>
          </cell>
          <cell r="N1575">
            <v>1193.9989057021276</v>
          </cell>
          <cell r="O1575">
            <v>815.44325454067609</v>
          </cell>
          <cell r="P1575">
            <v>1</v>
          </cell>
          <cell r="Q1575">
            <v>2830.1711347225987</v>
          </cell>
          <cell r="R1575">
            <v>0</v>
          </cell>
          <cell r="S1575" t="str">
            <v>PLNT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D1575">
            <v>390</v>
          </cell>
          <cell r="AE1575" t="str">
            <v>JBG</v>
          </cell>
          <cell r="AF1575" t="str">
            <v>390.JBG</v>
          </cell>
        </row>
        <row r="1576">
          <cell r="A1576">
            <v>1576</v>
          </cell>
          <cell r="D1576" t="str">
            <v>SO</v>
          </cell>
          <cell r="E1576" t="str">
            <v>PTD</v>
          </cell>
          <cell r="F1576">
            <v>6470447.4600448655</v>
          </cell>
          <cell r="G1576">
            <v>3168261.9565615365</v>
          </cell>
          <cell r="H1576">
            <v>1316126.1858929095</v>
          </cell>
          <cell r="I1576">
            <v>1986059.3175904201</v>
          </cell>
          <cell r="J1576">
            <v>0</v>
          </cell>
          <cell r="K1576">
            <v>0</v>
          </cell>
          <cell r="M1576">
            <v>0.59419421435740905</v>
          </cell>
          <cell r="N1576">
            <v>1882562.9241575499</v>
          </cell>
          <cell r="O1576">
            <v>1285699.0324039867</v>
          </cell>
          <cell r="P1576">
            <v>1</v>
          </cell>
          <cell r="Q1576">
            <v>1316126.1858929095</v>
          </cell>
          <cell r="R1576">
            <v>0</v>
          </cell>
          <cell r="S1576" t="str">
            <v>PLNT</v>
          </cell>
          <cell r="T1576">
            <v>296753.54168707214</v>
          </cell>
          <cell r="U1576">
            <v>930225.41667779698</v>
          </cell>
          <cell r="V1576">
            <v>447755.88920013839</v>
          </cell>
          <cell r="W1576">
            <v>52465.215664347634</v>
          </cell>
          <cell r="X1576">
            <v>258859.25436106493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D1576">
            <v>390</v>
          </cell>
          <cell r="AE1576" t="str">
            <v>SO</v>
          </cell>
          <cell r="AF1576" t="str">
            <v>390.SO</v>
          </cell>
        </row>
        <row r="1577">
          <cell r="A1577">
            <v>1577</v>
          </cell>
          <cell r="F1577">
            <v>21707618.348771274</v>
          </cell>
          <cell r="G1577">
            <v>3468669.1687093722</v>
          </cell>
          <cell r="H1577">
            <v>6004002.064217072</v>
          </cell>
          <cell r="I1577">
            <v>11665652.73973358</v>
          </cell>
          <cell r="J1577">
            <v>569294.37611125188</v>
          </cell>
          <cell r="K1577">
            <v>0</v>
          </cell>
          <cell r="N1577">
            <v>2061063.1515670326</v>
          </cell>
          <cell r="O1577">
            <v>1407606.0171423396</v>
          </cell>
          <cell r="Q1577">
            <v>6004002.064217072</v>
          </cell>
          <cell r="R1577">
            <v>0</v>
          </cell>
          <cell r="T1577">
            <v>1743061.6175187975</v>
          </cell>
          <cell r="U1577">
            <v>5463928.7882916443</v>
          </cell>
          <cell r="V1577">
            <v>2630014.4559210194</v>
          </cell>
          <cell r="W1577">
            <v>308168.53325310891</v>
          </cell>
          <cell r="X1577">
            <v>1520479.3447490106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390</v>
          </cell>
          <cell r="AE1577" t="str">
            <v>NA</v>
          </cell>
          <cell r="AF1577" t="str">
            <v>390.NA1</v>
          </cell>
        </row>
        <row r="1578">
          <cell r="A1578">
            <v>1578</v>
          </cell>
          <cell r="AD1578">
            <v>390</v>
          </cell>
          <cell r="AE1578" t="str">
            <v>NA</v>
          </cell>
          <cell r="AF1578" t="str">
            <v>390.NA2</v>
          </cell>
        </row>
        <row r="1579">
          <cell r="A1579">
            <v>1579</v>
          </cell>
          <cell r="B1579">
            <v>391</v>
          </cell>
          <cell r="C1579" t="str">
            <v>Office Furniture &amp; Equipment</v>
          </cell>
          <cell r="AD1579">
            <v>391</v>
          </cell>
          <cell r="AE1579" t="str">
            <v>NA</v>
          </cell>
          <cell r="AF1579" t="str">
            <v>391.NA</v>
          </cell>
        </row>
        <row r="1580">
          <cell r="A1580">
            <v>1580</v>
          </cell>
          <cell r="D1580" t="str">
            <v>S</v>
          </cell>
          <cell r="E1580" t="str">
            <v>G-SITUS</v>
          </cell>
          <cell r="F1580">
            <v>308216.82</v>
          </cell>
          <cell r="G1580">
            <v>0</v>
          </cell>
          <cell r="H1580">
            <v>94265.627180463096</v>
          </cell>
          <cell r="I1580">
            <v>213951.19281953693</v>
          </cell>
          <cell r="J1580">
            <v>0</v>
          </cell>
          <cell r="K1580">
            <v>0</v>
          </cell>
          <cell r="M1580">
            <v>0.59419421435740905</v>
          </cell>
          <cell r="N1580">
            <v>0</v>
          </cell>
          <cell r="O1580">
            <v>0</v>
          </cell>
          <cell r="P1580">
            <v>1</v>
          </cell>
          <cell r="Q1580">
            <v>94265.627180463096</v>
          </cell>
          <cell r="R1580">
            <v>0</v>
          </cell>
          <cell r="S1580" t="str">
            <v>PLNT</v>
          </cell>
          <cell r="T1580">
            <v>31968.21648529674</v>
          </cell>
          <cell r="U1580">
            <v>100209.91605161583</v>
          </cell>
          <cell r="V1580">
            <v>48235.168878323588</v>
          </cell>
          <cell r="W1580">
            <v>5651.8933616444638</v>
          </cell>
          <cell r="X1580">
            <v>27885.998042656298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391</v>
          </cell>
          <cell r="AE1580" t="str">
            <v>S</v>
          </cell>
          <cell r="AF1580" t="str">
            <v>391.S</v>
          </cell>
        </row>
        <row r="1581">
          <cell r="A1581">
            <v>1581</v>
          </cell>
          <cell r="D1581" t="str">
            <v>SGP</v>
          </cell>
          <cell r="E1581" t="str">
            <v>G-DGP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0.59419421435740905</v>
          </cell>
          <cell r="N1581">
            <v>0</v>
          </cell>
          <cell r="O1581">
            <v>0</v>
          </cell>
          <cell r="P1581">
            <v>1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391</v>
          </cell>
          <cell r="AE1581" t="str">
            <v>SGP</v>
          </cell>
          <cell r="AF1581" t="str">
            <v>391.SGP</v>
          </cell>
        </row>
        <row r="1582">
          <cell r="A1582">
            <v>1582</v>
          </cell>
          <cell r="D1582" t="str">
            <v>SGU</v>
          </cell>
          <cell r="E1582" t="str">
            <v>G-DGU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M1582">
            <v>0.59419421435740905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0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391</v>
          </cell>
          <cell r="AE1582" t="str">
            <v>SGU</v>
          </cell>
          <cell r="AF1582" t="str">
            <v>391.SGU</v>
          </cell>
        </row>
        <row r="1583">
          <cell r="A1583">
            <v>1583</v>
          </cell>
          <cell r="D1583" t="str">
            <v>CN</v>
          </cell>
          <cell r="E1583" t="str">
            <v>CUST</v>
          </cell>
          <cell r="F1583">
            <v>280264.82789480814</v>
          </cell>
          <cell r="G1583">
            <v>0</v>
          </cell>
          <cell r="H1583">
            <v>0</v>
          </cell>
          <cell r="I1583">
            <v>0</v>
          </cell>
          <cell r="J1583">
            <v>280264.82789480814</v>
          </cell>
          <cell r="K1583">
            <v>0</v>
          </cell>
          <cell r="M1583">
            <v>0.59419421435740905</v>
          </cell>
          <cell r="N1583">
            <v>0</v>
          </cell>
          <cell r="O1583">
            <v>0</v>
          </cell>
          <cell r="P1583">
            <v>1</v>
          </cell>
          <cell r="Q1583">
            <v>0</v>
          </cell>
          <cell r="R1583">
            <v>0</v>
          </cell>
          <cell r="S1583" t="str">
            <v>CUST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391</v>
          </cell>
          <cell r="AE1583" t="str">
            <v>CN</v>
          </cell>
          <cell r="AF1583" t="str">
            <v>391.CN</v>
          </cell>
        </row>
        <row r="1584">
          <cell r="A1584">
            <v>1584</v>
          </cell>
          <cell r="D1584" t="str">
            <v>CAGW</v>
          </cell>
          <cell r="E1584" t="str">
            <v>G-SG</v>
          </cell>
          <cell r="F1584">
            <v>113963.75839188171</v>
          </cell>
          <cell r="G1584">
            <v>47318.570078853547</v>
          </cell>
          <cell r="H1584">
            <v>66645.188313028164</v>
          </cell>
          <cell r="I1584">
            <v>0</v>
          </cell>
          <cell r="J1584">
            <v>0</v>
          </cell>
          <cell r="K1584">
            <v>0</v>
          </cell>
          <cell r="M1584">
            <v>0.59419421435740905</v>
          </cell>
          <cell r="N1584">
            <v>28116.420572520386</v>
          </cell>
          <cell r="O1584">
            <v>19202.14950633316</v>
          </cell>
          <cell r="P1584">
            <v>1</v>
          </cell>
          <cell r="Q1584">
            <v>66645.188313028164</v>
          </cell>
          <cell r="R1584">
            <v>0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391</v>
          </cell>
          <cell r="AE1584" t="str">
            <v>CAGW</v>
          </cell>
          <cell r="AF1584" t="str">
            <v>391.CAGW</v>
          </cell>
        </row>
        <row r="1585">
          <cell r="A1585">
            <v>1585</v>
          </cell>
          <cell r="D1585" t="str">
            <v>SE</v>
          </cell>
          <cell r="E1585" t="str">
            <v>P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M1585">
            <v>0.59419421435740905</v>
          </cell>
          <cell r="N1585">
            <v>0</v>
          </cell>
          <cell r="O1585">
            <v>0</v>
          </cell>
          <cell r="P1585">
            <v>1</v>
          </cell>
          <cell r="Q1585">
            <v>0</v>
          </cell>
          <cell r="R1585">
            <v>0</v>
          </cell>
          <cell r="S1585" t="str">
            <v>PLNT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391</v>
          </cell>
          <cell r="AE1585" t="str">
            <v>SE</v>
          </cell>
          <cell r="AF1585" t="str">
            <v>391.SE</v>
          </cell>
        </row>
        <row r="1586">
          <cell r="A1586">
            <v>1586</v>
          </cell>
          <cell r="D1586" t="str">
            <v>SO</v>
          </cell>
          <cell r="E1586" t="str">
            <v>PTD</v>
          </cell>
          <cell r="F1586">
            <v>3448459.6702402425</v>
          </cell>
          <cell r="G1586">
            <v>1688542.1988857544</v>
          </cell>
          <cell r="H1586">
            <v>701436.50822061405</v>
          </cell>
          <cell r="I1586">
            <v>1058480.9631338743</v>
          </cell>
          <cell r="J1586">
            <v>0</v>
          </cell>
          <cell r="K1586">
            <v>0</v>
          </cell>
          <cell r="M1586">
            <v>0.59419421435740905</v>
          </cell>
          <cell r="N1586">
            <v>1003322.0052762527</v>
          </cell>
          <cell r="O1586">
            <v>685220.1936095017</v>
          </cell>
          <cell r="P1586">
            <v>1</v>
          </cell>
          <cell r="Q1586">
            <v>701436.50822061405</v>
          </cell>
          <cell r="R1586">
            <v>0</v>
          </cell>
          <cell r="S1586" t="str">
            <v>PLNT</v>
          </cell>
          <cell r="T1586">
            <v>158156.39132038158</v>
          </cell>
          <cell r="U1586">
            <v>495768.62395596434</v>
          </cell>
          <cell r="V1586">
            <v>238633.90214569937</v>
          </cell>
          <cell r="W1586">
            <v>27961.618021963648</v>
          </cell>
          <cell r="X1586">
            <v>137960.42768986541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D1586">
            <v>391</v>
          </cell>
          <cell r="AE1586" t="str">
            <v>SO</v>
          </cell>
          <cell r="AF1586" t="str">
            <v>391.SO</v>
          </cell>
        </row>
        <row r="1587">
          <cell r="A1587">
            <v>1587</v>
          </cell>
          <cell r="D1587" t="str">
            <v>JBG</v>
          </cell>
          <cell r="E1587" t="str">
            <v>G-SG</v>
          </cell>
          <cell r="F1587">
            <v>47925.07262370667</v>
          </cell>
          <cell r="G1587">
            <v>19898.833975631278</v>
          </cell>
          <cell r="H1587">
            <v>28026.238648075396</v>
          </cell>
          <cell r="I1587">
            <v>0</v>
          </cell>
          <cell r="J1587">
            <v>0</v>
          </cell>
          <cell r="K1587">
            <v>0</v>
          </cell>
          <cell r="M1587">
            <v>0.59419421435740905</v>
          </cell>
          <cell r="N1587">
            <v>11823.772020778746</v>
          </cell>
          <cell r="O1587">
            <v>8075.0619548525319</v>
          </cell>
          <cell r="P1587">
            <v>1</v>
          </cell>
          <cell r="Q1587">
            <v>28026.238648075396</v>
          </cell>
          <cell r="R1587">
            <v>0</v>
          </cell>
          <cell r="S1587" t="str">
            <v>PLNT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D1587">
            <v>391</v>
          </cell>
          <cell r="AE1587" t="str">
            <v>JBG</v>
          </cell>
          <cell r="AF1587" t="str">
            <v>391.JBG</v>
          </cell>
        </row>
        <row r="1588">
          <cell r="A1588">
            <v>1588</v>
          </cell>
          <cell r="D1588" t="str">
            <v>JBE</v>
          </cell>
          <cell r="E1588" t="str">
            <v>P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M1588">
            <v>0.59419421435740905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0</v>
          </cell>
          <cell r="S1588" t="str">
            <v>PLNT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391</v>
          </cell>
          <cell r="AE1588" t="str">
            <v>JBE</v>
          </cell>
          <cell r="AF1588" t="str">
            <v>391.JBE</v>
          </cell>
        </row>
        <row r="1589">
          <cell r="A1589">
            <v>1589</v>
          </cell>
          <cell r="F1589">
            <v>4198830.1491506388</v>
          </cell>
          <cell r="G1589">
            <v>1755759.6029402392</v>
          </cell>
          <cell r="H1589">
            <v>890373.56236218067</v>
          </cell>
          <cell r="I1589">
            <v>1272432.1559534112</v>
          </cell>
          <cell r="J1589">
            <v>280264.82789480814</v>
          </cell>
          <cell r="K1589">
            <v>0</v>
          </cell>
          <cell r="N1589">
            <v>1043262.1978695518</v>
          </cell>
          <cell r="O1589">
            <v>712497.40507068741</v>
          </cell>
          <cell r="Q1589">
            <v>890373.56236218067</v>
          </cell>
          <cell r="R1589">
            <v>0</v>
          </cell>
          <cell r="T1589">
            <v>190124.60780567833</v>
          </cell>
          <cell r="U1589">
            <v>595978.54000758019</v>
          </cell>
          <cell r="V1589">
            <v>286869.07102402294</v>
          </cell>
          <cell r="W1589">
            <v>33613.511383608115</v>
          </cell>
          <cell r="X1589">
            <v>165846.42573252169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391</v>
          </cell>
          <cell r="AE1589" t="str">
            <v>NA</v>
          </cell>
          <cell r="AF1589" t="str">
            <v>391.NA1</v>
          </cell>
        </row>
        <row r="1590">
          <cell r="A1590">
            <v>1590</v>
          </cell>
          <cell r="AD1590">
            <v>391</v>
          </cell>
          <cell r="AE1590" t="str">
            <v>NA</v>
          </cell>
          <cell r="AF1590" t="str">
            <v>391.NA2</v>
          </cell>
        </row>
        <row r="1591">
          <cell r="A1591">
            <v>1591</v>
          </cell>
          <cell r="B1591">
            <v>392</v>
          </cell>
          <cell r="C1591" t="str">
            <v>Transportation Equipment</v>
          </cell>
          <cell r="AD1591">
            <v>392</v>
          </cell>
          <cell r="AE1591" t="str">
            <v>NA</v>
          </cell>
          <cell r="AF1591" t="str">
            <v>392.NA</v>
          </cell>
        </row>
        <row r="1592">
          <cell r="A1592">
            <v>1592</v>
          </cell>
          <cell r="D1592" t="str">
            <v>S</v>
          </cell>
          <cell r="E1592" t="str">
            <v>G-SITUS</v>
          </cell>
          <cell r="F1592">
            <v>5327124.99</v>
          </cell>
          <cell r="G1592">
            <v>0</v>
          </cell>
          <cell r="H1592">
            <v>1629258.1899036795</v>
          </cell>
          <cell r="I1592">
            <v>3697866.8000963214</v>
          </cell>
          <cell r="J1592">
            <v>0</v>
          </cell>
          <cell r="K1592">
            <v>0</v>
          </cell>
          <cell r="M1592">
            <v>0.59419421435740905</v>
          </cell>
          <cell r="N1592">
            <v>0</v>
          </cell>
          <cell r="O1592">
            <v>0</v>
          </cell>
          <cell r="P1592">
            <v>1</v>
          </cell>
          <cell r="Q1592">
            <v>1629258.1899036795</v>
          </cell>
          <cell r="R1592">
            <v>0</v>
          </cell>
          <cell r="S1592" t="str">
            <v>PLNT</v>
          </cell>
          <cell r="T1592">
            <v>552528.84941371554</v>
          </cell>
          <cell r="U1592">
            <v>1731997.4557013628</v>
          </cell>
          <cell r="V1592">
            <v>833681.86567036761</v>
          </cell>
          <cell r="W1592">
            <v>97685.591485991376</v>
          </cell>
          <cell r="X1592">
            <v>481973.037824884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392</v>
          </cell>
          <cell r="AE1592" t="str">
            <v>S</v>
          </cell>
          <cell r="AF1592" t="str">
            <v>392.S</v>
          </cell>
        </row>
        <row r="1593">
          <cell r="A1593">
            <v>1593</v>
          </cell>
          <cell r="D1593" t="str">
            <v>SO</v>
          </cell>
          <cell r="E1593" t="str">
            <v>PTD</v>
          </cell>
          <cell r="F1593">
            <v>462007.73201324884</v>
          </cell>
          <cell r="G1593">
            <v>226222.61134389989</v>
          </cell>
          <cell r="H1593">
            <v>93975.026911572277</v>
          </cell>
          <cell r="I1593">
            <v>141810.09375777672</v>
          </cell>
          <cell r="J1593">
            <v>0</v>
          </cell>
          <cell r="K1593">
            <v>0</v>
          </cell>
          <cell r="M1593">
            <v>0.59419421435740905</v>
          </cell>
          <cell r="N1593">
            <v>134420.16681737007</v>
          </cell>
          <cell r="O1593">
            <v>91802.444526529798</v>
          </cell>
          <cell r="P1593">
            <v>1</v>
          </cell>
          <cell r="Q1593">
            <v>93975.026911572277</v>
          </cell>
          <cell r="R1593">
            <v>0</v>
          </cell>
          <cell r="S1593" t="str">
            <v>PLNT</v>
          </cell>
          <cell r="T1593">
            <v>21189.018473351862</v>
          </cell>
          <cell r="U1593">
            <v>66420.65138064012</v>
          </cell>
          <cell r="V1593">
            <v>31971.001100362391</v>
          </cell>
          <cell r="W1593">
            <v>3746.1605937378481</v>
          </cell>
          <cell r="X1593">
            <v>18483.262209684493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392</v>
          </cell>
          <cell r="AE1593" t="str">
            <v>SO</v>
          </cell>
          <cell r="AF1593" t="str">
            <v>392.SO</v>
          </cell>
        </row>
        <row r="1594">
          <cell r="A1594">
            <v>1594</v>
          </cell>
          <cell r="D1594" t="str">
            <v>CAGW</v>
          </cell>
          <cell r="E1594" t="str">
            <v>G-SG</v>
          </cell>
          <cell r="F1594">
            <v>1252330.2622511941</v>
          </cell>
          <cell r="G1594">
            <v>519976.50930774753</v>
          </cell>
          <cell r="H1594">
            <v>732353.75294344663</v>
          </cell>
          <cell r="I1594">
            <v>0</v>
          </cell>
          <cell r="J1594">
            <v>0</v>
          </cell>
          <cell r="K1594">
            <v>0</v>
          </cell>
          <cell r="M1594">
            <v>0.59419421435740905</v>
          </cell>
          <cell r="N1594">
            <v>308967.03343242506</v>
          </cell>
          <cell r="O1594">
            <v>211009.4758753225</v>
          </cell>
          <cell r="P1594">
            <v>1</v>
          </cell>
          <cell r="Q1594">
            <v>732353.75294344663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392</v>
          </cell>
          <cell r="AE1594" t="str">
            <v>CAGW</v>
          </cell>
          <cell r="AF1594" t="str">
            <v>392.CAGW</v>
          </cell>
        </row>
        <row r="1595">
          <cell r="A1595">
            <v>1595</v>
          </cell>
          <cell r="D1595" t="str">
            <v>CN</v>
          </cell>
          <cell r="E1595" t="str">
            <v>CUST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M1595">
            <v>0.59419421435740905</v>
          </cell>
          <cell r="N1595">
            <v>0</v>
          </cell>
          <cell r="O1595">
            <v>0</v>
          </cell>
          <cell r="P1595">
            <v>1</v>
          </cell>
          <cell r="Q1595">
            <v>0</v>
          </cell>
          <cell r="R1595">
            <v>0</v>
          </cell>
          <cell r="S1595" t="str">
            <v>CUST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392</v>
          </cell>
          <cell r="AE1595" t="str">
            <v>CN</v>
          </cell>
          <cell r="AF1595" t="str">
            <v>392.CN</v>
          </cell>
        </row>
        <row r="1596">
          <cell r="A1596">
            <v>1596</v>
          </cell>
          <cell r="D1596" t="str">
            <v>SG-U</v>
          </cell>
          <cell r="E1596" t="str">
            <v>G-DGU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M1596">
            <v>0.59419421435740905</v>
          </cell>
          <cell r="N1596">
            <v>0</v>
          </cell>
          <cell r="O1596">
            <v>0</v>
          </cell>
          <cell r="P1596">
            <v>1</v>
          </cell>
          <cell r="Q1596">
            <v>0</v>
          </cell>
          <cell r="R1596">
            <v>0</v>
          </cell>
          <cell r="S1596" t="str">
            <v>PLNT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392</v>
          </cell>
          <cell r="AE1596" t="str">
            <v>SG-U</v>
          </cell>
          <cell r="AF1596" t="str">
            <v>392.SG-U</v>
          </cell>
        </row>
        <row r="1597">
          <cell r="A1597">
            <v>1597</v>
          </cell>
          <cell r="D1597" t="str">
            <v>SE</v>
          </cell>
          <cell r="E1597" t="str">
            <v>P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M1597">
            <v>0.59419421435740905</v>
          </cell>
          <cell r="N1597">
            <v>0</v>
          </cell>
          <cell r="O1597">
            <v>0</v>
          </cell>
          <cell r="P1597">
            <v>1</v>
          </cell>
          <cell r="Q1597">
            <v>0</v>
          </cell>
          <cell r="R1597">
            <v>0</v>
          </cell>
          <cell r="S1597" t="str">
            <v>PLNT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D1597">
            <v>392</v>
          </cell>
          <cell r="AE1597" t="str">
            <v>SE</v>
          </cell>
          <cell r="AF1597" t="str">
            <v>392.SE</v>
          </cell>
        </row>
        <row r="1598">
          <cell r="A1598">
            <v>1598</v>
          </cell>
          <cell r="D1598" t="str">
            <v>SGP</v>
          </cell>
          <cell r="E1598" t="str">
            <v>G-DGP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M1598">
            <v>0.59419421435740905</v>
          </cell>
          <cell r="N1598">
            <v>0</v>
          </cell>
          <cell r="O1598">
            <v>0</v>
          </cell>
          <cell r="P1598">
            <v>1</v>
          </cell>
          <cell r="Q1598">
            <v>0</v>
          </cell>
          <cell r="R1598">
            <v>0</v>
          </cell>
          <cell r="S1598" t="str">
            <v>PLNT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D1598">
            <v>392</v>
          </cell>
          <cell r="AE1598" t="str">
            <v>SGP</v>
          </cell>
          <cell r="AF1598" t="str">
            <v>392.SGP</v>
          </cell>
        </row>
        <row r="1599">
          <cell r="A1599">
            <v>1599</v>
          </cell>
          <cell r="D1599" t="str">
            <v>JBG</v>
          </cell>
          <cell r="E1599" t="str">
            <v>G-SG</v>
          </cell>
          <cell r="F1599">
            <v>560792.14167177107</v>
          </cell>
          <cell r="G1599">
            <v>232844.92043618287</v>
          </cell>
          <cell r="H1599">
            <v>327947.22123558819</v>
          </cell>
          <cell r="I1599">
            <v>0</v>
          </cell>
          <cell r="J1599">
            <v>0</v>
          </cell>
          <cell r="K1599">
            <v>0</v>
          </cell>
          <cell r="M1599">
            <v>0.59419421435740905</v>
          </cell>
          <cell r="N1599">
            <v>138355.10456569109</v>
          </cell>
          <cell r="O1599">
            <v>94489.815870491773</v>
          </cell>
          <cell r="P1599">
            <v>1</v>
          </cell>
          <cell r="Q1599">
            <v>327947.22123558819</v>
          </cell>
          <cell r="R1599">
            <v>0</v>
          </cell>
          <cell r="S1599" t="str">
            <v>PLNT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392</v>
          </cell>
          <cell r="AE1599" t="str">
            <v>JBG</v>
          </cell>
          <cell r="AF1599" t="str">
            <v>392.JBG</v>
          </cell>
        </row>
        <row r="1600">
          <cell r="A1600">
            <v>1600</v>
          </cell>
          <cell r="D1600" t="str">
            <v>CAGE</v>
          </cell>
          <cell r="E1600" t="str">
            <v>P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M1600">
            <v>0.59419421435740905</v>
          </cell>
          <cell r="N1600">
            <v>0</v>
          </cell>
          <cell r="O1600">
            <v>0</v>
          </cell>
          <cell r="P1600">
            <v>1</v>
          </cell>
          <cell r="Q1600">
            <v>0</v>
          </cell>
          <cell r="R1600">
            <v>0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392</v>
          </cell>
          <cell r="AE1600" t="str">
            <v>CAGE</v>
          </cell>
          <cell r="AF1600" t="str">
            <v>392.CAGE</v>
          </cell>
        </row>
        <row r="1601">
          <cell r="A1601">
            <v>1601</v>
          </cell>
          <cell r="F1601">
            <v>7602255.1259362139</v>
          </cell>
          <cell r="G1601">
            <v>979044.04108783032</v>
          </cell>
          <cell r="H1601">
            <v>2783534.1909942869</v>
          </cell>
          <cell r="I1601">
            <v>3839676.8938540979</v>
          </cell>
          <cell r="J1601">
            <v>0</v>
          </cell>
          <cell r="K1601">
            <v>0</v>
          </cell>
          <cell r="N1601">
            <v>581742.30481548619</v>
          </cell>
          <cell r="O1601">
            <v>397301.73627234407</v>
          </cell>
          <cell r="Q1601">
            <v>2783534.1909942869</v>
          </cell>
          <cell r="R1601">
            <v>0</v>
          </cell>
          <cell r="T1601">
            <v>573717.86788706738</v>
          </cell>
          <cell r="U1601">
            <v>1798418.107082003</v>
          </cell>
          <cell r="V1601">
            <v>865652.86677073</v>
          </cell>
          <cell r="W1601">
            <v>101431.75207972922</v>
          </cell>
          <cell r="X1601">
            <v>500456.30003456847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392</v>
          </cell>
          <cell r="AE1601" t="str">
            <v>NA</v>
          </cell>
          <cell r="AF1601" t="str">
            <v>392.NA1</v>
          </cell>
        </row>
        <row r="1602">
          <cell r="A1602">
            <v>1602</v>
          </cell>
          <cell r="AD1602">
            <v>392</v>
          </cell>
          <cell r="AE1602" t="str">
            <v>NA</v>
          </cell>
          <cell r="AF1602" t="str">
            <v>392.NA2</v>
          </cell>
        </row>
        <row r="1603">
          <cell r="A1603">
            <v>1603</v>
          </cell>
          <cell r="B1603">
            <v>393</v>
          </cell>
          <cell r="C1603" t="str">
            <v>Stores Equipment</v>
          </cell>
          <cell r="AD1603">
            <v>393</v>
          </cell>
          <cell r="AE1603" t="str">
            <v>NA</v>
          </cell>
          <cell r="AF1603" t="str">
            <v>393.NA</v>
          </cell>
        </row>
        <row r="1604">
          <cell r="A1604">
            <v>1604</v>
          </cell>
          <cell r="D1604" t="str">
            <v>S</v>
          </cell>
          <cell r="E1604" t="str">
            <v>G-SITUS</v>
          </cell>
          <cell r="F1604">
            <v>697109.07</v>
          </cell>
          <cell r="G1604">
            <v>0</v>
          </cell>
          <cell r="H1604">
            <v>213205.18360010121</v>
          </cell>
          <cell r="I1604">
            <v>483903.88639989879</v>
          </cell>
          <cell r="J1604">
            <v>0</v>
          </cell>
          <cell r="K1604">
            <v>0</v>
          </cell>
          <cell r="M1604">
            <v>0.59419421435740905</v>
          </cell>
          <cell r="N1604">
            <v>0</v>
          </cell>
          <cell r="O1604">
            <v>0</v>
          </cell>
          <cell r="P1604">
            <v>1</v>
          </cell>
          <cell r="Q1604">
            <v>213205.18360010121</v>
          </cell>
          <cell r="R1604">
            <v>0</v>
          </cell>
          <cell r="S1604" t="str">
            <v>PLNT</v>
          </cell>
          <cell r="T1604">
            <v>72304.080171951282</v>
          </cell>
          <cell r="U1604">
            <v>226649.6727320721</v>
          </cell>
          <cell r="V1604">
            <v>109095.84271897003</v>
          </cell>
          <cell r="W1604">
            <v>12783.163894414152</v>
          </cell>
          <cell r="X1604">
            <v>63071.126882491197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393</v>
          </cell>
          <cell r="AE1604" t="str">
            <v>S</v>
          </cell>
          <cell r="AF1604" t="str">
            <v>393.S</v>
          </cell>
        </row>
        <row r="1605">
          <cell r="A1605">
            <v>1605</v>
          </cell>
          <cell r="D1605" t="str">
            <v>SG-P</v>
          </cell>
          <cell r="E1605" t="str">
            <v>G-DGP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0.59419421435740905</v>
          </cell>
          <cell r="N1605">
            <v>0</v>
          </cell>
          <cell r="O1605">
            <v>0</v>
          </cell>
          <cell r="P1605">
            <v>1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393</v>
          </cell>
          <cell r="AE1605" t="str">
            <v>SG-P</v>
          </cell>
          <cell r="AF1605" t="str">
            <v>393.SG-P</v>
          </cell>
        </row>
        <row r="1606">
          <cell r="A1606">
            <v>1606</v>
          </cell>
          <cell r="D1606" t="str">
            <v>SG-U</v>
          </cell>
          <cell r="E1606" t="str">
            <v>G-DGU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M1606">
            <v>0.59419421435740905</v>
          </cell>
          <cell r="N1606">
            <v>0</v>
          </cell>
          <cell r="O1606">
            <v>0</v>
          </cell>
          <cell r="P1606">
            <v>1</v>
          </cell>
          <cell r="Q1606">
            <v>0</v>
          </cell>
          <cell r="R1606">
            <v>0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393</v>
          </cell>
          <cell r="AE1606" t="str">
            <v>SG-U</v>
          </cell>
          <cell r="AF1606" t="str">
            <v>393.SG-U</v>
          </cell>
        </row>
        <row r="1607">
          <cell r="A1607">
            <v>1607</v>
          </cell>
          <cell r="D1607" t="str">
            <v>SO</v>
          </cell>
          <cell r="E1607" t="str">
            <v>PTD</v>
          </cell>
          <cell r="F1607">
            <v>17095.161023658115</v>
          </cell>
          <cell r="G1607">
            <v>8370.6650346827828</v>
          </cell>
          <cell r="H1607">
            <v>3477.2539633814249</v>
          </cell>
          <cell r="I1607">
            <v>5247.2420255939087</v>
          </cell>
          <cell r="J1607">
            <v>0</v>
          </cell>
          <cell r="K1607">
            <v>0</v>
          </cell>
          <cell r="M1607">
            <v>0.59419421435740905</v>
          </cell>
          <cell r="N1607">
            <v>4973.8007339323703</v>
          </cell>
          <cell r="O1607">
            <v>3396.8643007504124</v>
          </cell>
          <cell r="P1607">
            <v>1</v>
          </cell>
          <cell r="Q1607">
            <v>3477.2539633814249</v>
          </cell>
          <cell r="R1607">
            <v>0</v>
          </cell>
          <cell r="S1607" t="str">
            <v>PLNT</v>
          </cell>
          <cell r="T1607">
            <v>784.03381076927292</v>
          </cell>
          <cell r="U1607">
            <v>2457.6898869210722</v>
          </cell>
          <cell r="V1607">
            <v>1182.9875866289024</v>
          </cell>
          <cell r="W1607">
            <v>138.61503635743205</v>
          </cell>
          <cell r="X1607">
            <v>683.91570491722905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393</v>
          </cell>
          <cell r="AE1607" t="str">
            <v>SO</v>
          </cell>
          <cell r="AF1607" t="str">
            <v>393.SO</v>
          </cell>
        </row>
        <row r="1608">
          <cell r="A1608">
            <v>1608</v>
          </cell>
          <cell r="D1608" t="str">
            <v>CAGW</v>
          </cell>
          <cell r="E1608" t="str">
            <v>G-SG</v>
          </cell>
          <cell r="F1608">
            <v>168998.49229398972</v>
          </cell>
          <cell r="G1608">
            <v>70169.386423143791</v>
          </cell>
          <cell r="H1608">
            <v>98829.105870845931</v>
          </cell>
          <cell r="I1608">
            <v>0</v>
          </cell>
          <cell r="J1608">
            <v>0</v>
          </cell>
          <cell r="K1608">
            <v>0</v>
          </cell>
          <cell r="M1608">
            <v>0.59419421435740905</v>
          </cell>
          <cell r="N1608">
            <v>41694.243437641373</v>
          </cell>
          <cell r="O1608">
            <v>28475.142985502422</v>
          </cell>
          <cell r="P1608">
            <v>1</v>
          </cell>
          <cell r="Q1608">
            <v>98829.105870845931</v>
          </cell>
          <cell r="R1608">
            <v>0</v>
          </cell>
          <cell r="S1608" t="str">
            <v>PLNT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393</v>
          </cell>
          <cell r="AE1608" t="str">
            <v>CAGW</v>
          </cell>
          <cell r="AF1608" t="str">
            <v>393.CAGW</v>
          </cell>
        </row>
        <row r="1609">
          <cell r="A1609">
            <v>1609</v>
          </cell>
          <cell r="D1609" t="str">
            <v>JBG</v>
          </cell>
          <cell r="E1609" t="str">
            <v>G-SG</v>
          </cell>
          <cell r="F1609">
            <v>189174.49236108482</v>
          </cell>
          <cell r="G1609">
            <v>78546.606396908741</v>
          </cell>
          <cell r="H1609">
            <v>110627.88596417609</v>
          </cell>
          <cell r="I1609">
            <v>0</v>
          </cell>
          <cell r="J1609">
            <v>0</v>
          </cell>
          <cell r="K1609">
            <v>0</v>
          </cell>
          <cell r="M1609">
            <v>0.59419421435740905</v>
          </cell>
          <cell r="N1609">
            <v>46671.939078451825</v>
          </cell>
          <cell r="O1609">
            <v>31874.667318456912</v>
          </cell>
          <cell r="P1609">
            <v>1</v>
          </cell>
          <cell r="Q1609">
            <v>110627.88596417609</v>
          </cell>
          <cell r="R1609">
            <v>0</v>
          </cell>
          <cell r="S1609" t="str">
            <v>PLNT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D1609">
            <v>393</v>
          </cell>
          <cell r="AE1609" t="str">
            <v>JBG</v>
          </cell>
          <cell r="AF1609" t="str">
            <v>393.JBG</v>
          </cell>
        </row>
        <row r="1610">
          <cell r="A1610">
            <v>1610</v>
          </cell>
          <cell r="F1610">
            <v>1072377.2156787326</v>
          </cell>
          <cell r="G1610">
            <v>157086.65785473533</v>
          </cell>
          <cell r="H1610">
            <v>426139.42939850467</v>
          </cell>
          <cell r="I1610">
            <v>489151.12842549273</v>
          </cell>
          <cell r="J1610">
            <v>0</v>
          </cell>
          <cell r="K1610">
            <v>0</v>
          </cell>
          <cell r="N1610">
            <v>93339.983250025572</v>
          </cell>
          <cell r="O1610">
            <v>63746.67460470974</v>
          </cell>
          <cell r="Q1610">
            <v>426139.42939850467</v>
          </cell>
          <cell r="R1610">
            <v>0</v>
          </cell>
          <cell r="T1610">
            <v>73088.113982720548</v>
          </cell>
          <cell r="U1610">
            <v>229107.36261899318</v>
          </cell>
          <cell r="V1610">
            <v>110278.83030559894</v>
          </cell>
          <cell r="W1610">
            <v>12921.778930771585</v>
          </cell>
          <cell r="X1610">
            <v>63755.042587408425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D1610">
            <v>393</v>
          </cell>
          <cell r="AE1610" t="str">
            <v>NA</v>
          </cell>
          <cell r="AF1610" t="str">
            <v>393.NA1</v>
          </cell>
        </row>
        <row r="1611">
          <cell r="A1611">
            <v>1611</v>
          </cell>
          <cell r="AD1611">
            <v>393</v>
          </cell>
          <cell r="AE1611" t="str">
            <v>NA</v>
          </cell>
          <cell r="AF1611" t="str">
            <v>393.NA2</v>
          </cell>
        </row>
        <row r="1612">
          <cell r="A1612">
            <v>1612</v>
          </cell>
          <cell r="B1612">
            <v>394</v>
          </cell>
          <cell r="C1612" t="str">
            <v>Tools, Shop &amp; Garage Equipment</v>
          </cell>
          <cell r="AD1612">
            <v>394</v>
          </cell>
          <cell r="AE1612" t="str">
            <v>NA</v>
          </cell>
          <cell r="AF1612" t="str">
            <v>394.NA</v>
          </cell>
        </row>
        <row r="1613">
          <cell r="A1613">
            <v>1613</v>
          </cell>
          <cell r="D1613" t="str">
            <v>S</v>
          </cell>
          <cell r="E1613" t="str">
            <v>G-SITUS</v>
          </cell>
          <cell r="F1613">
            <v>2744153.21</v>
          </cell>
          <cell r="G1613">
            <v>0</v>
          </cell>
          <cell r="H1613">
            <v>839277.11479188921</v>
          </cell>
          <cell r="I1613">
            <v>1904876.095208111</v>
          </cell>
          <cell r="J1613">
            <v>0</v>
          </cell>
          <cell r="K1613">
            <v>0</v>
          </cell>
          <cell r="M1613">
            <v>0.59419421435740905</v>
          </cell>
          <cell r="N1613">
            <v>0</v>
          </cell>
          <cell r="O1613">
            <v>0</v>
          </cell>
          <cell r="P1613">
            <v>1</v>
          </cell>
          <cell r="Q1613">
            <v>839277.11479188921</v>
          </cell>
          <cell r="R1613">
            <v>0</v>
          </cell>
          <cell r="S1613" t="str">
            <v>PLNT</v>
          </cell>
          <cell r="T1613">
            <v>284623.28527723427</v>
          </cell>
          <cell r="U1613">
            <v>892201.02526160679</v>
          </cell>
          <cell r="V1613">
            <v>429453.1801098453</v>
          </cell>
          <cell r="W1613">
            <v>50320.619461761846</v>
          </cell>
          <cell r="X1613">
            <v>248277.98509766272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394</v>
          </cell>
          <cell r="AE1613" t="str">
            <v>S</v>
          </cell>
          <cell r="AF1613" t="str">
            <v>394.S</v>
          </cell>
        </row>
        <row r="1614">
          <cell r="A1614">
            <v>1614</v>
          </cell>
          <cell r="D1614" t="str">
            <v>SG-P</v>
          </cell>
          <cell r="E1614" t="str">
            <v>G-DGP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M1614">
            <v>0.59419421435740905</v>
          </cell>
          <cell r="N1614">
            <v>0</v>
          </cell>
          <cell r="O1614">
            <v>0</v>
          </cell>
          <cell r="P1614">
            <v>1</v>
          </cell>
          <cell r="Q1614">
            <v>0</v>
          </cell>
          <cell r="R1614">
            <v>0</v>
          </cell>
          <cell r="S1614" t="str">
            <v>PLNT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394</v>
          </cell>
          <cell r="AE1614" t="str">
            <v>SG-P</v>
          </cell>
          <cell r="AF1614" t="str">
            <v>394.SG-P</v>
          </cell>
        </row>
        <row r="1615">
          <cell r="A1615">
            <v>1615</v>
          </cell>
          <cell r="D1615" t="str">
            <v>CAGW</v>
          </cell>
          <cell r="E1615" t="str">
            <v>G-SG</v>
          </cell>
          <cell r="F1615">
            <v>577591.66062297439</v>
          </cell>
          <cell r="G1615">
            <v>239820.2012272047</v>
          </cell>
          <cell r="H1615">
            <v>337771.45939576975</v>
          </cell>
          <cell r="I1615">
            <v>0</v>
          </cell>
          <cell r="J1615">
            <v>0</v>
          </cell>
          <cell r="K1615">
            <v>0</v>
          </cell>
          <cell r="M1615">
            <v>0.59419421435740905</v>
          </cell>
          <cell r="N1615">
            <v>142499.77605523463</v>
          </cell>
          <cell r="O1615">
            <v>97320.425171970055</v>
          </cell>
          <cell r="P1615">
            <v>1</v>
          </cell>
          <cell r="Q1615">
            <v>337771.45939576975</v>
          </cell>
          <cell r="R1615">
            <v>0</v>
          </cell>
          <cell r="S1615" t="str">
            <v>PLNT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394</v>
          </cell>
          <cell r="AE1615" t="str">
            <v>CAGW</v>
          </cell>
          <cell r="AF1615" t="str">
            <v>394.CAGW</v>
          </cell>
        </row>
        <row r="1616">
          <cell r="A1616">
            <v>1616</v>
          </cell>
          <cell r="D1616" t="str">
            <v>SO</v>
          </cell>
          <cell r="E1616" t="str">
            <v>PTD</v>
          </cell>
          <cell r="F1616">
            <v>142558.78085501879</v>
          </cell>
          <cell r="G1616">
            <v>69804.069153761026</v>
          </cell>
          <cell r="H1616">
            <v>28997.275021681122</v>
          </cell>
          <cell r="I1616">
            <v>43757.436679576662</v>
          </cell>
          <cell r="J1616">
            <v>0</v>
          </cell>
          <cell r="K1616">
            <v>0</v>
          </cell>
          <cell r="M1616">
            <v>0.59419421435740905</v>
          </cell>
          <cell r="N1616">
            <v>41477.174029769281</v>
          </cell>
          <cell r="O1616">
            <v>28326.895123991741</v>
          </cell>
          <cell r="P1616">
            <v>1</v>
          </cell>
          <cell r="Q1616">
            <v>28997.275021681122</v>
          </cell>
          <cell r="R1616">
            <v>0</v>
          </cell>
          <cell r="S1616" t="str">
            <v>PLNT</v>
          </cell>
          <cell r="T1616">
            <v>6538.1603634912535</v>
          </cell>
          <cell r="U1616">
            <v>20494.99700612963</v>
          </cell>
          <cell r="V1616">
            <v>9865.0880142660171</v>
          </cell>
          <cell r="W1616">
            <v>1155.9288949628797</v>
          </cell>
          <cell r="X1616">
            <v>5703.2624007268796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394</v>
          </cell>
          <cell r="AE1616" t="str">
            <v>SO</v>
          </cell>
          <cell r="AF1616" t="str">
            <v>394.SO</v>
          </cell>
        </row>
        <row r="1617">
          <cell r="A1617">
            <v>1617</v>
          </cell>
          <cell r="D1617" t="str">
            <v>SE</v>
          </cell>
          <cell r="E1617" t="str">
            <v>P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M1617">
            <v>0.59419421435740905</v>
          </cell>
          <cell r="N1617">
            <v>0</v>
          </cell>
          <cell r="O1617">
            <v>0</v>
          </cell>
          <cell r="P1617">
            <v>1</v>
          </cell>
          <cell r="Q1617">
            <v>0</v>
          </cell>
          <cell r="R1617">
            <v>0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394</v>
          </cell>
          <cell r="AE1617" t="str">
            <v>SE</v>
          </cell>
          <cell r="AF1617" t="str">
            <v>394.SE</v>
          </cell>
        </row>
        <row r="1618">
          <cell r="A1618">
            <v>1618</v>
          </cell>
          <cell r="D1618" t="str">
            <v>SG-U</v>
          </cell>
          <cell r="E1618" t="str">
            <v>G-DGU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0.59419421435740905</v>
          </cell>
          <cell r="N1618">
            <v>0</v>
          </cell>
          <cell r="O1618">
            <v>0</v>
          </cell>
          <cell r="P1618">
            <v>1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394</v>
          </cell>
          <cell r="AE1618" t="str">
            <v>SG-U</v>
          </cell>
          <cell r="AF1618" t="str">
            <v>394.SG-U</v>
          </cell>
        </row>
        <row r="1619">
          <cell r="A1619">
            <v>1619</v>
          </cell>
          <cell r="D1619" t="str">
            <v>JBG</v>
          </cell>
          <cell r="E1619" t="str">
            <v>G-SG</v>
          </cell>
          <cell r="F1619">
            <v>661224.38073403784</v>
          </cell>
          <cell r="G1619">
            <v>274545.10661205911</v>
          </cell>
          <cell r="H1619">
            <v>386679.27412197879</v>
          </cell>
          <cell r="I1619">
            <v>0</v>
          </cell>
          <cell r="J1619">
            <v>0</v>
          </cell>
          <cell r="K1619">
            <v>0</v>
          </cell>
          <cell r="M1619">
            <v>0.59419421435740905</v>
          </cell>
          <cell r="N1619">
            <v>163133.11392902356</v>
          </cell>
          <cell r="O1619">
            <v>111411.99268303554</v>
          </cell>
          <cell r="P1619">
            <v>1</v>
          </cell>
          <cell r="Q1619">
            <v>386679.27412197879</v>
          </cell>
          <cell r="R1619">
            <v>0</v>
          </cell>
          <cell r="S1619" t="str">
            <v>PLNT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394</v>
          </cell>
          <cell r="AE1619" t="str">
            <v>JBG</v>
          </cell>
          <cell r="AF1619" t="str">
            <v>394.JBG</v>
          </cell>
        </row>
        <row r="1620">
          <cell r="A1620">
            <v>1620</v>
          </cell>
          <cell r="D1620" t="str">
            <v>CAGE</v>
          </cell>
          <cell r="E1620" t="str">
            <v>P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M1620">
            <v>0.59419421435740905</v>
          </cell>
          <cell r="N1620">
            <v>0</v>
          </cell>
          <cell r="O1620">
            <v>0</v>
          </cell>
          <cell r="P1620">
            <v>1</v>
          </cell>
          <cell r="Q1620">
            <v>0</v>
          </cell>
          <cell r="R1620">
            <v>0</v>
          </cell>
          <cell r="S1620" t="str">
            <v>PLNT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D1620">
            <v>394</v>
          </cell>
          <cell r="AE1620" t="str">
            <v>CAGE</v>
          </cell>
          <cell r="AF1620" t="str">
            <v>394.CAGE</v>
          </cell>
        </row>
        <row r="1621">
          <cell r="A1621">
            <v>1621</v>
          </cell>
          <cell r="F1621">
            <v>4125528.0322120311</v>
          </cell>
          <cell r="G1621">
            <v>584169.37699302484</v>
          </cell>
          <cell r="H1621">
            <v>1592725.1233313188</v>
          </cell>
          <cell r="I1621">
            <v>1948633.5318876877</v>
          </cell>
          <cell r="J1621">
            <v>0</v>
          </cell>
          <cell r="K1621">
            <v>0</v>
          </cell>
          <cell r="N1621">
            <v>347110.06401402748</v>
          </cell>
          <cell r="O1621">
            <v>237059.31297899733</v>
          </cell>
          <cell r="Q1621">
            <v>1592725.1233313188</v>
          </cell>
          <cell r="R1621">
            <v>0</v>
          </cell>
          <cell r="T1621">
            <v>291161.44564072555</v>
          </cell>
          <cell r="U1621">
            <v>912696.02226773638</v>
          </cell>
          <cell r="V1621">
            <v>439318.26812411135</v>
          </cell>
          <cell r="W1621">
            <v>51476.548356724728</v>
          </cell>
          <cell r="X1621">
            <v>253981.2474983896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D1621">
            <v>394</v>
          </cell>
          <cell r="AE1621" t="str">
            <v>NA</v>
          </cell>
          <cell r="AF1621" t="str">
            <v>394.NA1</v>
          </cell>
        </row>
        <row r="1622">
          <cell r="A1622">
            <v>1622</v>
          </cell>
          <cell r="AD1622">
            <v>394</v>
          </cell>
          <cell r="AE1622" t="str">
            <v>NA</v>
          </cell>
          <cell r="AF1622" t="str">
            <v>394.NA2</v>
          </cell>
        </row>
        <row r="1623">
          <cell r="A1623">
            <v>1623</v>
          </cell>
          <cell r="B1623">
            <v>395</v>
          </cell>
          <cell r="C1623" t="str">
            <v>Laboratory Equipment</v>
          </cell>
          <cell r="F1623">
            <v>0</v>
          </cell>
          <cell r="AD1623">
            <v>395</v>
          </cell>
          <cell r="AE1623" t="str">
            <v>NA</v>
          </cell>
          <cell r="AF1623" t="str">
            <v>395.NA</v>
          </cell>
        </row>
        <row r="1624">
          <cell r="A1624">
            <v>1624</v>
          </cell>
          <cell r="D1624" t="str">
            <v>S</v>
          </cell>
          <cell r="E1624" t="str">
            <v>G-SITUS</v>
          </cell>
          <cell r="F1624">
            <v>1277394.56</v>
          </cell>
          <cell r="G1624">
            <v>0</v>
          </cell>
          <cell r="H1624">
            <v>390680.81798816723</v>
          </cell>
          <cell r="I1624">
            <v>886713.742011833</v>
          </cell>
          <cell r="J1624">
            <v>0</v>
          </cell>
          <cell r="K1624">
            <v>0</v>
          </cell>
          <cell r="M1624">
            <v>0.59419421435740905</v>
          </cell>
          <cell r="N1624">
            <v>0</v>
          </cell>
          <cell r="O1624">
            <v>0</v>
          </cell>
          <cell r="P1624">
            <v>1</v>
          </cell>
          <cell r="Q1624">
            <v>390680.81798816723</v>
          </cell>
          <cell r="R1624">
            <v>0</v>
          </cell>
          <cell r="S1624" t="str">
            <v>PLNT</v>
          </cell>
          <cell r="T1624">
            <v>132491.23078753581</v>
          </cell>
          <cell r="U1624">
            <v>415316.72938028094</v>
          </cell>
          <cell r="V1624">
            <v>199909.08453942215</v>
          </cell>
          <cell r="W1624">
            <v>23424.087737537335</v>
          </cell>
          <cell r="X1624">
            <v>115572.60956705674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D1624">
            <v>395</v>
          </cell>
          <cell r="AE1624" t="str">
            <v>S</v>
          </cell>
          <cell r="AF1624" t="str">
            <v>395.S</v>
          </cell>
        </row>
        <row r="1625">
          <cell r="A1625">
            <v>1625</v>
          </cell>
          <cell r="D1625" t="str">
            <v>SGP</v>
          </cell>
          <cell r="E1625" t="str">
            <v>G-DGP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M1625">
            <v>0.59419421435740905</v>
          </cell>
          <cell r="N1625">
            <v>0</v>
          </cell>
          <cell r="O1625">
            <v>0</v>
          </cell>
          <cell r="P1625">
            <v>1</v>
          </cell>
          <cell r="Q1625">
            <v>0</v>
          </cell>
          <cell r="R1625">
            <v>0</v>
          </cell>
          <cell r="S1625" t="str">
            <v>PLNT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395</v>
          </cell>
          <cell r="AE1625" t="str">
            <v>SGP</v>
          </cell>
          <cell r="AF1625" t="str">
            <v>395.SGP</v>
          </cell>
        </row>
        <row r="1626">
          <cell r="A1626">
            <v>1626</v>
          </cell>
          <cell r="D1626" t="str">
            <v>SGU</v>
          </cell>
          <cell r="E1626" t="str">
            <v>G-DGU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M1626">
            <v>0.59419421435740905</v>
          </cell>
          <cell r="N1626">
            <v>0</v>
          </cell>
          <cell r="O1626">
            <v>0</v>
          </cell>
          <cell r="P1626">
            <v>1</v>
          </cell>
          <cell r="Q1626">
            <v>0</v>
          </cell>
          <cell r="R1626">
            <v>0</v>
          </cell>
          <cell r="S1626" t="str">
            <v>PLNT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D1626">
            <v>395</v>
          </cell>
          <cell r="AE1626" t="str">
            <v>SGU</v>
          </cell>
          <cell r="AF1626" t="str">
            <v>395.SGU</v>
          </cell>
        </row>
        <row r="1627">
          <cell r="A1627">
            <v>1627</v>
          </cell>
          <cell r="D1627" t="str">
            <v>SO</v>
          </cell>
          <cell r="E1627" t="str">
            <v>PTD</v>
          </cell>
          <cell r="F1627">
            <v>333314.50957191276</v>
          </cell>
          <cell r="G1627">
            <v>163207.82863436386</v>
          </cell>
          <cell r="H1627">
            <v>67798.086128436858</v>
          </cell>
          <cell r="I1627">
            <v>102308.59480911208</v>
          </cell>
          <cell r="J1627">
            <v>0</v>
          </cell>
          <cell r="K1627">
            <v>0</v>
          </cell>
          <cell r="M1627">
            <v>0.59419421435740905</v>
          </cell>
          <cell r="N1627">
            <v>96977.147512374475</v>
          </cell>
          <cell r="O1627">
            <v>66230.681121989386</v>
          </cell>
          <cell r="P1627">
            <v>1</v>
          </cell>
          <cell r="Q1627">
            <v>67798.086128436858</v>
          </cell>
          <cell r="R1627">
            <v>0</v>
          </cell>
          <cell r="S1627" t="str">
            <v>PLNT</v>
          </cell>
          <cell r="T1627">
            <v>15286.772950702356</v>
          </cell>
          <cell r="U1627">
            <v>47919.039674751977</v>
          </cell>
          <cell r="V1627">
            <v>23065.411710436016</v>
          </cell>
          <cell r="W1627">
            <v>2702.6597057980607</v>
          </cell>
          <cell r="X1627">
            <v>13334.710767423665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D1627">
            <v>395</v>
          </cell>
          <cell r="AE1627" t="str">
            <v>SO</v>
          </cell>
          <cell r="AF1627" t="str">
            <v>395.SO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0.59419421435740905</v>
          </cell>
          <cell r="N1628">
            <v>0</v>
          </cell>
          <cell r="O1628">
            <v>0</v>
          </cell>
          <cell r="P1628">
            <v>1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>
            <v>395</v>
          </cell>
          <cell r="AE1628" t="str">
            <v>SE</v>
          </cell>
          <cell r="AF1628" t="str">
            <v>395.SE</v>
          </cell>
        </row>
        <row r="1629">
          <cell r="A1629">
            <v>1629</v>
          </cell>
          <cell r="D1629" t="str">
            <v>CAGW</v>
          </cell>
          <cell r="E1629" t="str">
            <v>G-SG</v>
          </cell>
          <cell r="F1629">
            <v>287916.18210578075</v>
          </cell>
          <cell r="G1629">
            <v>119544.86436785369</v>
          </cell>
          <cell r="H1629">
            <v>168371.31773792708</v>
          </cell>
          <cell r="I1629">
            <v>0</v>
          </cell>
          <cell r="J1629">
            <v>0</v>
          </cell>
          <cell r="K1629">
            <v>0</v>
          </cell>
          <cell r="M1629">
            <v>0.59419421435740905</v>
          </cell>
          <cell r="N1629">
            <v>71032.866763519851</v>
          </cell>
          <cell r="O1629">
            <v>48511.997604333847</v>
          </cell>
          <cell r="P1629">
            <v>1</v>
          </cell>
          <cell r="Q1629">
            <v>168371.31773792708</v>
          </cell>
          <cell r="R1629">
            <v>0</v>
          </cell>
          <cell r="S1629" t="str">
            <v>PLNT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>
            <v>395</v>
          </cell>
          <cell r="AE1629" t="str">
            <v>CAGW</v>
          </cell>
          <cell r="AF1629" t="str">
            <v>395.CAGW</v>
          </cell>
        </row>
        <row r="1630">
          <cell r="A1630">
            <v>1630</v>
          </cell>
          <cell r="D1630" t="str">
            <v>JBG</v>
          </cell>
          <cell r="E1630" t="str">
            <v>G-SG</v>
          </cell>
          <cell r="F1630">
            <v>77193.391006874823</v>
          </cell>
          <cell r="G1630">
            <v>32051.249744000641</v>
          </cell>
          <cell r="H1630">
            <v>45142.141262874189</v>
          </cell>
          <cell r="I1630">
            <v>0</v>
          </cell>
          <cell r="J1630">
            <v>0</v>
          </cell>
          <cell r="K1630">
            <v>0</v>
          </cell>
          <cell r="M1630">
            <v>0.59419421435740905</v>
          </cell>
          <cell r="N1630">
            <v>19044.667160809568</v>
          </cell>
          <cell r="O1630">
            <v>13006.582583191072</v>
          </cell>
          <cell r="P1630">
            <v>1</v>
          </cell>
          <cell r="Q1630">
            <v>45142.141262874189</v>
          </cell>
          <cell r="R1630">
            <v>0</v>
          </cell>
          <cell r="S1630" t="str">
            <v>PLNT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D1630">
            <v>395</v>
          </cell>
          <cell r="AE1630" t="str">
            <v>JBG</v>
          </cell>
          <cell r="AF1630" t="str">
            <v>395.JBG</v>
          </cell>
        </row>
        <row r="1631">
          <cell r="A1631">
            <v>1631</v>
          </cell>
          <cell r="D1631" t="str">
            <v>CAGE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0.59419421435740905</v>
          </cell>
          <cell r="N1631">
            <v>0</v>
          </cell>
          <cell r="O1631">
            <v>0</v>
          </cell>
          <cell r="P1631">
            <v>1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>
            <v>395</v>
          </cell>
          <cell r="AE1631" t="str">
            <v>CAGE</v>
          </cell>
          <cell r="AF1631" t="str">
            <v>395.CAGE</v>
          </cell>
        </row>
        <row r="1632">
          <cell r="A1632">
            <v>1632</v>
          </cell>
          <cell r="F1632">
            <v>1975818.6426845684</v>
          </cell>
          <cell r="G1632">
            <v>314803.94274621818</v>
          </cell>
          <cell r="H1632">
            <v>671992.36311740545</v>
          </cell>
          <cell r="I1632">
            <v>989022.33682094514</v>
          </cell>
          <cell r="J1632">
            <v>0</v>
          </cell>
          <cell r="K1632">
            <v>0</v>
          </cell>
          <cell r="N1632">
            <v>187054.68143670389</v>
          </cell>
          <cell r="O1632">
            <v>127749.26130951432</v>
          </cell>
          <cell r="Q1632">
            <v>671992.36311740545</v>
          </cell>
          <cell r="R1632">
            <v>0</v>
          </cell>
          <cell r="T1632">
            <v>147778.00373823816</v>
          </cell>
          <cell r="U1632">
            <v>463235.76905503293</v>
          </cell>
          <cell r="V1632">
            <v>222974.49624985817</v>
          </cell>
          <cell r="W1632">
            <v>26126.747443335396</v>
          </cell>
          <cell r="X1632">
            <v>128907.32033448041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>
            <v>395</v>
          </cell>
          <cell r="AE1632" t="str">
            <v>NA</v>
          </cell>
          <cell r="AF1632" t="str">
            <v>395.NA1</v>
          </cell>
        </row>
        <row r="1633">
          <cell r="A1633">
            <v>1633</v>
          </cell>
          <cell r="AD1633">
            <v>395</v>
          </cell>
          <cell r="AE1633" t="str">
            <v>NA</v>
          </cell>
          <cell r="AF1633" t="str">
            <v>395.NA2</v>
          </cell>
        </row>
        <row r="1634">
          <cell r="A1634">
            <v>1634</v>
          </cell>
          <cell r="B1634">
            <v>396</v>
          </cell>
          <cell r="C1634" t="str">
            <v>Power Operated Equipment</v>
          </cell>
          <cell r="AD1634">
            <v>396</v>
          </cell>
          <cell r="AE1634" t="str">
            <v>NA</v>
          </cell>
          <cell r="AF1634" t="str">
            <v>396.NA</v>
          </cell>
        </row>
        <row r="1635">
          <cell r="A1635">
            <v>1635</v>
          </cell>
          <cell r="D1635" t="str">
            <v>S</v>
          </cell>
          <cell r="E1635" t="str">
            <v>G-SITUS</v>
          </cell>
          <cell r="F1635">
            <v>8938492.0700000003</v>
          </cell>
          <cell r="G1635">
            <v>0</v>
          </cell>
          <cell r="H1635">
            <v>2733765.6686813715</v>
          </cell>
          <cell r="I1635">
            <v>6204726.4013186302</v>
          </cell>
          <cell r="J1635">
            <v>0</v>
          </cell>
          <cell r="K1635">
            <v>0</v>
          </cell>
          <cell r="M1635">
            <v>0.59419421435740905</v>
          </cell>
          <cell r="N1635">
            <v>0</v>
          </cell>
          <cell r="O1635">
            <v>0</v>
          </cell>
          <cell r="P1635">
            <v>1</v>
          </cell>
          <cell r="Q1635">
            <v>2733765.6686813715</v>
          </cell>
          <cell r="R1635">
            <v>0</v>
          </cell>
          <cell r="S1635" t="str">
            <v>PLNT</v>
          </cell>
          <cell r="T1635">
            <v>927099.46701113915</v>
          </cell>
          <cell r="U1635">
            <v>2906153.9858945203</v>
          </cell>
          <cell r="V1635">
            <v>1398851.8683503589</v>
          </cell>
          <cell r="W1635">
            <v>163908.6536339733</v>
          </cell>
          <cell r="X1635">
            <v>808712.4264286384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D1635">
            <v>396</v>
          </cell>
          <cell r="AE1635" t="str">
            <v>S</v>
          </cell>
          <cell r="AF1635" t="str">
            <v>396.S</v>
          </cell>
        </row>
        <row r="1636">
          <cell r="A1636">
            <v>1636</v>
          </cell>
          <cell r="D1636" t="str">
            <v>SG-P</v>
          </cell>
          <cell r="E1636" t="str">
            <v>G-DGP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M1636">
            <v>0.59419421435740905</v>
          </cell>
          <cell r="N1636">
            <v>0</v>
          </cell>
          <cell r="O1636">
            <v>0</v>
          </cell>
          <cell r="P1636">
            <v>1</v>
          </cell>
          <cell r="Q1636">
            <v>0</v>
          </cell>
          <cell r="R1636">
            <v>0</v>
          </cell>
          <cell r="S1636" t="str">
            <v>PLNT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396</v>
          </cell>
          <cell r="AE1636" t="str">
            <v>SG-P</v>
          </cell>
          <cell r="AF1636" t="str">
            <v>396.SG-P</v>
          </cell>
        </row>
        <row r="1637">
          <cell r="A1637">
            <v>1637</v>
          </cell>
          <cell r="D1637" t="str">
            <v>CAGW</v>
          </cell>
          <cell r="E1637" t="str">
            <v>G-SG</v>
          </cell>
          <cell r="F1637">
            <v>774024.78967441025</v>
          </cell>
          <cell r="G1637">
            <v>321380.64565258776</v>
          </cell>
          <cell r="H1637">
            <v>452644.14402182255</v>
          </cell>
          <cell r="I1637">
            <v>0</v>
          </cell>
          <cell r="J1637">
            <v>0</v>
          </cell>
          <cell r="K1637">
            <v>0</v>
          </cell>
          <cell r="M1637">
            <v>0.59419421435740905</v>
          </cell>
          <cell r="N1637">
            <v>190962.52025321624</v>
          </cell>
          <cell r="O1637">
            <v>130418.12539937151</v>
          </cell>
          <cell r="P1637">
            <v>1</v>
          </cell>
          <cell r="Q1637">
            <v>452644.14402182255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396</v>
          </cell>
          <cell r="AE1637" t="str">
            <v>CAGW</v>
          </cell>
          <cell r="AF1637" t="str">
            <v>396.CAGW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408351.28346390935</v>
          </cell>
          <cell r="G1638">
            <v>199949.67029727015</v>
          </cell>
          <cell r="H1638">
            <v>83060.997022005467</v>
          </cell>
          <cell r="I1638">
            <v>125340.61614463376</v>
          </cell>
          <cell r="J1638">
            <v>0</v>
          </cell>
          <cell r="K1638">
            <v>0</v>
          </cell>
          <cell r="M1638">
            <v>0.59419421435740905</v>
          </cell>
          <cell r="N1638">
            <v>118808.9372533094</v>
          </cell>
          <cell r="O1638">
            <v>81140.733043960747</v>
          </cell>
          <cell r="P1638">
            <v>1</v>
          </cell>
          <cell r="Q1638">
            <v>83060.997022005467</v>
          </cell>
          <cell r="R1638">
            <v>0</v>
          </cell>
          <cell r="S1638" t="str">
            <v>PLNT</v>
          </cell>
          <cell r="T1638">
            <v>18728.177667566808</v>
          </cell>
          <cell r="U1638">
            <v>58706.719304462807</v>
          </cell>
          <cell r="V1638">
            <v>28257.967190437968</v>
          </cell>
          <cell r="W1638">
            <v>3311.0906604283909</v>
          </cell>
          <cell r="X1638">
            <v>16336.661321737784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396</v>
          </cell>
          <cell r="AE1638" t="str">
            <v>SO</v>
          </cell>
          <cell r="AF1638" t="str">
            <v>396.SO</v>
          </cell>
        </row>
        <row r="1639">
          <cell r="A1639">
            <v>1639</v>
          </cell>
          <cell r="D1639" t="str">
            <v>SG-U</v>
          </cell>
          <cell r="E1639" t="str">
            <v>G-DGU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M1639">
            <v>0.59419421435740905</v>
          </cell>
          <cell r="N1639">
            <v>0</v>
          </cell>
          <cell r="O1639">
            <v>0</v>
          </cell>
          <cell r="P1639">
            <v>1</v>
          </cell>
          <cell r="Q1639">
            <v>0</v>
          </cell>
          <cell r="R1639">
            <v>0</v>
          </cell>
          <cell r="S1639" t="str">
            <v>PLNT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396</v>
          </cell>
          <cell r="AE1639" t="str">
            <v>SG-U</v>
          </cell>
          <cell r="AF1639" t="str">
            <v>396.SG-U</v>
          </cell>
        </row>
        <row r="1640">
          <cell r="A1640">
            <v>1640</v>
          </cell>
          <cell r="D1640" t="str">
            <v>SE</v>
          </cell>
          <cell r="E1640" t="str">
            <v>P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M1640">
            <v>0.59419421435740905</v>
          </cell>
          <cell r="N1640">
            <v>0</v>
          </cell>
          <cell r="O1640">
            <v>0</v>
          </cell>
          <cell r="P1640">
            <v>1</v>
          </cell>
          <cell r="Q1640">
            <v>0</v>
          </cell>
          <cell r="R1640">
            <v>0</v>
          </cell>
          <cell r="S1640" t="str">
            <v>PLNT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D1640">
            <v>396</v>
          </cell>
          <cell r="AE1640" t="str">
            <v>SE</v>
          </cell>
          <cell r="AF1640" t="str">
            <v>396.SE</v>
          </cell>
        </row>
        <row r="1641">
          <cell r="A1641">
            <v>1641</v>
          </cell>
          <cell r="D1641" t="str">
            <v>JBG</v>
          </cell>
          <cell r="E1641" t="str">
            <v>G-SG</v>
          </cell>
          <cell r="F1641">
            <v>2168844.4072024617</v>
          </cell>
          <cell r="G1641">
            <v>900519.75751310377</v>
          </cell>
          <cell r="H1641">
            <v>1268324.649689358</v>
          </cell>
          <cell r="I1641">
            <v>0</v>
          </cell>
          <cell r="J1641">
            <v>0</v>
          </cell>
          <cell r="K1641">
            <v>0</v>
          </cell>
          <cell r="M1641">
            <v>0.59419421435740905</v>
          </cell>
          <cell r="N1641">
            <v>535083.62982882315</v>
          </cell>
          <cell r="O1641">
            <v>365436.12768428057</v>
          </cell>
          <cell r="P1641">
            <v>1</v>
          </cell>
          <cell r="Q1641">
            <v>1268324.649689358</v>
          </cell>
          <cell r="R1641">
            <v>0</v>
          </cell>
          <cell r="S1641" t="str">
            <v>PLNT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396</v>
          </cell>
          <cell r="AE1641" t="str">
            <v>JBG</v>
          </cell>
          <cell r="AF1641" t="str">
            <v>396.JBG</v>
          </cell>
        </row>
        <row r="1642">
          <cell r="A1642">
            <v>1642</v>
          </cell>
          <cell r="D1642" t="str">
            <v>CAGE</v>
          </cell>
          <cell r="E1642" t="str">
            <v>G-SG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M1642">
            <v>0.59419421435740905</v>
          </cell>
          <cell r="N1642">
            <v>0</v>
          </cell>
          <cell r="O1642">
            <v>0</v>
          </cell>
          <cell r="P1642">
            <v>1</v>
          </cell>
          <cell r="Q1642">
            <v>0</v>
          </cell>
          <cell r="R1642">
            <v>0</v>
          </cell>
          <cell r="S1642" t="str">
            <v>PLNT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D1642">
            <v>396</v>
          </cell>
          <cell r="AE1642" t="str">
            <v>CAGE</v>
          </cell>
          <cell r="AF1642" t="str">
            <v>396.CAGE</v>
          </cell>
        </row>
        <row r="1643">
          <cell r="A1643">
            <v>1643</v>
          </cell>
          <cell r="F1643">
            <v>12289712.550340783</v>
          </cell>
          <cell r="G1643">
            <v>1421850.0734629617</v>
          </cell>
          <cell r="H1643">
            <v>4537795.4594145576</v>
          </cell>
          <cell r="I1643">
            <v>6330067.0174632641</v>
          </cell>
          <cell r="J1643">
            <v>0</v>
          </cell>
          <cell r="K1643">
            <v>0</v>
          </cell>
          <cell r="N1643">
            <v>844855.08733534883</v>
          </cell>
          <cell r="O1643">
            <v>576994.98612761288</v>
          </cell>
          <cell r="Q1643">
            <v>4537795.4594145576</v>
          </cell>
          <cell r="R1643">
            <v>0</v>
          </cell>
          <cell r="T1643">
            <v>945827.64467870595</v>
          </cell>
          <cell r="U1643">
            <v>2964860.7051989832</v>
          </cell>
          <cell r="V1643">
            <v>1427109.8355407969</v>
          </cell>
          <cell r="W1643">
            <v>167219.74429440169</v>
          </cell>
          <cell r="X1643">
            <v>825049.0877503762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D1643">
            <v>396</v>
          </cell>
          <cell r="AE1643" t="str">
            <v>NA</v>
          </cell>
          <cell r="AF1643" t="str">
            <v>396.NA1</v>
          </cell>
        </row>
        <row r="1644">
          <cell r="A1644">
            <v>1644</v>
          </cell>
          <cell r="AD1644">
            <v>396</v>
          </cell>
          <cell r="AE1644" t="str">
            <v>NA</v>
          </cell>
          <cell r="AF1644" t="str">
            <v>396.NA2</v>
          </cell>
        </row>
        <row r="1645">
          <cell r="A1645">
            <v>1645</v>
          </cell>
          <cell r="B1645">
            <v>397</v>
          </cell>
          <cell r="C1645" t="str">
            <v>Communication Equipment</v>
          </cell>
          <cell r="AD1645">
            <v>397</v>
          </cell>
          <cell r="AE1645" t="str">
            <v>NA</v>
          </cell>
          <cell r="AF1645" t="str">
            <v>397.NA</v>
          </cell>
        </row>
        <row r="1646">
          <cell r="A1646">
            <v>1646</v>
          </cell>
          <cell r="D1646" t="str">
            <v>S</v>
          </cell>
          <cell r="E1646" t="str">
            <v>G-SITUS</v>
          </cell>
          <cell r="F1646">
            <v>15141287.744463166</v>
          </cell>
          <cell r="G1646">
            <v>0</v>
          </cell>
          <cell r="H1646">
            <v>4630840.6710304776</v>
          </cell>
          <cell r="I1646">
            <v>10510447.073432691</v>
          </cell>
          <cell r="J1646">
            <v>0</v>
          </cell>
          <cell r="K1646">
            <v>0</v>
          </cell>
          <cell r="M1646">
            <v>0.59419421435740905</v>
          </cell>
          <cell r="N1646">
            <v>0</v>
          </cell>
          <cell r="O1646">
            <v>0</v>
          </cell>
          <cell r="P1646">
            <v>1</v>
          </cell>
          <cell r="Q1646">
            <v>4630840.6710304776</v>
          </cell>
          <cell r="R1646">
            <v>0</v>
          </cell>
          <cell r="S1646" t="str">
            <v>PLNT</v>
          </cell>
          <cell r="T1646">
            <v>1570452.7886608166</v>
          </cell>
          <cell r="U1646">
            <v>4922856.4936398137</v>
          </cell>
          <cell r="V1646">
            <v>2369574.0271068662</v>
          </cell>
          <cell r="W1646">
            <v>277651.76374761137</v>
          </cell>
          <cell r="X1646">
            <v>1369912.0002775828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>
            <v>397</v>
          </cell>
          <cell r="AE1646" t="str">
            <v>S</v>
          </cell>
          <cell r="AF1646" t="str">
            <v>397.S</v>
          </cell>
        </row>
        <row r="1647">
          <cell r="A1647">
            <v>1647</v>
          </cell>
          <cell r="D1647" t="str">
            <v>SGP</v>
          </cell>
          <cell r="E1647" t="str">
            <v>G-DGP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M1647">
            <v>0.59419421435740905</v>
          </cell>
          <cell r="N1647">
            <v>0</v>
          </cell>
          <cell r="O1647">
            <v>0</v>
          </cell>
          <cell r="P1647">
            <v>1</v>
          </cell>
          <cell r="Q1647">
            <v>0</v>
          </cell>
          <cell r="R1647">
            <v>0</v>
          </cell>
          <cell r="S1647" t="str">
            <v>PLNT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D1647">
            <v>397</v>
          </cell>
          <cell r="AE1647" t="str">
            <v>SGP</v>
          </cell>
          <cell r="AF1647" t="str">
            <v>397.SGP</v>
          </cell>
        </row>
        <row r="1648">
          <cell r="A1648">
            <v>1648</v>
          </cell>
          <cell r="D1648" t="str">
            <v>SGU</v>
          </cell>
          <cell r="E1648" t="str">
            <v>G-DGU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0.59419421435740905</v>
          </cell>
          <cell r="N1648">
            <v>0</v>
          </cell>
          <cell r="O1648">
            <v>0</v>
          </cell>
          <cell r="P1648">
            <v>1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>
            <v>397</v>
          </cell>
          <cell r="AE1648" t="str">
            <v>SGU</v>
          </cell>
          <cell r="AF1648" t="str">
            <v>397.SGU</v>
          </cell>
        </row>
        <row r="1649">
          <cell r="A1649">
            <v>1649</v>
          </cell>
          <cell r="D1649" t="str">
            <v>SO</v>
          </cell>
          <cell r="E1649" t="str">
            <v>PTD</v>
          </cell>
          <cell r="F1649">
            <v>7455706.8861076515</v>
          </cell>
          <cell r="G1649">
            <v>3650695.3549028519</v>
          </cell>
          <cell r="H1649">
            <v>1516533.6134388959</v>
          </cell>
          <cell r="I1649">
            <v>2288477.9177659042</v>
          </cell>
          <cell r="J1649">
            <v>0</v>
          </cell>
          <cell r="K1649">
            <v>0</v>
          </cell>
          <cell r="M1649">
            <v>0.59419421435740905</v>
          </cell>
          <cell r="N1649">
            <v>2169222.0582647426</v>
          </cell>
          <cell r="O1649">
            <v>1481473.2966381093</v>
          </cell>
          <cell r="P1649">
            <v>1</v>
          </cell>
          <cell r="Q1649">
            <v>1516533.6134388959</v>
          </cell>
          <cell r="R1649">
            <v>0</v>
          </cell>
          <cell r="S1649" t="str">
            <v>PLNT</v>
          </cell>
          <cell r="T1649">
            <v>341940.40487855166</v>
          </cell>
          <cell r="U1649">
            <v>1071871.4721947405</v>
          </cell>
          <cell r="V1649">
            <v>515935.98232873657</v>
          </cell>
          <cell r="W1649">
            <v>60454.129660313687</v>
          </cell>
          <cell r="X1649">
            <v>298275.92870356166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>
            <v>397</v>
          </cell>
          <cell r="AE1649" t="str">
            <v>SO</v>
          </cell>
          <cell r="AF1649" t="str">
            <v>397.SO</v>
          </cell>
        </row>
        <row r="1650">
          <cell r="A1650">
            <v>1650</v>
          </cell>
          <cell r="D1650" t="str">
            <v>CN</v>
          </cell>
          <cell r="E1650" t="str">
            <v>CUST</v>
          </cell>
          <cell r="F1650">
            <v>71892.992636725161</v>
          </cell>
          <cell r="G1650">
            <v>0</v>
          </cell>
          <cell r="H1650">
            <v>0</v>
          </cell>
          <cell r="I1650">
            <v>0</v>
          </cell>
          <cell r="J1650">
            <v>71892.992636725161</v>
          </cell>
          <cell r="K1650">
            <v>0</v>
          </cell>
          <cell r="M1650">
            <v>0.59419421435740905</v>
          </cell>
          <cell r="N1650">
            <v>0</v>
          </cell>
          <cell r="O1650">
            <v>0</v>
          </cell>
          <cell r="P1650">
            <v>1</v>
          </cell>
          <cell r="Q1650">
            <v>0</v>
          </cell>
          <cell r="R1650">
            <v>0</v>
          </cell>
          <cell r="S1650" t="str">
            <v>PLNT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D1650">
            <v>397</v>
          </cell>
          <cell r="AE1650" t="str">
            <v>CN</v>
          </cell>
          <cell r="AF1650" t="str">
            <v>397.CN</v>
          </cell>
        </row>
        <row r="1651">
          <cell r="A1651">
            <v>1651</v>
          </cell>
          <cell r="D1651" t="str">
            <v>CAGW</v>
          </cell>
          <cell r="E1651" t="str">
            <v>G-SG</v>
          </cell>
          <cell r="F1651">
            <v>13090607.462139789</v>
          </cell>
          <cell r="G1651">
            <v>5435314.1324281758</v>
          </cell>
          <cell r="H1651">
            <v>7655293.3297116132</v>
          </cell>
          <cell r="I1651">
            <v>0</v>
          </cell>
          <cell r="J1651">
            <v>0</v>
          </cell>
          <cell r="K1651">
            <v>0</v>
          </cell>
          <cell r="M1651">
            <v>0.59419421435740905</v>
          </cell>
          <cell r="N1651">
            <v>3229632.2107038824</v>
          </cell>
          <cell r="O1651">
            <v>2205681.9217242934</v>
          </cell>
          <cell r="P1651">
            <v>1</v>
          </cell>
          <cell r="Q1651">
            <v>7655293.3297116132</v>
          </cell>
          <cell r="R1651">
            <v>0</v>
          </cell>
          <cell r="S1651" t="str">
            <v>PLNT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D1651">
            <v>397</v>
          </cell>
          <cell r="AE1651" t="str">
            <v>CAGW</v>
          </cell>
          <cell r="AF1651" t="str">
            <v>397.CAGW</v>
          </cell>
        </row>
        <row r="1652">
          <cell r="A1652">
            <v>1652</v>
          </cell>
          <cell r="D1652" t="str">
            <v>SE</v>
          </cell>
          <cell r="E1652" t="str">
            <v>P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0.59419421435740905</v>
          </cell>
          <cell r="N1652">
            <v>0</v>
          </cell>
          <cell r="O1652">
            <v>0</v>
          </cell>
          <cell r="P1652">
            <v>1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>
            <v>397</v>
          </cell>
          <cell r="AE1652" t="str">
            <v>SE</v>
          </cell>
          <cell r="AF1652" t="str">
            <v>397.SE</v>
          </cell>
        </row>
        <row r="1653">
          <cell r="A1653">
            <v>1653</v>
          </cell>
          <cell r="D1653" t="str">
            <v>JBG</v>
          </cell>
          <cell r="E1653" t="str">
            <v>P</v>
          </cell>
          <cell r="F1653">
            <v>858254.28638843982</v>
          </cell>
          <cell r="G1653">
            <v>858254.28638843982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M1653">
            <v>0.59419421435740905</v>
          </cell>
          <cell r="N1653">
            <v>509969.73141945776</v>
          </cell>
          <cell r="O1653">
            <v>348284.55496898206</v>
          </cell>
          <cell r="P1653">
            <v>1</v>
          </cell>
          <cell r="Q1653">
            <v>0</v>
          </cell>
          <cell r="R1653">
            <v>0</v>
          </cell>
          <cell r="S1653" t="str">
            <v>PLNT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>
            <v>397</v>
          </cell>
          <cell r="AE1653" t="str">
            <v>JBG</v>
          </cell>
          <cell r="AF1653" t="str">
            <v>397.JBG</v>
          </cell>
        </row>
        <row r="1654">
          <cell r="A1654">
            <v>1654</v>
          </cell>
          <cell r="D1654" t="str">
            <v>SG</v>
          </cell>
          <cell r="E1654" t="str">
            <v>G-SG</v>
          </cell>
          <cell r="F1654">
            <v>10832.713391067768</v>
          </cell>
          <cell r="G1654">
            <v>4497.8203156196541</v>
          </cell>
          <cell r="H1654">
            <v>6334.8930754481134</v>
          </cell>
          <cell r="I1654">
            <v>0</v>
          </cell>
          <cell r="J1654">
            <v>0</v>
          </cell>
          <cell r="K1654">
            <v>0</v>
          </cell>
          <cell r="M1654">
            <v>0.59419421435740905</v>
          </cell>
          <cell r="N1654">
            <v>2672.5788087604142</v>
          </cell>
          <cell r="O1654">
            <v>1825.2415068592402</v>
          </cell>
          <cell r="P1654">
            <v>1</v>
          </cell>
          <cell r="Q1654">
            <v>6334.8930754481134</v>
          </cell>
          <cell r="R1654">
            <v>0</v>
          </cell>
          <cell r="S1654" t="str">
            <v>PLNT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>
            <v>397</v>
          </cell>
          <cell r="AE1654" t="str">
            <v>SG</v>
          </cell>
          <cell r="AF1654" t="str">
            <v>397.SG</v>
          </cell>
        </row>
        <row r="1655">
          <cell r="A1655">
            <v>1655</v>
          </cell>
          <cell r="D1655" t="str">
            <v>JBE</v>
          </cell>
          <cell r="E1655" t="str">
            <v>G-SG</v>
          </cell>
          <cell r="F1655">
            <v>-72.497943240430459</v>
          </cell>
          <cell r="G1655">
            <v>-30.10166614546673</v>
          </cell>
          <cell r="H1655">
            <v>-42.396277094963736</v>
          </cell>
          <cell r="I1655">
            <v>0</v>
          </cell>
          <cell r="J1655">
            <v>0</v>
          </cell>
          <cell r="K1655">
            <v>0</v>
          </cell>
          <cell r="M1655">
            <v>0.59419421435740905</v>
          </cell>
          <cell r="N1655">
            <v>-17.886235866154621</v>
          </cell>
          <cell r="O1655">
            <v>-12.215430279312109</v>
          </cell>
          <cell r="P1655">
            <v>1</v>
          </cell>
          <cell r="Q1655">
            <v>-42.396277094963736</v>
          </cell>
          <cell r="R1655">
            <v>0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>
            <v>397</v>
          </cell>
          <cell r="AE1655" t="str">
            <v>JBE</v>
          </cell>
          <cell r="AF1655" t="str">
            <v>397.JBE</v>
          </cell>
        </row>
        <row r="1656">
          <cell r="A1656">
            <v>1656</v>
          </cell>
          <cell r="F1656">
            <v>36628509.587183602</v>
          </cell>
          <cell r="G1656">
            <v>9948731.4923689421</v>
          </cell>
          <cell r="H1656">
            <v>13808960.110979339</v>
          </cell>
          <cell r="I1656">
            <v>12798924.991198596</v>
          </cell>
          <cell r="J1656">
            <v>71892.992636725161</v>
          </cell>
          <cell r="K1656">
            <v>0</v>
          </cell>
          <cell r="N1656">
            <v>5911478.6929609776</v>
          </cell>
          <cell r="O1656">
            <v>4037252.7994079646</v>
          </cell>
          <cell r="Q1656">
            <v>13808960.110979339</v>
          </cell>
          <cell r="R1656">
            <v>0</v>
          </cell>
          <cell r="T1656">
            <v>1912393.1935393682</v>
          </cell>
          <cell r="U1656">
            <v>5994727.9658345543</v>
          </cell>
          <cell r="V1656">
            <v>2885510.0094356029</v>
          </cell>
          <cell r="W1656">
            <v>338105.89340792503</v>
          </cell>
          <cell r="X1656">
            <v>1668187.9289811444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>
            <v>397</v>
          </cell>
          <cell r="AE1656" t="str">
            <v>NA</v>
          </cell>
          <cell r="AF1656" t="str">
            <v>397.NA1</v>
          </cell>
        </row>
        <row r="1657">
          <cell r="A1657">
            <v>1657</v>
          </cell>
          <cell r="AD1657">
            <v>397</v>
          </cell>
          <cell r="AE1657" t="str">
            <v>NA</v>
          </cell>
          <cell r="AF1657" t="str">
            <v>397.NA2</v>
          </cell>
        </row>
        <row r="1658">
          <cell r="A1658">
            <v>1658</v>
          </cell>
          <cell r="B1658">
            <v>398</v>
          </cell>
          <cell r="C1658" t="str">
            <v>Misc. Equipment</v>
          </cell>
          <cell r="AD1658">
            <v>398</v>
          </cell>
          <cell r="AE1658" t="str">
            <v>NA</v>
          </cell>
          <cell r="AF1658" t="str">
            <v>398.NA</v>
          </cell>
        </row>
        <row r="1659">
          <cell r="A1659">
            <v>1659</v>
          </cell>
          <cell r="D1659" t="str">
            <v>S</v>
          </cell>
          <cell r="E1659" t="str">
            <v>G-SITUS</v>
          </cell>
          <cell r="F1659">
            <v>180963.03</v>
          </cell>
          <cell r="G1659">
            <v>0</v>
          </cell>
          <cell r="H1659">
            <v>55346.082408568618</v>
          </cell>
          <cell r="I1659">
            <v>125616.94759143141</v>
          </cell>
          <cell r="J1659">
            <v>0</v>
          </cell>
          <cell r="K1659">
            <v>0</v>
          </cell>
          <cell r="M1659">
            <v>0.59419421435740905</v>
          </cell>
          <cell r="N1659">
            <v>0</v>
          </cell>
          <cell r="O1659">
            <v>0</v>
          </cell>
          <cell r="P1659">
            <v>1</v>
          </cell>
          <cell r="Q1659">
            <v>55346.082408568618</v>
          </cell>
          <cell r="R1659">
            <v>0</v>
          </cell>
          <cell r="S1659" t="str">
            <v>PLNT</v>
          </cell>
          <cell r="T1659">
            <v>18769.466633505752</v>
          </cell>
          <cell r="U1659">
            <v>58836.146725367027</v>
          </cell>
          <cell r="V1659">
            <v>28320.265950388879</v>
          </cell>
          <cell r="W1659">
            <v>3318.3904368362118</v>
          </cell>
          <cell r="X1659">
            <v>16372.677845333532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D1659">
            <v>398</v>
          </cell>
          <cell r="AE1659" t="str">
            <v>S</v>
          </cell>
          <cell r="AF1659" t="str">
            <v>398.S</v>
          </cell>
        </row>
        <row r="1660">
          <cell r="A1660">
            <v>1660</v>
          </cell>
          <cell r="D1660" t="str">
            <v>SGP</v>
          </cell>
          <cell r="E1660" t="str">
            <v>G-DGP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M1660">
            <v>0.59419421435740905</v>
          </cell>
          <cell r="N1660">
            <v>0</v>
          </cell>
          <cell r="O1660">
            <v>0</v>
          </cell>
          <cell r="P1660">
            <v>1</v>
          </cell>
          <cell r="Q1660">
            <v>0</v>
          </cell>
          <cell r="R1660">
            <v>0</v>
          </cell>
          <cell r="S1660" t="str">
            <v>PLNT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D1660">
            <v>398</v>
          </cell>
          <cell r="AE1660" t="str">
            <v>SGP</v>
          </cell>
          <cell r="AF1660" t="str">
            <v>398.SGP</v>
          </cell>
        </row>
        <row r="1661">
          <cell r="A1661">
            <v>1661</v>
          </cell>
          <cell r="D1661" t="str">
            <v>SGU</v>
          </cell>
          <cell r="E1661" t="str">
            <v>G-DGU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0.59419421435740905</v>
          </cell>
          <cell r="N1661">
            <v>0</v>
          </cell>
          <cell r="O1661">
            <v>0</v>
          </cell>
          <cell r="P1661">
            <v>1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>
            <v>398</v>
          </cell>
          <cell r="AE1661" t="str">
            <v>SGU</v>
          </cell>
          <cell r="AF1661" t="str">
            <v>398.SGU</v>
          </cell>
        </row>
        <row r="1662">
          <cell r="A1662">
            <v>1662</v>
          </cell>
          <cell r="D1662" t="str">
            <v>CN</v>
          </cell>
          <cell r="E1662" t="str">
            <v>CUST</v>
          </cell>
          <cell r="F1662">
            <v>5722.0809235068846</v>
          </cell>
          <cell r="G1662">
            <v>0</v>
          </cell>
          <cell r="H1662">
            <v>0</v>
          </cell>
          <cell r="I1662">
            <v>0</v>
          </cell>
          <cell r="J1662">
            <v>5722.0809235068846</v>
          </cell>
          <cell r="K1662">
            <v>0</v>
          </cell>
          <cell r="M1662">
            <v>0.59419421435740905</v>
          </cell>
          <cell r="N1662">
            <v>0</v>
          </cell>
          <cell r="O1662">
            <v>0</v>
          </cell>
          <cell r="P1662">
            <v>1</v>
          </cell>
          <cell r="Q1662">
            <v>0</v>
          </cell>
          <cell r="R1662">
            <v>0</v>
          </cell>
          <cell r="S1662" t="str">
            <v>CUST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>
            <v>398</v>
          </cell>
          <cell r="AE1662" t="str">
            <v>CN</v>
          </cell>
          <cell r="AF1662" t="str">
            <v>398.CN</v>
          </cell>
        </row>
        <row r="1663">
          <cell r="A1663">
            <v>1663</v>
          </cell>
          <cell r="D1663" t="str">
            <v>SO</v>
          </cell>
          <cell r="E1663" t="str">
            <v>PTD</v>
          </cell>
          <cell r="F1663">
            <v>147783.49200923034</v>
          </cell>
          <cell r="G1663">
            <v>72362.3549116051</v>
          </cell>
          <cell r="H1663">
            <v>30060.011286251131</v>
          </cell>
          <cell r="I1663">
            <v>45361.125811374128</v>
          </cell>
          <cell r="J1663">
            <v>0</v>
          </cell>
          <cell r="K1663">
            <v>0</v>
          </cell>
          <cell r="M1663">
            <v>0.59419421435740905</v>
          </cell>
          <cell r="N1663">
            <v>42997.292625753194</v>
          </cell>
          <cell r="O1663">
            <v>29365.062285851909</v>
          </cell>
          <cell r="P1663">
            <v>1</v>
          </cell>
          <cell r="Q1663">
            <v>30060.011286251131</v>
          </cell>
          <cell r="R1663">
            <v>0</v>
          </cell>
          <cell r="S1663" t="str">
            <v>PLNT</v>
          </cell>
          <cell r="T1663">
            <v>6777.7808146081661</v>
          </cell>
          <cell r="U1663">
            <v>21246.12884677267</v>
          </cell>
          <cell r="V1663">
            <v>10226.638773021681</v>
          </cell>
          <cell r="W1663">
            <v>1198.2931362587562</v>
          </cell>
          <cell r="X1663">
            <v>5912.2842407128528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>
            <v>398</v>
          </cell>
          <cell r="AE1663" t="str">
            <v>SO</v>
          </cell>
          <cell r="AF1663" t="str">
            <v>398.SO</v>
          </cell>
        </row>
        <row r="1664">
          <cell r="A1664">
            <v>1664</v>
          </cell>
          <cell r="D1664" t="str">
            <v>SE</v>
          </cell>
          <cell r="E1664" t="str">
            <v>P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0.59419421435740905</v>
          </cell>
          <cell r="N1664">
            <v>0</v>
          </cell>
          <cell r="O1664">
            <v>0</v>
          </cell>
          <cell r="P1664">
            <v>1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>
            <v>398</v>
          </cell>
          <cell r="AE1664" t="str">
            <v>SE</v>
          </cell>
          <cell r="AF1664" t="str">
            <v>398.SE</v>
          </cell>
        </row>
        <row r="1665">
          <cell r="A1665">
            <v>1665</v>
          </cell>
          <cell r="D1665" t="str">
            <v>CAGW</v>
          </cell>
          <cell r="E1665" t="str">
            <v>G-SG</v>
          </cell>
          <cell r="F1665">
            <v>88351.481707118161</v>
          </cell>
          <cell r="G1665">
            <v>36684.169052699748</v>
          </cell>
          <cell r="H1665">
            <v>51667.31265441842</v>
          </cell>
          <cell r="I1665">
            <v>0</v>
          </cell>
          <cell r="J1665">
            <v>0</v>
          </cell>
          <cell r="K1665">
            <v>0</v>
          </cell>
          <cell r="M1665">
            <v>0.59419421435740905</v>
          </cell>
          <cell r="N1665">
            <v>21797.521009623306</v>
          </cell>
          <cell r="O1665">
            <v>14886.648043076442</v>
          </cell>
          <cell r="P1665">
            <v>1</v>
          </cell>
          <cell r="Q1665">
            <v>51667.31265441842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>
            <v>398</v>
          </cell>
          <cell r="AE1665" t="str">
            <v>CAGW</v>
          </cell>
          <cell r="AF1665" t="str">
            <v>398.CAGW</v>
          </cell>
        </row>
        <row r="1666">
          <cell r="A1666">
            <v>1666</v>
          </cell>
          <cell r="D1666" t="str">
            <v>JBG</v>
          </cell>
          <cell r="E1666" t="str">
            <v>G-SG</v>
          </cell>
          <cell r="F1666">
            <v>44670.006371456548</v>
          </cell>
          <cell r="G1666">
            <v>18547.307115322143</v>
          </cell>
          <cell r="H1666">
            <v>26122.699256134409</v>
          </cell>
          <cell r="I1666">
            <v>0</v>
          </cell>
          <cell r="J1666">
            <v>0</v>
          </cell>
          <cell r="K1666">
            <v>0</v>
          </cell>
          <cell r="M1666">
            <v>0.59419421435740905</v>
          </cell>
          <cell r="N1666">
            <v>11020.702579834424</v>
          </cell>
          <cell r="O1666">
            <v>7526.6045354877197</v>
          </cell>
          <cell r="P1666">
            <v>1</v>
          </cell>
          <cell r="Q1666">
            <v>26122.699256134409</v>
          </cell>
          <cell r="R1666">
            <v>0</v>
          </cell>
          <cell r="S1666" t="str">
            <v>PLNT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>
            <v>398</v>
          </cell>
          <cell r="AE1666" t="str">
            <v>JBG</v>
          </cell>
          <cell r="AF1666" t="str">
            <v>398.JBG</v>
          </cell>
        </row>
        <row r="1667">
          <cell r="A1667">
            <v>1667</v>
          </cell>
          <cell r="F1667">
            <v>467490.09101131192</v>
          </cell>
          <cell r="G1667">
            <v>127593.83107962699</v>
          </cell>
          <cell r="H1667">
            <v>163196.10560537258</v>
          </cell>
          <cell r="I1667">
            <v>170978.07340280554</v>
          </cell>
          <cell r="J1667">
            <v>5722.0809235068846</v>
          </cell>
          <cell r="K1667">
            <v>0</v>
          </cell>
          <cell r="N1667">
            <v>75815.516215210926</v>
          </cell>
          <cell r="O1667">
            <v>51778.314864416076</v>
          </cell>
          <cell r="Q1667">
            <v>163196.10560537258</v>
          </cell>
          <cell r="R1667">
            <v>0</v>
          </cell>
          <cell r="T1667">
            <v>25547.247448113918</v>
          </cell>
          <cell r="U1667">
            <v>80082.275572139697</v>
          </cell>
          <cell r="V1667">
            <v>38546.90472341056</v>
          </cell>
          <cell r="W1667">
            <v>4516.6835730949679</v>
          </cell>
          <cell r="X1667">
            <v>22284.962086046384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D1667">
            <v>398</v>
          </cell>
          <cell r="AE1667" t="str">
            <v>NA</v>
          </cell>
          <cell r="AF1667" t="str">
            <v>398.NA1</v>
          </cell>
        </row>
        <row r="1668">
          <cell r="A1668">
            <v>1668</v>
          </cell>
          <cell r="AD1668">
            <v>398</v>
          </cell>
          <cell r="AE1668" t="str">
            <v>NA</v>
          </cell>
          <cell r="AF1668" t="str">
            <v>398.NA2</v>
          </cell>
        </row>
        <row r="1669">
          <cell r="A1669">
            <v>1669</v>
          </cell>
          <cell r="B1669">
            <v>399</v>
          </cell>
          <cell r="C1669" t="str">
            <v>Coal Mine</v>
          </cell>
          <cell r="AD1669">
            <v>399</v>
          </cell>
          <cell r="AE1669" t="str">
            <v>NA</v>
          </cell>
          <cell r="AF1669" t="str">
            <v>399.NA</v>
          </cell>
        </row>
        <row r="1670">
          <cell r="A1670">
            <v>1670</v>
          </cell>
          <cell r="D1670" t="str">
            <v>SE-P</v>
          </cell>
          <cell r="E1670" t="str">
            <v>P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M1670">
            <v>0.59419421435740905</v>
          </cell>
          <cell r="N1670">
            <v>0</v>
          </cell>
          <cell r="O1670">
            <v>0</v>
          </cell>
          <cell r="P1670">
            <v>1</v>
          </cell>
          <cell r="Q1670">
            <v>0</v>
          </cell>
          <cell r="R1670">
            <v>0</v>
          </cell>
          <cell r="S1670" t="str">
            <v>ZERO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D1670">
            <v>399</v>
          </cell>
          <cell r="AE1670" t="str">
            <v>SE-P</v>
          </cell>
          <cell r="AF1670" t="str">
            <v>399.SE-P</v>
          </cell>
        </row>
        <row r="1671">
          <cell r="A1671">
            <v>1671</v>
          </cell>
          <cell r="B1671" t="str">
            <v>MP</v>
          </cell>
          <cell r="D1671" t="str">
            <v>JBE</v>
          </cell>
          <cell r="E1671" t="str">
            <v>P</v>
          </cell>
          <cell r="F1671">
            <v>68402453.89308764</v>
          </cell>
          <cell r="G1671">
            <v>68402453.89308764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0.59419421435740905</v>
          </cell>
          <cell r="N1671">
            <v>40644342.351122104</v>
          </cell>
          <cell r="O1671">
            <v>27758111.541965533</v>
          </cell>
          <cell r="P1671">
            <v>1</v>
          </cell>
          <cell r="Q1671">
            <v>0</v>
          </cell>
          <cell r="R1671">
            <v>0</v>
          </cell>
          <cell r="S1671" t="str">
            <v>ZERO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 t="str">
            <v>MP</v>
          </cell>
          <cell r="AE1671" t="str">
            <v>JBE</v>
          </cell>
          <cell r="AF1671" t="str">
            <v>MP.JBE</v>
          </cell>
        </row>
        <row r="1672">
          <cell r="A1672">
            <v>1672</v>
          </cell>
          <cell r="D1672" t="str">
            <v>SE-U</v>
          </cell>
          <cell r="E1672" t="str">
            <v>P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0.59419421435740905</v>
          </cell>
          <cell r="N1672">
            <v>0</v>
          </cell>
          <cell r="O1672">
            <v>0</v>
          </cell>
          <cell r="P1672">
            <v>1</v>
          </cell>
          <cell r="Q1672">
            <v>0</v>
          </cell>
          <cell r="R1672">
            <v>0</v>
          </cell>
          <cell r="S1672" t="str">
            <v>ZERO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 t="str">
            <v>MP</v>
          </cell>
          <cell r="AE1672" t="str">
            <v>SE-U</v>
          </cell>
          <cell r="AF1672" t="str">
            <v>MP.SE-U</v>
          </cell>
        </row>
        <row r="1673">
          <cell r="A1673">
            <v>1673</v>
          </cell>
          <cell r="AD1673" t="str">
            <v>MP</v>
          </cell>
          <cell r="AE1673" t="str">
            <v>NA</v>
          </cell>
          <cell r="AF1673" t="str">
            <v>MP.NA</v>
          </cell>
        </row>
        <row r="1674">
          <cell r="A1674">
            <v>1674</v>
          </cell>
          <cell r="F1674">
            <v>68402453.89308764</v>
          </cell>
          <cell r="G1674">
            <v>68402453.89308764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40644342.351122104</v>
          </cell>
          <cell r="O1674">
            <v>27758111.541965533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 t="str">
            <v>MP</v>
          </cell>
          <cell r="AE1674" t="str">
            <v>NA</v>
          </cell>
          <cell r="AF1674" t="str">
            <v>MP.NA1</v>
          </cell>
        </row>
        <row r="1675">
          <cell r="A1675">
            <v>1675</v>
          </cell>
          <cell r="AD1675" t="str">
            <v>MP</v>
          </cell>
          <cell r="AE1675" t="str">
            <v>NA</v>
          </cell>
          <cell r="AF1675" t="str">
            <v>MP.NA2</v>
          </cell>
        </row>
        <row r="1676">
          <cell r="A1676">
            <v>1676</v>
          </cell>
          <cell r="B1676" t="str">
            <v>399L</v>
          </cell>
          <cell r="C1676" t="str">
            <v>WIDCO Capital Lease</v>
          </cell>
          <cell r="AD1676" t="str">
            <v>399L</v>
          </cell>
          <cell r="AE1676" t="str">
            <v>NA</v>
          </cell>
          <cell r="AF1676" t="str">
            <v>399L.NA</v>
          </cell>
        </row>
        <row r="1677">
          <cell r="A1677">
            <v>1677</v>
          </cell>
          <cell r="D1677" t="str">
            <v>SE-P</v>
          </cell>
          <cell r="E1677" t="str">
            <v>P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M1677">
            <v>0.59419421435740905</v>
          </cell>
          <cell r="N1677">
            <v>0</v>
          </cell>
          <cell r="O1677">
            <v>0</v>
          </cell>
          <cell r="P1677">
            <v>1</v>
          </cell>
          <cell r="Q1677">
            <v>0</v>
          </cell>
          <cell r="R1677">
            <v>0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 t="str">
            <v>399L</v>
          </cell>
          <cell r="AE1677" t="str">
            <v>SE-P</v>
          </cell>
          <cell r="AF1677" t="str">
            <v>399L.SE-P</v>
          </cell>
        </row>
        <row r="1678">
          <cell r="A1678">
            <v>1678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N1678">
            <v>0</v>
          </cell>
          <cell r="O1678">
            <v>0</v>
          </cell>
          <cell r="Q1678">
            <v>0</v>
          </cell>
          <cell r="R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 t="str">
            <v>399L</v>
          </cell>
          <cell r="AE1678" t="str">
            <v>NA</v>
          </cell>
          <cell r="AF1678" t="str">
            <v>399L.NA1</v>
          </cell>
        </row>
        <row r="1679">
          <cell r="A1679">
            <v>1679</v>
          </cell>
          <cell r="AD1679" t="str">
            <v>399L</v>
          </cell>
          <cell r="AE1679" t="str">
            <v>NA</v>
          </cell>
          <cell r="AF1679" t="str">
            <v>399L.NA2</v>
          </cell>
        </row>
        <row r="1680">
          <cell r="A1680">
            <v>1680</v>
          </cell>
          <cell r="C1680" t="str">
            <v>Remove Remaining Capital Leases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0.59419421435740905</v>
          </cell>
          <cell r="N1680">
            <v>0</v>
          </cell>
          <cell r="O1680">
            <v>0</v>
          </cell>
          <cell r="P1680">
            <v>1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 t="str">
            <v>399L</v>
          </cell>
          <cell r="AE1680" t="str">
            <v>NA</v>
          </cell>
          <cell r="AF1680" t="str">
            <v>399L.NA3</v>
          </cell>
        </row>
        <row r="1681">
          <cell r="A1681">
            <v>1681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N1681">
            <v>0</v>
          </cell>
          <cell r="O1681">
            <v>0</v>
          </cell>
          <cell r="Q1681">
            <v>0</v>
          </cell>
          <cell r="R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 t="str">
            <v>399L</v>
          </cell>
          <cell r="AE1681" t="str">
            <v>NA</v>
          </cell>
          <cell r="AF1681" t="str">
            <v>399L.NA4</v>
          </cell>
        </row>
        <row r="1682">
          <cell r="A1682">
            <v>1682</v>
          </cell>
          <cell r="AD1682" t="str">
            <v>399L</v>
          </cell>
          <cell r="AE1682" t="str">
            <v>NA</v>
          </cell>
          <cell r="AF1682" t="str">
            <v>399L.NA5</v>
          </cell>
        </row>
        <row r="1683">
          <cell r="A1683">
            <v>1683</v>
          </cell>
          <cell r="B1683">
            <v>1011390</v>
          </cell>
          <cell r="C1683" t="str">
            <v>General Capital Leases</v>
          </cell>
          <cell r="AD1683">
            <v>1011390</v>
          </cell>
          <cell r="AE1683" t="str">
            <v>NA</v>
          </cell>
          <cell r="AF1683" t="str">
            <v>1011390.NA</v>
          </cell>
        </row>
        <row r="1684">
          <cell r="A1684">
            <v>1684</v>
          </cell>
          <cell r="AD1684">
            <v>1011390</v>
          </cell>
          <cell r="AE1684" t="str">
            <v>NA</v>
          </cell>
          <cell r="AF1684" t="str">
            <v>1011390.NA1</v>
          </cell>
        </row>
        <row r="1685">
          <cell r="A1685">
            <v>1685</v>
          </cell>
          <cell r="D1685" t="str">
            <v>S</v>
          </cell>
          <cell r="E1685" t="str">
            <v>G-SITUS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M1685">
            <v>0.59419421435740905</v>
          </cell>
          <cell r="N1685">
            <v>0</v>
          </cell>
          <cell r="O1685">
            <v>0</v>
          </cell>
          <cell r="P1685">
            <v>1</v>
          </cell>
          <cell r="Q1685">
            <v>0</v>
          </cell>
          <cell r="R1685">
            <v>0</v>
          </cell>
          <cell r="S1685" t="str">
            <v>PLNT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1011390</v>
          </cell>
          <cell r="AE1685" t="str">
            <v>S</v>
          </cell>
          <cell r="AF1685" t="str">
            <v>1011390.S</v>
          </cell>
        </row>
        <row r="1686">
          <cell r="A1686">
            <v>1686</v>
          </cell>
          <cell r="D1686" t="str">
            <v>CAGW</v>
          </cell>
          <cell r="E1686" t="str">
            <v>P</v>
          </cell>
          <cell r="F1686">
            <v>702369.02380910586</v>
          </cell>
          <cell r="G1686">
            <v>702369.02380910586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M1686">
            <v>0.59419421435740905</v>
          </cell>
          <cell r="N1686">
            <v>417343.61029123201</v>
          </cell>
          <cell r="O1686">
            <v>285025.41351787385</v>
          </cell>
          <cell r="P1686">
            <v>1</v>
          </cell>
          <cell r="Q1686">
            <v>0</v>
          </cell>
          <cell r="R1686">
            <v>0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1011390</v>
          </cell>
          <cell r="AE1686" t="str">
            <v>CAGW</v>
          </cell>
          <cell r="AF1686" t="str">
            <v>1011390.CAGW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144504.51827184588</v>
          </cell>
          <cell r="G1687">
            <v>70756.801692469991</v>
          </cell>
          <cell r="H1687">
            <v>29393.049190464804</v>
          </cell>
          <cell r="I1687">
            <v>44354.667388911097</v>
          </cell>
          <cell r="J1687">
            <v>0</v>
          </cell>
          <cell r="K1687">
            <v>0</v>
          </cell>
          <cell r="M1687">
            <v>0.59419421435740905</v>
          </cell>
          <cell r="N1687">
            <v>42043.282192100196</v>
          </cell>
          <cell r="O1687">
            <v>28713.519500369795</v>
          </cell>
          <cell r="P1687">
            <v>1</v>
          </cell>
          <cell r="Q1687">
            <v>29393.049190464804</v>
          </cell>
          <cell r="R1687">
            <v>0</v>
          </cell>
          <cell r="S1687" t="str">
            <v>PLNT</v>
          </cell>
          <cell r="T1687">
            <v>6627.3975411674473</v>
          </cell>
          <cell r="U1687">
            <v>20774.726408228977</v>
          </cell>
          <cell r="V1687">
            <v>9999.7333216579973</v>
          </cell>
          <cell r="W1687">
            <v>1171.7057842476459</v>
          </cell>
          <cell r="X1687">
            <v>5781.1043336090297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1011390</v>
          </cell>
          <cell r="AE1687" t="str">
            <v>SO</v>
          </cell>
          <cell r="AF1687" t="str">
            <v>1011390.SO</v>
          </cell>
        </row>
        <row r="1688">
          <cell r="A1688">
            <v>1688</v>
          </cell>
          <cell r="F1688">
            <v>846873.54208095174</v>
          </cell>
          <cell r="G1688">
            <v>773125.82550157583</v>
          </cell>
          <cell r="H1688">
            <v>29393.049190464804</v>
          </cell>
          <cell r="I1688">
            <v>44354.667388911097</v>
          </cell>
          <cell r="J1688">
            <v>0</v>
          </cell>
          <cell r="K1688">
            <v>0</v>
          </cell>
          <cell r="N1688">
            <v>459386.89248333219</v>
          </cell>
          <cell r="O1688">
            <v>313738.93301824364</v>
          </cell>
          <cell r="Q1688">
            <v>29393.049190464804</v>
          </cell>
          <cell r="R1688">
            <v>0</v>
          </cell>
          <cell r="T1688">
            <v>6627.3975411674473</v>
          </cell>
          <cell r="U1688">
            <v>20774.726408228977</v>
          </cell>
          <cell r="V1688">
            <v>9999.7333216579973</v>
          </cell>
          <cell r="W1688">
            <v>1171.7057842476459</v>
          </cell>
          <cell r="X1688">
            <v>5781.1043336090297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1011390</v>
          </cell>
          <cell r="AE1688" t="str">
            <v>NA</v>
          </cell>
          <cell r="AF1688" t="str">
            <v>1011390.NA2</v>
          </cell>
        </row>
        <row r="1689">
          <cell r="A1689">
            <v>1689</v>
          </cell>
          <cell r="AD1689">
            <v>1011390</v>
          </cell>
          <cell r="AE1689" t="str">
            <v>NA</v>
          </cell>
          <cell r="AF1689" t="str">
            <v>1011390.NA3</v>
          </cell>
        </row>
        <row r="1690">
          <cell r="A1690">
            <v>1690</v>
          </cell>
          <cell r="C1690" t="str">
            <v>Remove Capital Leases</v>
          </cell>
          <cell r="F1690">
            <v>-846873.54208095174</v>
          </cell>
          <cell r="G1690">
            <v>-773125.82550157583</v>
          </cell>
          <cell r="H1690">
            <v>-29393.049190464804</v>
          </cell>
          <cell r="I1690">
            <v>-44354.667388911097</v>
          </cell>
          <cell r="J1690">
            <v>0</v>
          </cell>
          <cell r="K1690">
            <v>0</v>
          </cell>
          <cell r="M1690">
            <v>0.59419421435740905</v>
          </cell>
          <cell r="N1690">
            <v>-459386.89248333219</v>
          </cell>
          <cell r="O1690">
            <v>-313738.93301824364</v>
          </cell>
          <cell r="P1690">
            <v>1</v>
          </cell>
          <cell r="Q1690">
            <v>-29393.049190464804</v>
          </cell>
          <cell r="R1690">
            <v>0</v>
          </cell>
          <cell r="T1690">
            <v>-6627.3975411674473</v>
          </cell>
          <cell r="U1690">
            <v>-20774.726408228977</v>
          </cell>
          <cell r="V1690">
            <v>-9999.7333216579973</v>
          </cell>
          <cell r="W1690">
            <v>-1171.7057842476459</v>
          </cell>
          <cell r="X1690">
            <v>-5781.1043336090297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1011390</v>
          </cell>
          <cell r="AE1690" t="str">
            <v>NA</v>
          </cell>
          <cell r="AF1690" t="str">
            <v>1011390.NA4</v>
          </cell>
        </row>
        <row r="1691">
          <cell r="A1691">
            <v>1691</v>
          </cell>
          <cell r="F1691" t="str">
            <v xml:space="preserve"> </v>
          </cell>
          <cell r="AD1691">
            <v>1011390</v>
          </cell>
          <cell r="AE1691" t="str">
            <v>NA</v>
          </cell>
          <cell r="AF1691" t="str">
            <v>1011390.NA5</v>
          </cell>
        </row>
        <row r="1692">
          <cell r="A1692">
            <v>1692</v>
          </cell>
          <cell r="AD1692">
            <v>1011390</v>
          </cell>
          <cell r="AE1692" t="str">
            <v>NA</v>
          </cell>
          <cell r="AF1692" t="str">
            <v>1011390.NA6</v>
          </cell>
        </row>
        <row r="1693">
          <cell r="A1693">
            <v>1693</v>
          </cell>
          <cell r="B1693" t="str">
            <v>392L</v>
          </cell>
          <cell r="C1693" t="str">
            <v>General Vehicles Capital Leases</v>
          </cell>
          <cell r="AD1693" t="str">
            <v>392L</v>
          </cell>
          <cell r="AE1693" t="str">
            <v>NA</v>
          </cell>
          <cell r="AF1693" t="str">
            <v>392L.NA</v>
          </cell>
        </row>
        <row r="1694">
          <cell r="A1694">
            <v>1694</v>
          </cell>
          <cell r="D1694" t="str">
            <v>SO-P</v>
          </cell>
          <cell r="E1694" t="str">
            <v>PTD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0.59419421435740905</v>
          </cell>
          <cell r="N1694">
            <v>0</v>
          </cell>
          <cell r="O1694">
            <v>0</v>
          </cell>
          <cell r="P1694">
            <v>1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 t="str">
            <v>392L</v>
          </cell>
          <cell r="AE1694" t="str">
            <v>SO-P</v>
          </cell>
          <cell r="AF1694" t="str">
            <v>392L.SO-P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 t="str">
            <v>392L</v>
          </cell>
          <cell r="AE1695" t="str">
            <v>NA</v>
          </cell>
          <cell r="AF1695" t="str">
            <v>392L.NA1</v>
          </cell>
        </row>
        <row r="1696">
          <cell r="A1696">
            <v>1696</v>
          </cell>
          <cell r="AD1696" t="str">
            <v>392L</v>
          </cell>
          <cell r="AE1696" t="str">
            <v>NA</v>
          </cell>
          <cell r="AF1696" t="str">
            <v>392L.NA2</v>
          </cell>
        </row>
        <row r="1697">
          <cell r="A1697">
            <v>1697</v>
          </cell>
          <cell r="C1697" t="str">
            <v>Remove Capital Leases</v>
          </cell>
          <cell r="E1697" t="str">
            <v>LABOR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M1697">
            <v>0.59419421435740905</v>
          </cell>
          <cell r="N1697">
            <v>0</v>
          </cell>
          <cell r="O1697">
            <v>0</v>
          </cell>
          <cell r="P1697">
            <v>1</v>
          </cell>
          <cell r="Q1697">
            <v>0</v>
          </cell>
          <cell r="R1697">
            <v>0</v>
          </cell>
          <cell r="S1697" t="str">
            <v>PLNT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D1697" t="str">
            <v>392L</v>
          </cell>
          <cell r="AE1697" t="str">
            <v>NA</v>
          </cell>
          <cell r="AF1697" t="str">
            <v>392L.NA3</v>
          </cell>
        </row>
        <row r="1698">
          <cell r="A1698">
            <v>1698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N1698">
            <v>0</v>
          </cell>
          <cell r="O1698">
            <v>0</v>
          </cell>
          <cell r="Q1698">
            <v>0</v>
          </cell>
          <cell r="R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392L</v>
          </cell>
          <cell r="AE1698" t="str">
            <v>NA</v>
          </cell>
          <cell r="AF1698" t="str">
            <v>392L.NA4</v>
          </cell>
        </row>
        <row r="1699">
          <cell r="A1699">
            <v>1699</v>
          </cell>
          <cell r="AD1699" t="str">
            <v>392L</v>
          </cell>
          <cell r="AE1699" t="str">
            <v>NA</v>
          </cell>
          <cell r="AF1699" t="str">
            <v>392L.NA5</v>
          </cell>
        </row>
        <row r="1700">
          <cell r="A1700">
            <v>1700</v>
          </cell>
          <cell r="B1700" t="str">
            <v>GP</v>
          </cell>
          <cell r="C1700" t="str">
            <v>Unclassified Gen Plant - Acct 300</v>
          </cell>
          <cell r="AD1700" t="str">
            <v>GP</v>
          </cell>
          <cell r="AE1700" t="str">
            <v>NA</v>
          </cell>
          <cell r="AF1700" t="str">
            <v>GP.NA</v>
          </cell>
        </row>
        <row r="1701">
          <cell r="A1701">
            <v>1701</v>
          </cell>
          <cell r="D1701" t="str">
            <v>S</v>
          </cell>
          <cell r="E1701" t="str">
            <v>G-SITUS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0.59419421435740905</v>
          </cell>
          <cell r="N1701">
            <v>0</v>
          </cell>
          <cell r="O1701">
            <v>0</v>
          </cell>
          <cell r="P1701">
            <v>1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GP</v>
          </cell>
          <cell r="AE1701" t="str">
            <v>S</v>
          </cell>
          <cell r="AF1701" t="str">
            <v>GP.S</v>
          </cell>
        </row>
        <row r="1702">
          <cell r="A1702">
            <v>1702</v>
          </cell>
          <cell r="D1702" t="str">
            <v>SO</v>
          </cell>
          <cell r="E1702" t="str">
            <v>PTD</v>
          </cell>
          <cell r="F1702">
            <v>2642952.9115882386</v>
          </cell>
          <cell r="G1702">
            <v>1294124.8985445746</v>
          </cell>
          <cell r="H1702">
            <v>537591.80589947477</v>
          </cell>
          <cell r="I1702">
            <v>811236.20714418939</v>
          </cell>
          <cell r="J1702">
            <v>0</v>
          </cell>
          <cell r="K1702">
            <v>0</v>
          </cell>
          <cell r="M1702">
            <v>0.59419421435740905</v>
          </cell>
          <cell r="N1702">
            <v>768961.52737105521</v>
          </cell>
          <cell r="O1702">
            <v>525163.37117351941</v>
          </cell>
          <cell r="P1702">
            <v>1</v>
          </cell>
          <cell r="Q1702">
            <v>537591.80589947477</v>
          </cell>
          <cell r="R1702">
            <v>0</v>
          </cell>
          <cell r="S1702" t="str">
            <v>PLNT</v>
          </cell>
          <cell r="T1702">
            <v>121213.508319026</v>
          </cell>
          <cell r="U1702">
            <v>379964.75338429195</v>
          </cell>
          <cell r="V1702">
            <v>182892.71929797585</v>
          </cell>
          <cell r="W1702">
            <v>21430.217207301295</v>
          </cell>
          <cell r="X1702">
            <v>105735.00893559425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GP</v>
          </cell>
          <cell r="AE1702" t="str">
            <v>SO</v>
          </cell>
          <cell r="AF1702" t="str">
            <v>GP.SO</v>
          </cell>
        </row>
        <row r="1703">
          <cell r="A1703">
            <v>1703</v>
          </cell>
          <cell r="D1703" t="str">
            <v>CN</v>
          </cell>
          <cell r="E1703" t="str">
            <v>CUST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M1703">
            <v>0.59419421435740905</v>
          </cell>
          <cell r="N1703">
            <v>0</v>
          </cell>
          <cell r="O1703">
            <v>0</v>
          </cell>
          <cell r="P1703">
            <v>1</v>
          </cell>
          <cell r="Q1703">
            <v>0</v>
          </cell>
          <cell r="R1703">
            <v>0</v>
          </cell>
          <cell r="S1703" t="str">
            <v>CUST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D1703" t="str">
            <v>GP</v>
          </cell>
          <cell r="AE1703" t="str">
            <v>CN</v>
          </cell>
          <cell r="AF1703" t="str">
            <v>GP.CN</v>
          </cell>
        </row>
        <row r="1704">
          <cell r="A1704">
            <v>1704</v>
          </cell>
          <cell r="D1704" t="str">
            <v>SG</v>
          </cell>
          <cell r="E1704" t="str">
            <v>G-SG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M1704">
            <v>0.59419421435740905</v>
          </cell>
          <cell r="N1704">
            <v>0</v>
          </cell>
          <cell r="O1704">
            <v>0</v>
          </cell>
          <cell r="P1704">
            <v>1</v>
          </cell>
          <cell r="Q1704">
            <v>0</v>
          </cell>
          <cell r="R1704">
            <v>0</v>
          </cell>
          <cell r="S1704" t="str">
            <v>PLNT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GP</v>
          </cell>
          <cell r="AE1704" t="str">
            <v>SG</v>
          </cell>
          <cell r="AF1704" t="str">
            <v>GP.SG</v>
          </cell>
        </row>
        <row r="1705">
          <cell r="A1705">
            <v>1705</v>
          </cell>
          <cell r="D1705" t="str">
            <v>SGP</v>
          </cell>
          <cell r="E1705" t="str">
            <v>G-DGP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M1705">
            <v>0.59419421435740905</v>
          </cell>
          <cell r="N1705">
            <v>0</v>
          </cell>
          <cell r="O1705">
            <v>0</v>
          </cell>
          <cell r="P1705">
            <v>1</v>
          </cell>
          <cell r="Q1705">
            <v>0</v>
          </cell>
          <cell r="R1705">
            <v>0</v>
          </cell>
          <cell r="S1705" t="str">
            <v>PLNT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D1705" t="str">
            <v>GP</v>
          </cell>
          <cell r="AE1705" t="str">
            <v>SGP</v>
          </cell>
          <cell r="AF1705" t="str">
            <v>GP.SGP</v>
          </cell>
        </row>
        <row r="1706">
          <cell r="A1706">
            <v>1706</v>
          </cell>
          <cell r="D1706" t="str">
            <v>SGU</v>
          </cell>
          <cell r="E1706" t="str">
            <v>G-DGU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M1706">
            <v>0.59419421435740905</v>
          </cell>
          <cell r="N1706">
            <v>0</v>
          </cell>
          <cell r="O1706">
            <v>0</v>
          </cell>
          <cell r="P1706">
            <v>1</v>
          </cell>
          <cell r="Q1706">
            <v>0</v>
          </cell>
          <cell r="R1706">
            <v>0</v>
          </cell>
          <cell r="S1706" t="str">
            <v>PLNT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D1706" t="str">
            <v>GP</v>
          </cell>
          <cell r="AE1706" t="str">
            <v>SGU</v>
          </cell>
          <cell r="AF1706" t="str">
            <v>GP.SGU</v>
          </cell>
        </row>
        <row r="1707">
          <cell r="A1707">
            <v>1707</v>
          </cell>
          <cell r="F1707">
            <v>2642952.9115882386</v>
          </cell>
          <cell r="G1707">
            <v>1294124.8985445746</v>
          </cell>
          <cell r="H1707">
            <v>537591.80589947477</v>
          </cell>
          <cell r="I1707">
            <v>811236.20714418939</v>
          </cell>
          <cell r="J1707">
            <v>0</v>
          </cell>
          <cell r="K1707">
            <v>0</v>
          </cell>
          <cell r="N1707">
            <v>768961.52737105521</v>
          </cell>
          <cell r="O1707">
            <v>525163.37117351941</v>
          </cell>
          <cell r="Q1707">
            <v>537591.80589947477</v>
          </cell>
          <cell r="R1707">
            <v>0</v>
          </cell>
          <cell r="T1707">
            <v>121213.508319026</v>
          </cell>
          <cell r="U1707">
            <v>379964.75338429195</v>
          </cell>
          <cell r="V1707">
            <v>182892.71929797585</v>
          </cell>
          <cell r="W1707">
            <v>21430.217207301295</v>
          </cell>
          <cell r="X1707">
            <v>105735.00893559425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GP</v>
          </cell>
          <cell r="AE1707" t="str">
            <v>NA</v>
          </cell>
          <cell r="AF1707" t="str">
            <v>GP.NA1</v>
          </cell>
        </row>
        <row r="1708">
          <cell r="A1708">
            <v>1708</v>
          </cell>
          <cell r="AD1708" t="str">
            <v>GP</v>
          </cell>
          <cell r="AE1708" t="str">
            <v>NA</v>
          </cell>
          <cell r="AF1708" t="str">
            <v>GP.NA2</v>
          </cell>
        </row>
        <row r="1709">
          <cell r="A1709">
            <v>1709</v>
          </cell>
          <cell r="B1709" t="str">
            <v>399G</v>
          </cell>
          <cell r="C1709" t="str">
            <v>Unclassified Gen Plant - Acct 300</v>
          </cell>
          <cell r="AD1709" t="str">
            <v>399G</v>
          </cell>
          <cell r="AE1709" t="str">
            <v>NA</v>
          </cell>
          <cell r="AF1709" t="str">
            <v>399G.NA</v>
          </cell>
        </row>
        <row r="1710">
          <cell r="A1710">
            <v>1710</v>
          </cell>
          <cell r="D1710" t="str">
            <v>S</v>
          </cell>
          <cell r="E1710" t="str">
            <v>G-SITUS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M1710">
            <v>0.59419421435740905</v>
          </cell>
          <cell r="N1710">
            <v>0</v>
          </cell>
          <cell r="O1710">
            <v>0</v>
          </cell>
          <cell r="P1710">
            <v>1</v>
          </cell>
          <cell r="Q1710">
            <v>0</v>
          </cell>
          <cell r="R1710">
            <v>0</v>
          </cell>
          <cell r="S1710" t="str">
            <v>PLNT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 t="str">
            <v>399G</v>
          </cell>
          <cell r="AE1710" t="str">
            <v>S</v>
          </cell>
          <cell r="AF1710" t="str">
            <v>399G.S</v>
          </cell>
        </row>
        <row r="1711">
          <cell r="A1711">
            <v>1711</v>
          </cell>
          <cell r="D1711" t="str">
            <v>SO</v>
          </cell>
          <cell r="E1711" t="str">
            <v>PTD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0.59419421435740905</v>
          </cell>
          <cell r="N1711">
            <v>0</v>
          </cell>
          <cell r="O1711">
            <v>0</v>
          </cell>
          <cell r="P1711">
            <v>1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 t="str">
            <v>399G</v>
          </cell>
          <cell r="AE1711" t="str">
            <v>SO</v>
          </cell>
          <cell r="AF1711" t="str">
            <v>399G.SO</v>
          </cell>
        </row>
        <row r="1712">
          <cell r="A1712">
            <v>1712</v>
          </cell>
          <cell r="D1712" t="str">
            <v>SG</v>
          </cell>
          <cell r="E1712" t="str">
            <v>G-SG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M1712">
            <v>0.59419421435740905</v>
          </cell>
          <cell r="N1712">
            <v>0</v>
          </cell>
          <cell r="O1712">
            <v>0</v>
          </cell>
          <cell r="P1712">
            <v>1</v>
          </cell>
          <cell r="Q1712">
            <v>0</v>
          </cell>
          <cell r="R1712">
            <v>0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 t="str">
            <v>399G</v>
          </cell>
          <cell r="AE1712" t="str">
            <v>SG</v>
          </cell>
          <cell r="AF1712" t="str">
            <v>399G.SG</v>
          </cell>
        </row>
        <row r="1713">
          <cell r="A1713">
            <v>1713</v>
          </cell>
          <cell r="D1713" t="str">
            <v>SG-P</v>
          </cell>
          <cell r="E1713" t="str">
            <v>G-DGP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0.59419421435740905</v>
          </cell>
          <cell r="N1713">
            <v>0</v>
          </cell>
          <cell r="O1713">
            <v>0</v>
          </cell>
          <cell r="P1713">
            <v>1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 t="str">
            <v>399G</v>
          </cell>
          <cell r="AE1713" t="str">
            <v>SG-P</v>
          </cell>
          <cell r="AF1713" t="str">
            <v>399G.SG-P</v>
          </cell>
        </row>
        <row r="1714">
          <cell r="A1714">
            <v>1714</v>
          </cell>
          <cell r="D1714" t="str">
            <v>SG-U</v>
          </cell>
          <cell r="E1714" t="str">
            <v>G-DGU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0.59419421435740905</v>
          </cell>
          <cell r="N1714">
            <v>0</v>
          </cell>
          <cell r="O1714">
            <v>0</v>
          </cell>
          <cell r="P1714">
            <v>1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 t="str">
            <v>399G</v>
          </cell>
          <cell r="AE1714" t="str">
            <v>SG-U</v>
          </cell>
          <cell r="AF1714" t="str">
            <v>399G.SG-U</v>
          </cell>
        </row>
        <row r="1715">
          <cell r="A1715">
            <v>1715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N1715">
            <v>0</v>
          </cell>
          <cell r="O1715">
            <v>0</v>
          </cell>
          <cell r="Q1715">
            <v>0</v>
          </cell>
          <cell r="R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 t="str">
            <v>399G</v>
          </cell>
          <cell r="AE1715" t="str">
            <v>NA</v>
          </cell>
          <cell r="AF1715" t="str">
            <v>399G.NA1</v>
          </cell>
        </row>
        <row r="1716">
          <cell r="A1716">
            <v>1716</v>
          </cell>
          <cell r="AD1716" t="str">
            <v>399G</v>
          </cell>
          <cell r="AE1716" t="str">
            <v>NA</v>
          </cell>
          <cell r="AF1716" t="str">
            <v>399G.NA2</v>
          </cell>
        </row>
        <row r="1717">
          <cell r="A1717">
            <v>1717</v>
          </cell>
          <cell r="B1717" t="str">
            <v>TOTAL GENERAL PLANT</v>
          </cell>
          <cell r="F1717">
            <v>162794371.75034398</v>
          </cell>
          <cell r="G1717">
            <v>88700936.347026482</v>
          </cell>
          <cell r="H1717">
            <v>31854837.88346969</v>
          </cell>
          <cell r="I1717">
            <v>41233149.081403315</v>
          </cell>
          <cell r="J1717">
            <v>1005448.4384444945</v>
          </cell>
          <cell r="K1717">
            <v>0</v>
          </cell>
          <cell r="M1717">
            <v>0.59419421435740905</v>
          </cell>
          <cell r="N1717">
            <v>52705583.185487948</v>
          </cell>
          <cell r="O1717">
            <v>35995353.161538526</v>
          </cell>
          <cell r="Q1717">
            <v>31854837.88346969</v>
          </cell>
          <cell r="R1717">
            <v>0</v>
          </cell>
          <cell r="T1717">
            <v>6160985.6847895496</v>
          </cell>
          <cell r="U1717">
            <v>19312677.59500837</v>
          </cell>
          <cell r="V1717">
            <v>9295988.8800627757</v>
          </cell>
          <cell r="W1717">
            <v>1089245.4419239836</v>
          </cell>
          <cell r="X1717">
            <v>5374251.479618635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D1717" t="str">
            <v>TOTAL GENERAL PLANT</v>
          </cell>
          <cell r="AE1717" t="str">
            <v>NA</v>
          </cell>
          <cell r="AF1717" t="str">
            <v>TOTAL GENERAL PLANT.NA</v>
          </cell>
        </row>
        <row r="1718">
          <cell r="A1718">
            <v>1718</v>
          </cell>
          <cell r="AD1718" t="str">
            <v>TOTAL GENERAL PLANT</v>
          </cell>
          <cell r="AE1718" t="str">
            <v>NA</v>
          </cell>
          <cell r="AF1718" t="str">
            <v>TOTAL GENERAL PLANT.NA1</v>
          </cell>
        </row>
        <row r="1719">
          <cell r="A1719">
            <v>1719</v>
          </cell>
          <cell r="B1719">
            <v>301</v>
          </cell>
          <cell r="C1719" t="str">
            <v>Organization</v>
          </cell>
          <cell r="AD1719">
            <v>301</v>
          </cell>
          <cell r="AE1719" t="str">
            <v>NA</v>
          </cell>
          <cell r="AF1719" t="str">
            <v>301.NA</v>
          </cell>
        </row>
        <row r="1720">
          <cell r="A1720">
            <v>1720</v>
          </cell>
          <cell r="D1720" t="str">
            <v>S</v>
          </cell>
          <cell r="E1720" t="str">
            <v>I-SITUS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0.59419421435740905</v>
          </cell>
          <cell r="N1720">
            <v>0</v>
          </cell>
          <cell r="O1720">
            <v>0</v>
          </cell>
          <cell r="P1720">
            <v>1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301</v>
          </cell>
          <cell r="AE1720" t="str">
            <v>S</v>
          </cell>
          <cell r="AF1720" t="str">
            <v>301.S</v>
          </cell>
        </row>
        <row r="1721">
          <cell r="A1721">
            <v>1721</v>
          </cell>
          <cell r="D1721" t="str">
            <v>SO</v>
          </cell>
          <cell r="E1721" t="str">
            <v>PTD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0.59419421435740905</v>
          </cell>
          <cell r="N1721">
            <v>0</v>
          </cell>
          <cell r="O1721">
            <v>0</v>
          </cell>
          <cell r="P1721">
            <v>1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301</v>
          </cell>
          <cell r="AE1721" t="str">
            <v>SO</v>
          </cell>
          <cell r="AF1721" t="str">
            <v>301.SO</v>
          </cell>
        </row>
        <row r="1722">
          <cell r="A1722">
            <v>1722</v>
          </cell>
          <cell r="D1722" t="str">
            <v>SG/CAGE/CAGW</v>
          </cell>
          <cell r="E1722" t="str">
            <v>I-SG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M1722">
            <v>0.59419421435740905</v>
          </cell>
          <cell r="N1722">
            <v>0</v>
          </cell>
          <cell r="O1722">
            <v>0</v>
          </cell>
          <cell r="P1722">
            <v>1</v>
          </cell>
          <cell r="Q1722">
            <v>0</v>
          </cell>
          <cell r="R1722">
            <v>0</v>
          </cell>
          <cell r="S1722" t="str">
            <v>PLNT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301</v>
          </cell>
          <cell r="AE1722" t="str">
            <v>SG/CAGE/CAGW</v>
          </cell>
          <cell r="AF1722" t="str">
            <v>301.SG/CAGE/CAGW</v>
          </cell>
        </row>
        <row r="1723">
          <cell r="A1723">
            <v>1723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N1723">
            <v>0</v>
          </cell>
          <cell r="O1723">
            <v>0</v>
          </cell>
          <cell r="Q1723">
            <v>0</v>
          </cell>
          <cell r="R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D1723">
            <v>301</v>
          </cell>
          <cell r="AE1723" t="str">
            <v>NA</v>
          </cell>
          <cell r="AF1723" t="str">
            <v>301.NA1</v>
          </cell>
        </row>
        <row r="1724">
          <cell r="A1724">
            <v>1724</v>
          </cell>
          <cell r="B1724">
            <v>302</v>
          </cell>
          <cell r="C1724" t="str">
            <v>Franchise &amp; Consent</v>
          </cell>
          <cell r="AD1724">
            <v>302</v>
          </cell>
          <cell r="AE1724" t="str">
            <v>NA</v>
          </cell>
          <cell r="AF1724" t="str">
            <v>302.NA</v>
          </cell>
        </row>
        <row r="1725">
          <cell r="A1725">
            <v>1725</v>
          </cell>
          <cell r="D1725" t="str">
            <v>S</v>
          </cell>
          <cell r="E1725" t="str">
            <v>I-SITUS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0.59419421435740905</v>
          </cell>
          <cell r="N1725">
            <v>0</v>
          </cell>
          <cell r="O1725">
            <v>0</v>
          </cell>
          <cell r="P1725">
            <v>1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302</v>
          </cell>
          <cell r="AE1725" t="str">
            <v>S</v>
          </cell>
          <cell r="AF1725" t="str">
            <v>302.S</v>
          </cell>
        </row>
        <row r="1726">
          <cell r="A1726">
            <v>1726</v>
          </cell>
          <cell r="D1726" t="str">
            <v>CAGW1</v>
          </cell>
          <cell r="E1726" t="str">
            <v>I-SG</v>
          </cell>
          <cell r="F1726">
            <v>39086507.538377464</v>
          </cell>
          <cell r="G1726">
            <v>32575679.853763316</v>
          </cell>
          <cell r="H1726">
            <v>6510827.6846141489</v>
          </cell>
          <cell r="I1726">
            <v>0</v>
          </cell>
          <cell r="J1726">
            <v>0</v>
          </cell>
          <cell r="K1726">
            <v>0</v>
          </cell>
          <cell r="M1726">
            <v>0.59419421435740905</v>
          </cell>
          <cell r="N1726">
            <v>19356280.497865371</v>
          </cell>
          <cell r="O1726">
            <v>13219399.355897944</v>
          </cell>
          <cell r="P1726">
            <v>1</v>
          </cell>
          <cell r="Q1726">
            <v>6510827.6846141489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302</v>
          </cell>
          <cell r="AE1726" t="str">
            <v>CAGW1</v>
          </cell>
          <cell r="AF1726" t="str">
            <v>302.CAGW1</v>
          </cell>
        </row>
        <row r="1727">
          <cell r="A1727">
            <v>1727</v>
          </cell>
          <cell r="D1727" t="str">
            <v>DGP</v>
          </cell>
          <cell r="E1727" t="str">
            <v>I-DGP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0.59419421435740905</v>
          </cell>
          <cell r="N1727">
            <v>0</v>
          </cell>
          <cell r="O1727">
            <v>0</v>
          </cell>
          <cell r="P1727">
            <v>1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302</v>
          </cell>
          <cell r="AE1727" t="str">
            <v>DGP</v>
          </cell>
          <cell r="AF1727" t="str">
            <v>302.DGP</v>
          </cell>
        </row>
        <row r="1728">
          <cell r="A1728">
            <v>1728</v>
          </cell>
          <cell r="D1728" t="str">
            <v>DGU</v>
          </cell>
          <cell r="E1728" t="str">
            <v>I-DGU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M1728">
            <v>0.59419421435740905</v>
          </cell>
          <cell r="N1728">
            <v>0</v>
          </cell>
          <cell r="O1728">
            <v>0</v>
          </cell>
          <cell r="P1728">
            <v>1</v>
          </cell>
          <cell r="Q1728">
            <v>0</v>
          </cell>
          <cell r="R1728">
            <v>0</v>
          </cell>
          <cell r="S1728" t="str">
            <v>PLNT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302</v>
          </cell>
          <cell r="AE1728" t="str">
            <v>DGU</v>
          </cell>
          <cell r="AF1728" t="str">
            <v>302.DGU</v>
          </cell>
        </row>
        <row r="1729">
          <cell r="A1729">
            <v>1729</v>
          </cell>
          <cell r="F1729">
            <v>39086507.538377464</v>
          </cell>
          <cell r="G1729">
            <v>32575679.853763316</v>
          </cell>
          <cell r="H1729">
            <v>6510827.6846141489</v>
          </cell>
          <cell r="I1729">
            <v>0</v>
          </cell>
          <cell r="J1729">
            <v>0</v>
          </cell>
          <cell r="K1729">
            <v>0</v>
          </cell>
          <cell r="N1729">
            <v>19356280.497865371</v>
          </cell>
          <cell r="O1729">
            <v>13219399.355897944</v>
          </cell>
          <cell r="Q1729">
            <v>6510827.6846141489</v>
          </cell>
          <cell r="R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D1729">
            <v>302</v>
          </cell>
          <cell r="AE1729" t="str">
            <v>NA</v>
          </cell>
          <cell r="AF1729" t="str">
            <v>302.NA1</v>
          </cell>
        </row>
        <row r="1730">
          <cell r="A1730">
            <v>1730</v>
          </cell>
          <cell r="AD1730">
            <v>302</v>
          </cell>
          <cell r="AE1730" t="str">
            <v>NA</v>
          </cell>
          <cell r="AF1730" t="str">
            <v>302.NA2</v>
          </cell>
        </row>
        <row r="1731">
          <cell r="A1731">
            <v>1731</v>
          </cell>
          <cell r="B1731">
            <v>303</v>
          </cell>
          <cell r="C1731" t="str">
            <v>Miscellaneous Intangible Plant</v>
          </cell>
          <cell r="AD1731">
            <v>303</v>
          </cell>
          <cell r="AE1731" t="str">
            <v>NA</v>
          </cell>
          <cell r="AF1731" t="str">
            <v>303.NA</v>
          </cell>
        </row>
        <row r="1732">
          <cell r="A1732">
            <v>1732</v>
          </cell>
          <cell r="D1732" t="str">
            <v>S</v>
          </cell>
          <cell r="E1732" t="str">
            <v>I-SITUS</v>
          </cell>
          <cell r="F1732">
            <v>2036363.08</v>
          </cell>
          <cell r="G1732">
            <v>6515684.2119135335</v>
          </cell>
          <cell r="H1732">
            <v>-2683088.5966884159</v>
          </cell>
          <cell r="I1732">
            <v>-1796232.5352251169</v>
          </cell>
          <cell r="J1732">
            <v>0</v>
          </cell>
          <cell r="K1732">
            <v>0</v>
          </cell>
          <cell r="M1732">
            <v>0.59419421435740905</v>
          </cell>
          <cell r="N1732">
            <v>3871581.861298936</v>
          </cell>
          <cell r="O1732">
            <v>2644102.3506145976</v>
          </cell>
          <cell r="P1732">
            <v>1</v>
          </cell>
          <cell r="Q1732">
            <v>-2683088.5966884159</v>
          </cell>
          <cell r="R1732">
            <v>0</v>
          </cell>
          <cell r="S1732" t="str">
            <v>PLNT</v>
          </cell>
          <cell r="T1732">
            <v>-268389.95280780888</v>
          </cell>
          <cell r="U1732">
            <v>-841314.83069559839</v>
          </cell>
          <cell r="V1732">
            <v>-404959.55427742383</v>
          </cell>
          <cell r="W1732">
            <v>-47450.610618337276</v>
          </cell>
          <cell r="X1732">
            <v>-234117.58682594841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D1732">
            <v>303</v>
          </cell>
          <cell r="AE1732" t="str">
            <v>S</v>
          </cell>
          <cell r="AF1732" t="str">
            <v>303.S</v>
          </cell>
        </row>
        <row r="1733">
          <cell r="A1733">
            <v>1733</v>
          </cell>
          <cell r="D1733" t="str">
            <v>CAGW</v>
          </cell>
          <cell r="E1733" t="str">
            <v>I-SG</v>
          </cell>
          <cell r="F1733">
            <v>-6094007.685634451</v>
          </cell>
          <cell r="G1733">
            <v>-5078899.4948879918</v>
          </cell>
          <cell r="H1733">
            <v>-1015108.1907464591</v>
          </cell>
          <cell r="I1733">
            <v>0</v>
          </cell>
          <cell r="J1733">
            <v>0</v>
          </cell>
          <cell r="K1733">
            <v>0</v>
          </cell>
          <cell r="M1733">
            <v>0.59419421435740905</v>
          </cell>
          <cell r="N1733">
            <v>-3017852.6951652118</v>
          </cell>
          <cell r="O1733">
            <v>-2061046.7997227798</v>
          </cell>
          <cell r="P1733">
            <v>1</v>
          </cell>
          <cell r="Q1733">
            <v>-1015108.1907464591</v>
          </cell>
          <cell r="R1733">
            <v>0</v>
          </cell>
          <cell r="S1733" t="str">
            <v>PLNT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D1733">
            <v>303</v>
          </cell>
          <cell r="AE1733" t="str">
            <v>CAGW</v>
          </cell>
          <cell r="AF1733" t="str">
            <v>303.CAGW</v>
          </cell>
        </row>
        <row r="1734">
          <cell r="A1734">
            <v>1734</v>
          </cell>
          <cell r="D1734" t="str">
            <v>SO</v>
          </cell>
          <cell r="E1734" t="str">
            <v>PTD</v>
          </cell>
          <cell r="F1734">
            <v>27021117.770287666</v>
          </cell>
          <cell r="G1734">
            <v>13230921.042789472</v>
          </cell>
          <cell r="H1734">
            <v>5496250.5899592359</v>
          </cell>
          <cell r="I1734">
            <v>8293946.1375389611</v>
          </cell>
          <cell r="J1734">
            <v>0</v>
          </cell>
          <cell r="K1734">
            <v>0</v>
          </cell>
          <cell r="M1734">
            <v>0.59419421435740905</v>
          </cell>
          <cell r="N1734">
            <v>7861736.7342452016</v>
          </cell>
          <cell r="O1734">
            <v>5369184.3085442707</v>
          </cell>
          <cell r="P1734">
            <v>1</v>
          </cell>
          <cell r="Q1734">
            <v>5496250.5899592359</v>
          </cell>
          <cell r="R1734">
            <v>0</v>
          </cell>
          <cell r="S1734" t="str">
            <v>PLNT</v>
          </cell>
          <cell r="T1734">
            <v>1239267.0596881325</v>
          </cell>
          <cell r="U1734">
            <v>3884697.4173238054</v>
          </cell>
          <cell r="V1734">
            <v>1869865.212433534</v>
          </cell>
          <cell r="W1734">
            <v>219099.03141382569</v>
          </cell>
          <cell r="X1734">
            <v>1081017.4166796629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303</v>
          </cell>
          <cell r="AE1734" t="str">
            <v>SO</v>
          </cell>
          <cell r="AF1734" t="str">
            <v>303.SO</v>
          </cell>
        </row>
        <row r="1735">
          <cell r="A1735">
            <v>1735</v>
          </cell>
          <cell r="D1735" t="str">
            <v>SG</v>
          </cell>
          <cell r="E1735" t="str">
            <v>I-SG</v>
          </cell>
          <cell r="F1735">
            <v>9114341.4722751249</v>
          </cell>
          <cell r="G1735">
            <v>7596121.7457761448</v>
          </cell>
          <cell r="H1735">
            <v>1518219.7264989803</v>
          </cell>
          <cell r="I1735">
            <v>0</v>
          </cell>
          <cell r="J1735">
            <v>0</v>
          </cell>
          <cell r="K1735">
            <v>0</v>
          </cell>
          <cell r="M1735">
            <v>0.59419421435740905</v>
          </cell>
          <cell r="N1735">
            <v>4513571.5928946864</v>
          </cell>
          <cell r="O1735">
            <v>3082550.1528814579</v>
          </cell>
          <cell r="P1735">
            <v>1</v>
          </cell>
          <cell r="Q1735">
            <v>1518219.7264989803</v>
          </cell>
          <cell r="R1735">
            <v>0</v>
          </cell>
          <cell r="S1735" t="str">
            <v>PLNT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303</v>
          </cell>
          <cell r="AE1735" t="str">
            <v>SG</v>
          </cell>
          <cell r="AF1735" t="str">
            <v>303.SG</v>
          </cell>
        </row>
        <row r="1736">
          <cell r="A1736">
            <v>1736</v>
          </cell>
          <cell r="D1736" t="str">
            <v>CN</v>
          </cell>
          <cell r="E1736" t="str">
            <v>CUST</v>
          </cell>
          <cell r="F1736">
            <v>12172420.765036955</v>
          </cell>
          <cell r="G1736">
            <v>0</v>
          </cell>
          <cell r="H1736">
            <v>0</v>
          </cell>
          <cell r="I1736">
            <v>0</v>
          </cell>
          <cell r="J1736">
            <v>12172420.765036955</v>
          </cell>
          <cell r="K1736">
            <v>0</v>
          </cell>
          <cell r="M1736">
            <v>0.59419421435740905</v>
          </cell>
          <cell r="N1736">
            <v>0</v>
          </cell>
          <cell r="O1736">
            <v>0</v>
          </cell>
          <cell r="P1736">
            <v>1</v>
          </cell>
          <cell r="Q1736">
            <v>0</v>
          </cell>
          <cell r="R1736">
            <v>0</v>
          </cell>
          <cell r="S1736" t="str">
            <v>CUST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303</v>
          </cell>
          <cell r="AE1736" t="str">
            <v>CN</v>
          </cell>
          <cell r="AF1736" t="str">
            <v>303.CN</v>
          </cell>
        </row>
        <row r="1737">
          <cell r="A1737">
            <v>1737</v>
          </cell>
          <cell r="D1737" t="str">
            <v>DGU</v>
          </cell>
          <cell r="E1737" t="str">
            <v>I-DGU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M1737">
            <v>0.59419421435740905</v>
          </cell>
          <cell r="N1737">
            <v>0</v>
          </cell>
          <cell r="O1737">
            <v>0</v>
          </cell>
          <cell r="P1737">
            <v>1</v>
          </cell>
          <cell r="Q1737">
            <v>0</v>
          </cell>
          <cell r="R1737">
            <v>0</v>
          </cell>
          <cell r="S1737" t="str">
            <v>PLNT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D1737">
            <v>303</v>
          </cell>
          <cell r="AE1737" t="str">
            <v>DGU</v>
          </cell>
          <cell r="AF1737" t="str">
            <v>303.DGU</v>
          </cell>
        </row>
        <row r="1738">
          <cell r="A1738">
            <v>1738</v>
          </cell>
          <cell r="D1738" t="str">
            <v>DGP</v>
          </cell>
          <cell r="E1738" t="str">
            <v>I-DGP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M1738">
            <v>0.59419421435740905</v>
          </cell>
          <cell r="N1738">
            <v>0</v>
          </cell>
          <cell r="O1738">
            <v>0</v>
          </cell>
          <cell r="P1738">
            <v>1</v>
          </cell>
          <cell r="Q1738">
            <v>0</v>
          </cell>
          <cell r="R1738">
            <v>0</v>
          </cell>
          <cell r="S1738" t="str">
            <v>PLNT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D1738">
            <v>303</v>
          </cell>
          <cell r="AE1738" t="str">
            <v>DGP</v>
          </cell>
          <cell r="AF1738" t="str">
            <v>303.DGP</v>
          </cell>
        </row>
        <row r="1739">
          <cell r="A1739">
            <v>1739</v>
          </cell>
          <cell r="D1739" t="str">
            <v>JBG</v>
          </cell>
          <cell r="E1739" t="str">
            <v>I-SG</v>
          </cell>
          <cell r="F1739">
            <v>459990.05873705889</v>
          </cell>
          <cell r="G1739">
            <v>383367.30071417993</v>
          </cell>
          <cell r="H1739">
            <v>76622.758022878988</v>
          </cell>
          <cell r="I1739">
            <v>0</v>
          </cell>
          <cell r="J1739">
            <v>0</v>
          </cell>
          <cell r="K1739">
            <v>0</v>
          </cell>
          <cell r="M1739">
            <v>0.59419421435740905</v>
          </cell>
          <cell r="N1739">
            <v>227794.63205818273</v>
          </cell>
          <cell r="O1739">
            <v>155572.6686559972</v>
          </cell>
          <cell r="P1739">
            <v>1</v>
          </cell>
          <cell r="Q1739">
            <v>76622.758022878988</v>
          </cell>
          <cell r="R1739">
            <v>0</v>
          </cell>
          <cell r="S1739" t="str">
            <v>PLNT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303</v>
          </cell>
          <cell r="AE1739" t="str">
            <v>JBG</v>
          </cell>
          <cell r="AF1739" t="str">
            <v>303.JBG</v>
          </cell>
        </row>
        <row r="1740">
          <cell r="A1740">
            <v>1740</v>
          </cell>
          <cell r="F1740">
            <v>44710225.46070236</v>
          </cell>
          <cell r="G1740">
            <v>22647194.806305341</v>
          </cell>
          <cell r="H1740">
            <v>3392896.2870462197</v>
          </cell>
          <cell r="I1740">
            <v>6497713.6023138445</v>
          </cell>
          <cell r="J1740">
            <v>12172420.765036955</v>
          </cell>
          <cell r="K1740">
            <v>0</v>
          </cell>
          <cell r="N1740">
            <v>13456832.125331795</v>
          </cell>
          <cell r="O1740">
            <v>9190362.6809735429</v>
          </cell>
          <cell r="Q1740">
            <v>3392896.2870462197</v>
          </cell>
          <cell r="R1740">
            <v>0</v>
          </cell>
          <cell r="T1740">
            <v>970877.10688032361</v>
          </cell>
          <cell r="U1740">
            <v>3043382.586628207</v>
          </cell>
          <cell r="V1740">
            <v>1464905.6581561102</v>
          </cell>
          <cell r="W1740">
            <v>171648.4207954884</v>
          </cell>
          <cell r="X1740">
            <v>846899.82985371444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303</v>
          </cell>
          <cell r="AE1740" t="str">
            <v>NA</v>
          </cell>
          <cell r="AF1740" t="str">
            <v>303.NA1</v>
          </cell>
        </row>
        <row r="1741">
          <cell r="A1741">
            <v>1741</v>
          </cell>
          <cell r="B1741">
            <v>303</v>
          </cell>
          <cell r="C1741" t="str">
            <v>Less Non-Utility Plant</v>
          </cell>
          <cell r="AD1741">
            <v>303</v>
          </cell>
          <cell r="AE1741" t="str">
            <v>NA</v>
          </cell>
          <cell r="AF1741" t="str">
            <v>303.NA2</v>
          </cell>
        </row>
        <row r="1742">
          <cell r="A1742">
            <v>1742</v>
          </cell>
          <cell r="D1742" t="str">
            <v>DOTH</v>
          </cell>
          <cell r="E1742" t="str">
            <v>I-SITUS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0.59419421435740905</v>
          </cell>
          <cell r="N1742">
            <v>0</v>
          </cell>
          <cell r="O1742">
            <v>0</v>
          </cell>
          <cell r="P1742">
            <v>1</v>
          </cell>
          <cell r="Q1742">
            <v>0</v>
          </cell>
          <cell r="R1742">
            <v>0</v>
          </cell>
          <cell r="S1742" t="str">
            <v>PLNT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303</v>
          </cell>
          <cell r="AE1742" t="str">
            <v>DOTH</v>
          </cell>
          <cell r="AF1742" t="str">
            <v>303.DOTH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303</v>
          </cell>
          <cell r="AE1743" t="str">
            <v>NA</v>
          </cell>
          <cell r="AF1743" t="str">
            <v>303.NA3</v>
          </cell>
        </row>
        <row r="1744">
          <cell r="A1744">
            <v>1744</v>
          </cell>
          <cell r="AD1744">
            <v>303</v>
          </cell>
          <cell r="AE1744" t="str">
            <v>NA</v>
          </cell>
          <cell r="AF1744" t="str">
            <v>303.NA4</v>
          </cell>
        </row>
        <row r="1745">
          <cell r="A1745">
            <v>1745</v>
          </cell>
          <cell r="B1745" t="str">
            <v>I00</v>
          </cell>
          <cell r="C1745" t="str">
            <v>Unclassified Intangible Plant - Acct 300</v>
          </cell>
          <cell r="AD1745" t="str">
            <v>I00</v>
          </cell>
          <cell r="AE1745" t="str">
            <v>NA</v>
          </cell>
          <cell r="AF1745" t="str">
            <v>I00.NA</v>
          </cell>
        </row>
        <row r="1746">
          <cell r="A1746">
            <v>1746</v>
          </cell>
          <cell r="D1746" t="str">
            <v>S</v>
          </cell>
          <cell r="E1746" t="str">
            <v>I-SITUS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0.59419421435740905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0</v>
          </cell>
          <cell r="S1746" t="str">
            <v>PLNT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 t="str">
            <v>I00</v>
          </cell>
          <cell r="AE1746" t="str">
            <v>S</v>
          </cell>
          <cell r="AF1746" t="str">
            <v>I00.S</v>
          </cell>
        </row>
        <row r="1747">
          <cell r="A1747">
            <v>1747</v>
          </cell>
          <cell r="D1747" t="str">
            <v>SG</v>
          </cell>
          <cell r="E1747" t="str">
            <v>I-SG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0.59419421435740905</v>
          </cell>
          <cell r="N1747">
            <v>0</v>
          </cell>
          <cell r="O1747">
            <v>0</v>
          </cell>
          <cell r="P1747">
            <v>1</v>
          </cell>
          <cell r="Q1747">
            <v>0</v>
          </cell>
          <cell r="R1747">
            <v>0</v>
          </cell>
          <cell r="S1747" t="str">
            <v>PLNT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 t="str">
            <v>I00</v>
          </cell>
          <cell r="AE1747" t="str">
            <v>SG</v>
          </cell>
          <cell r="AF1747" t="str">
            <v>I00.SG</v>
          </cell>
        </row>
        <row r="1748">
          <cell r="A1748">
            <v>1748</v>
          </cell>
          <cell r="D1748" t="str">
            <v>DGU</v>
          </cell>
          <cell r="E1748" t="str">
            <v>I-DGU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0.59419421435740905</v>
          </cell>
          <cell r="N1748">
            <v>0</v>
          </cell>
          <cell r="O1748">
            <v>0</v>
          </cell>
          <cell r="P1748">
            <v>1</v>
          </cell>
          <cell r="Q1748">
            <v>0</v>
          </cell>
          <cell r="R1748">
            <v>0</v>
          </cell>
          <cell r="S1748" t="str">
            <v>PLNT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 t="str">
            <v>I00</v>
          </cell>
          <cell r="AE1748" t="str">
            <v>DGU</v>
          </cell>
          <cell r="AF1748" t="str">
            <v>I00.DGU</v>
          </cell>
        </row>
        <row r="1749">
          <cell r="A1749">
            <v>1749</v>
          </cell>
          <cell r="D1749" t="str">
            <v>SO</v>
          </cell>
          <cell r="E1749" t="str">
            <v>PTD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0.59419421435740905</v>
          </cell>
          <cell r="N1749">
            <v>0</v>
          </cell>
          <cell r="O1749">
            <v>0</v>
          </cell>
          <cell r="P1749">
            <v>1</v>
          </cell>
          <cell r="Q1749">
            <v>0</v>
          </cell>
          <cell r="R1749">
            <v>0</v>
          </cell>
          <cell r="S1749" t="str">
            <v>PLNT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 t="str">
            <v>I00</v>
          </cell>
          <cell r="AE1749" t="str">
            <v>SO</v>
          </cell>
          <cell r="AF1749" t="str">
            <v>I00.SO</v>
          </cell>
        </row>
        <row r="1750">
          <cell r="A1750">
            <v>1750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N1750">
            <v>0</v>
          </cell>
          <cell r="O1750">
            <v>0</v>
          </cell>
          <cell r="Q1750">
            <v>0</v>
          </cell>
          <cell r="R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 t="str">
            <v>I00</v>
          </cell>
          <cell r="AE1750" t="str">
            <v>NA</v>
          </cell>
          <cell r="AF1750" t="str">
            <v>I00.NA1</v>
          </cell>
        </row>
        <row r="1751">
          <cell r="A1751">
            <v>1751</v>
          </cell>
          <cell r="AD1751" t="str">
            <v>I00</v>
          </cell>
          <cell r="AE1751" t="str">
            <v>NA</v>
          </cell>
          <cell r="AF1751" t="str">
            <v>I00.NA2</v>
          </cell>
        </row>
        <row r="1752">
          <cell r="A1752">
            <v>1752</v>
          </cell>
          <cell r="B1752" t="str">
            <v>TOTAL INTANGIBLE PLANT</v>
          </cell>
          <cell r="F1752">
            <v>83796732.999079823</v>
          </cell>
          <cell r="G1752">
            <v>55222874.660068661</v>
          </cell>
          <cell r="H1752">
            <v>9903723.9716603681</v>
          </cell>
          <cell r="I1752">
            <v>6497713.6023138445</v>
          </cell>
          <cell r="J1752">
            <v>12172420.765036955</v>
          </cell>
          <cell r="K1752">
            <v>0</v>
          </cell>
          <cell r="N1752">
            <v>32813112.623197168</v>
          </cell>
          <cell r="O1752">
            <v>22409762.036871485</v>
          </cell>
          <cell r="Q1752">
            <v>9903723.9716603681</v>
          </cell>
          <cell r="R1752">
            <v>0</v>
          </cell>
          <cell r="T1752">
            <v>970877.10688032361</v>
          </cell>
          <cell r="U1752">
            <v>3043382.586628207</v>
          </cell>
          <cell r="V1752">
            <v>1464905.6581561102</v>
          </cell>
          <cell r="W1752">
            <v>171648.4207954884</v>
          </cell>
          <cell r="X1752">
            <v>846899.82985371444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D1752" t="str">
            <v>TOTAL INTANGIBLE PLANT</v>
          </cell>
          <cell r="AE1752" t="str">
            <v>NA</v>
          </cell>
          <cell r="AF1752" t="str">
            <v>TOTAL INTANGIBLE PLANT.NA</v>
          </cell>
        </row>
        <row r="1753">
          <cell r="A1753">
            <v>1753</v>
          </cell>
          <cell r="AD1753" t="str">
            <v>TOTAL INTANGIBLE PLANT</v>
          </cell>
          <cell r="AE1753" t="str">
            <v>NA</v>
          </cell>
          <cell r="AF1753" t="str">
            <v>TOTAL INTANGIBLE PLANT.NA1</v>
          </cell>
        </row>
        <row r="1754">
          <cell r="A1754">
            <v>1754</v>
          </cell>
          <cell r="AD1754" t="str">
            <v>TOTAL INTANGIBLE PLANT</v>
          </cell>
          <cell r="AE1754" t="str">
            <v>NA</v>
          </cell>
          <cell r="AF1754" t="str">
            <v>TOTAL INTANGIBLE PLANT.NA2</v>
          </cell>
        </row>
        <row r="1755">
          <cell r="A1755">
            <v>1755</v>
          </cell>
          <cell r="B1755" t="str">
            <v>TOTAL ELECTRIC PLANT IN SERVICE</v>
          </cell>
          <cell r="F1755">
            <v>2182560253.9609895</v>
          </cell>
          <cell r="G1755">
            <v>936068942.51871419</v>
          </cell>
          <cell r="H1755">
            <v>634146650.43783545</v>
          </cell>
          <cell r="I1755">
            <v>599166791.8009584</v>
          </cell>
          <cell r="J1755">
            <v>13177869.203481451</v>
          </cell>
          <cell r="K1755">
            <v>0</v>
          </cell>
          <cell r="N1755">
            <v>556206749.88427806</v>
          </cell>
          <cell r="O1755">
            <v>379862192.63443613</v>
          </cell>
          <cell r="Q1755">
            <v>634146650.43783545</v>
          </cell>
          <cell r="R1755">
            <v>0</v>
          </cell>
          <cell r="T1755">
            <v>90752207.880940959</v>
          </cell>
          <cell r="U1755">
            <v>284478526.89657068</v>
          </cell>
          <cell r="V1755">
            <v>132092323.45150527</v>
          </cell>
          <cell r="W1755">
            <v>15477746.70226682</v>
          </cell>
          <cell r="X1755">
            <v>76365986.869674668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D1755" t="str">
            <v>TOTAL ELECTRIC PLANT IN SERVICE</v>
          </cell>
          <cell r="AE1755" t="str">
            <v>NA</v>
          </cell>
          <cell r="AF1755" t="str">
            <v>TOTAL ELECTRIC PLANT IN SERVICE.NA</v>
          </cell>
        </row>
        <row r="1756">
          <cell r="A1756">
            <v>1756</v>
          </cell>
          <cell r="AD1756" t="str">
            <v>TOTAL ELECTRIC PLANT IN SERVICE</v>
          </cell>
          <cell r="AE1756" t="str">
            <v>NA</v>
          </cell>
          <cell r="AF1756" t="str">
            <v>TOTAL ELECTRIC PLANT IN SERVICE.NA1</v>
          </cell>
        </row>
        <row r="1757">
          <cell r="A1757">
            <v>1757</v>
          </cell>
          <cell r="B1757">
            <v>105</v>
          </cell>
          <cell r="C1757" t="str">
            <v>Plant Held For Future Use</v>
          </cell>
          <cell r="AD1757">
            <v>105</v>
          </cell>
          <cell r="AE1757" t="str">
            <v>NA</v>
          </cell>
          <cell r="AF1757" t="str">
            <v>105.NA</v>
          </cell>
        </row>
        <row r="1758">
          <cell r="A1758">
            <v>1758</v>
          </cell>
          <cell r="D1758" t="str">
            <v>S</v>
          </cell>
          <cell r="E1758" t="str">
            <v>DPW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0.59419421435740905</v>
          </cell>
          <cell r="N1758">
            <v>0</v>
          </cell>
          <cell r="O1758">
            <v>0</v>
          </cell>
          <cell r="P1758">
            <v>1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105</v>
          </cell>
          <cell r="AE1758" t="str">
            <v>S</v>
          </cell>
          <cell r="AF1758" t="str">
            <v>105.S</v>
          </cell>
        </row>
        <row r="1759">
          <cell r="A1759">
            <v>1759</v>
          </cell>
          <cell r="D1759" t="str">
            <v>CAGW</v>
          </cell>
          <cell r="E1759" t="str">
            <v>P</v>
          </cell>
          <cell r="F1759">
            <v>34942.962564657755</v>
          </cell>
          <cell r="G1759">
            <v>34942.962564657755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M1759">
            <v>0.59419421435740905</v>
          </cell>
          <cell r="N1759">
            <v>20762.906188427169</v>
          </cell>
          <cell r="O1759">
            <v>14180.056376230585</v>
          </cell>
          <cell r="P1759">
            <v>1</v>
          </cell>
          <cell r="Q1759">
            <v>0</v>
          </cell>
          <cell r="R1759">
            <v>0</v>
          </cell>
          <cell r="S1759" t="str">
            <v>PLNT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105</v>
          </cell>
          <cell r="AE1759" t="str">
            <v>CAGW</v>
          </cell>
          <cell r="AF1759" t="str">
            <v>105.CAGW</v>
          </cell>
        </row>
        <row r="1760">
          <cell r="A1760">
            <v>1760</v>
          </cell>
          <cell r="D1760" t="str">
            <v>DNPT</v>
          </cell>
          <cell r="E1760" t="str">
            <v>T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M1760">
            <v>1</v>
          </cell>
          <cell r="N1760">
            <v>0</v>
          </cell>
          <cell r="O1760">
            <v>0</v>
          </cell>
          <cell r="P1760">
            <v>1</v>
          </cell>
          <cell r="Q1760">
            <v>0</v>
          </cell>
          <cell r="R1760">
            <v>0</v>
          </cell>
          <cell r="S1760" t="str">
            <v>PLNT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D1760">
            <v>105</v>
          </cell>
          <cell r="AE1760" t="str">
            <v>DNPT</v>
          </cell>
          <cell r="AF1760" t="str">
            <v>105.DNPT</v>
          </cell>
        </row>
        <row r="1761">
          <cell r="A1761">
            <v>1761</v>
          </cell>
          <cell r="D1761" t="str">
            <v>DNPPOP</v>
          </cell>
          <cell r="E1761" t="str">
            <v>P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M1761">
            <v>0.59419421435740905</v>
          </cell>
          <cell r="N1761">
            <v>0</v>
          </cell>
          <cell r="O1761">
            <v>0</v>
          </cell>
          <cell r="P1761">
            <v>1</v>
          </cell>
          <cell r="Q1761">
            <v>0</v>
          </cell>
          <cell r="R1761">
            <v>0</v>
          </cell>
          <cell r="S1761" t="str">
            <v>PLNT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D1761">
            <v>105</v>
          </cell>
          <cell r="AE1761" t="str">
            <v>DNPPOP</v>
          </cell>
          <cell r="AF1761" t="str">
            <v>105.DNPPOP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0.59419421435740905</v>
          </cell>
          <cell r="N1762">
            <v>0</v>
          </cell>
          <cell r="O1762">
            <v>0</v>
          </cell>
          <cell r="P1762">
            <v>1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105</v>
          </cell>
          <cell r="AE1762" t="str">
            <v>SE</v>
          </cell>
          <cell r="AF1762" t="str">
            <v>105.SE</v>
          </cell>
        </row>
        <row r="1763">
          <cell r="A1763">
            <v>1763</v>
          </cell>
          <cell r="D1763" t="str">
            <v>DNPG</v>
          </cell>
          <cell r="E1763" t="str">
            <v>G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M1763">
            <v>0.59419421435740905</v>
          </cell>
          <cell r="N1763">
            <v>0</v>
          </cell>
          <cell r="O1763">
            <v>0</v>
          </cell>
          <cell r="P1763">
            <v>1</v>
          </cell>
          <cell r="Q1763">
            <v>0</v>
          </cell>
          <cell r="R1763">
            <v>0</v>
          </cell>
          <cell r="S1763" t="str">
            <v>PLNT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105</v>
          </cell>
          <cell r="AE1763" t="str">
            <v>DNPG</v>
          </cell>
          <cell r="AF1763" t="str">
            <v>105.DNPG</v>
          </cell>
        </row>
        <row r="1764">
          <cell r="A1764">
            <v>1764</v>
          </cell>
          <cell r="F1764">
            <v>34942.962564657755</v>
          </cell>
          <cell r="G1764">
            <v>34942.962564657755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N1764">
            <v>20762.906188427169</v>
          </cell>
          <cell r="O1764">
            <v>14180.056376230585</v>
          </cell>
          <cell r="Q1764">
            <v>0</v>
          </cell>
          <cell r="R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D1764">
            <v>105</v>
          </cell>
          <cell r="AE1764" t="str">
            <v>NA</v>
          </cell>
          <cell r="AF1764" t="str">
            <v>105.NA1</v>
          </cell>
        </row>
        <row r="1765">
          <cell r="A1765">
            <v>1765</v>
          </cell>
          <cell r="AD1765">
            <v>105</v>
          </cell>
          <cell r="AE1765" t="str">
            <v>NA</v>
          </cell>
          <cell r="AF1765" t="str">
            <v>105.NA2</v>
          </cell>
        </row>
        <row r="1766">
          <cell r="A1766">
            <v>1766</v>
          </cell>
          <cell r="B1766">
            <v>114</v>
          </cell>
          <cell r="C1766" t="str">
            <v>Electric Plant Acquisition Adjustments</v>
          </cell>
          <cell r="AD1766">
            <v>114</v>
          </cell>
          <cell r="AE1766" t="str">
            <v>NA</v>
          </cell>
          <cell r="AF1766" t="str">
            <v>114.NA</v>
          </cell>
        </row>
        <row r="1767">
          <cell r="A1767">
            <v>1767</v>
          </cell>
          <cell r="D1767" t="str">
            <v>S</v>
          </cell>
          <cell r="E1767" t="str">
            <v>P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M1767">
            <v>0.59419421435740905</v>
          </cell>
          <cell r="N1767">
            <v>0</v>
          </cell>
          <cell r="O1767">
            <v>0</v>
          </cell>
          <cell r="P1767">
            <v>1</v>
          </cell>
          <cell r="Q1767">
            <v>0</v>
          </cell>
          <cell r="R1767">
            <v>0</v>
          </cell>
          <cell r="S1767" t="str">
            <v>PLNT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114</v>
          </cell>
          <cell r="AE1767" t="str">
            <v>S</v>
          </cell>
          <cell r="AF1767" t="str">
            <v>114.S</v>
          </cell>
        </row>
        <row r="1768">
          <cell r="A1768">
            <v>1768</v>
          </cell>
          <cell r="D1768" t="str">
            <v>SG/CAGE/CAGW</v>
          </cell>
          <cell r="E1768" t="str">
            <v>P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M1768">
            <v>0.59419421435740905</v>
          </cell>
          <cell r="N1768">
            <v>0</v>
          </cell>
          <cell r="O1768">
            <v>0</v>
          </cell>
          <cell r="P1768">
            <v>1</v>
          </cell>
          <cell r="Q1768">
            <v>0</v>
          </cell>
          <cell r="R1768">
            <v>0</v>
          </cell>
          <cell r="S1768" t="str">
            <v>PLNT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D1768">
            <v>114</v>
          </cell>
          <cell r="AE1768" t="str">
            <v>SG/CAGE/CAGW</v>
          </cell>
          <cell r="AF1768" t="str">
            <v>114.SG/CAGE/CAGW</v>
          </cell>
        </row>
        <row r="1769">
          <cell r="A1769">
            <v>1769</v>
          </cell>
          <cell r="D1769" t="str">
            <v>DGP</v>
          </cell>
          <cell r="E1769" t="str">
            <v>P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M1769">
            <v>0.59419421435740905</v>
          </cell>
          <cell r="N1769">
            <v>0</v>
          </cell>
          <cell r="O1769">
            <v>0</v>
          </cell>
          <cell r="P1769">
            <v>1</v>
          </cell>
          <cell r="Q1769">
            <v>0</v>
          </cell>
          <cell r="R1769">
            <v>0</v>
          </cell>
          <cell r="S1769" t="str">
            <v>PLNT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D1769">
            <v>114</v>
          </cell>
          <cell r="AE1769" t="str">
            <v>DGP</v>
          </cell>
          <cell r="AF1769" t="str">
            <v>114.DGP</v>
          </cell>
        </row>
        <row r="1770">
          <cell r="A1770">
            <v>1770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N1770">
            <v>0</v>
          </cell>
          <cell r="O1770">
            <v>0</v>
          </cell>
          <cell r="Q1770">
            <v>0</v>
          </cell>
          <cell r="R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114</v>
          </cell>
          <cell r="AE1770" t="str">
            <v>NA</v>
          </cell>
          <cell r="AF1770" t="str">
            <v>114.NA1</v>
          </cell>
        </row>
        <row r="1771">
          <cell r="A1771">
            <v>1771</v>
          </cell>
          <cell r="AD1771">
            <v>114</v>
          </cell>
          <cell r="AE1771" t="str">
            <v>NA</v>
          </cell>
          <cell r="AF1771" t="str">
            <v>114.NA2</v>
          </cell>
        </row>
        <row r="1772">
          <cell r="A1772">
            <v>1772</v>
          </cell>
          <cell r="AD1772">
            <v>114</v>
          </cell>
          <cell r="AE1772" t="str">
            <v>NA</v>
          </cell>
          <cell r="AF1772" t="str">
            <v>114.NA3</v>
          </cell>
        </row>
        <row r="1773">
          <cell r="A1773">
            <v>1773</v>
          </cell>
          <cell r="B1773">
            <v>128</v>
          </cell>
          <cell r="C1773" t="str">
            <v>Pensions</v>
          </cell>
          <cell r="D1773" t="str">
            <v>SE</v>
          </cell>
          <cell r="E1773" t="str">
            <v>P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M1773">
            <v>0.59419421435740905</v>
          </cell>
          <cell r="N1773">
            <v>0</v>
          </cell>
          <cell r="O1773">
            <v>0</v>
          </cell>
          <cell r="P1773">
            <v>1</v>
          </cell>
          <cell r="Q1773">
            <v>0</v>
          </cell>
          <cell r="R1773">
            <v>0</v>
          </cell>
          <cell r="S1773" t="str">
            <v>PLNT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D1773">
            <v>128</v>
          </cell>
          <cell r="AE1773" t="str">
            <v>SE</v>
          </cell>
          <cell r="AF1773" t="str">
            <v>128.SE</v>
          </cell>
        </row>
        <row r="1774">
          <cell r="A1774">
            <v>1774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N1774">
            <v>0</v>
          </cell>
          <cell r="O1774">
            <v>0</v>
          </cell>
          <cell r="Q1774">
            <v>0</v>
          </cell>
          <cell r="R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128</v>
          </cell>
          <cell r="AE1774" t="str">
            <v>NA</v>
          </cell>
          <cell r="AF1774" t="str">
            <v>128.NA</v>
          </cell>
        </row>
        <row r="1775">
          <cell r="A1775">
            <v>1775</v>
          </cell>
          <cell r="AD1775">
            <v>128</v>
          </cell>
          <cell r="AE1775" t="str">
            <v>NA</v>
          </cell>
          <cell r="AF1775" t="str">
            <v>128.NA1</v>
          </cell>
        </row>
        <row r="1776">
          <cell r="A1776">
            <v>1776</v>
          </cell>
          <cell r="B1776">
            <v>124</v>
          </cell>
          <cell r="C1776" t="str">
            <v>Weatherization</v>
          </cell>
          <cell r="AD1776">
            <v>124</v>
          </cell>
          <cell r="AE1776" t="str">
            <v>NA</v>
          </cell>
          <cell r="AF1776" t="str">
            <v>124.NA</v>
          </cell>
        </row>
        <row r="1777">
          <cell r="A1777">
            <v>1777</v>
          </cell>
          <cell r="D1777" t="str">
            <v>S</v>
          </cell>
          <cell r="E1777" t="str">
            <v>COMMON</v>
          </cell>
          <cell r="F1777">
            <v>5428.2650000000003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5428.2650000000003</v>
          </cell>
          <cell r="M1777">
            <v>0.59419421435740905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0</v>
          </cell>
          <cell r="S1777" t="str">
            <v>MISC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124</v>
          </cell>
          <cell r="AE1777" t="str">
            <v>S</v>
          </cell>
          <cell r="AF1777" t="str">
            <v>124.S</v>
          </cell>
        </row>
        <row r="1778">
          <cell r="A1778">
            <v>1778</v>
          </cell>
          <cell r="D1778" t="str">
            <v>SO</v>
          </cell>
          <cell r="E1778" t="str">
            <v>COMMON</v>
          </cell>
          <cell r="F1778">
            <v>-335.62089486019738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-335.62089486019738</v>
          </cell>
          <cell r="M1778">
            <v>0.59419421435740905</v>
          </cell>
          <cell r="N1778">
            <v>0</v>
          </cell>
          <cell r="O1778">
            <v>0</v>
          </cell>
          <cell r="P1778">
            <v>1</v>
          </cell>
          <cell r="Q1778">
            <v>0</v>
          </cell>
          <cell r="R1778">
            <v>0</v>
          </cell>
          <cell r="S1778" t="str">
            <v>MISC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D1778">
            <v>124</v>
          </cell>
          <cell r="AE1778" t="str">
            <v>SO</v>
          </cell>
          <cell r="AF1778" t="str">
            <v>124.SO</v>
          </cell>
        </row>
        <row r="1779">
          <cell r="A1779">
            <v>1779</v>
          </cell>
          <cell r="F1779">
            <v>5092.6441051398033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5092.6441051398033</v>
          </cell>
          <cell r="N1779">
            <v>0</v>
          </cell>
          <cell r="O1779">
            <v>0</v>
          </cell>
          <cell r="Q1779">
            <v>0</v>
          </cell>
          <cell r="R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D1779">
            <v>124</v>
          </cell>
          <cell r="AE1779" t="str">
            <v>NA</v>
          </cell>
          <cell r="AF1779" t="str">
            <v>124.NA1</v>
          </cell>
        </row>
        <row r="1780">
          <cell r="A1780">
            <v>1780</v>
          </cell>
          <cell r="AD1780">
            <v>124</v>
          </cell>
          <cell r="AE1780" t="str">
            <v>NA</v>
          </cell>
          <cell r="AF1780" t="str">
            <v>124.NA2</v>
          </cell>
        </row>
        <row r="1781">
          <cell r="A1781">
            <v>1781</v>
          </cell>
          <cell r="B1781">
            <v>182</v>
          </cell>
          <cell r="C1781" t="str">
            <v>Weatherization</v>
          </cell>
          <cell r="AD1781">
            <v>182</v>
          </cell>
          <cell r="AE1781" t="str">
            <v>NA</v>
          </cell>
          <cell r="AF1781" t="str">
            <v>182.NA</v>
          </cell>
        </row>
        <row r="1782">
          <cell r="A1782">
            <v>1782</v>
          </cell>
          <cell r="D1782" t="str">
            <v>S</v>
          </cell>
          <cell r="E1782" t="str">
            <v>COMMON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M1782">
            <v>0.59419421435740905</v>
          </cell>
          <cell r="N1782">
            <v>0</v>
          </cell>
          <cell r="O1782">
            <v>0</v>
          </cell>
          <cell r="P1782">
            <v>1</v>
          </cell>
          <cell r="Q1782">
            <v>0</v>
          </cell>
          <cell r="R1782">
            <v>0</v>
          </cell>
          <cell r="S1782" t="str">
            <v>MISC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182</v>
          </cell>
          <cell r="AE1782" t="str">
            <v>S</v>
          </cell>
          <cell r="AF1782" t="str">
            <v>182.S</v>
          </cell>
        </row>
        <row r="1783">
          <cell r="A1783">
            <v>1783</v>
          </cell>
          <cell r="D1783" t="str">
            <v>SG</v>
          </cell>
          <cell r="E1783" t="str">
            <v>COMMON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M1783">
            <v>0.59419421435740905</v>
          </cell>
          <cell r="N1783">
            <v>0</v>
          </cell>
          <cell r="O1783">
            <v>0</v>
          </cell>
          <cell r="P1783">
            <v>1</v>
          </cell>
          <cell r="Q1783">
            <v>0</v>
          </cell>
          <cell r="R1783">
            <v>0</v>
          </cell>
          <cell r="S1783" t="str">
            <v>MISC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182</v>
          </cell>
          <cell r="AE1783" t="str">
            <v>SG</v>
          </cell>
          <cell r="AF1783" t="str">
            <v>182.SG</v>
          </cell>
        </row>
        <row r="1784">
          <cell r="A1784">
            <v>1784</v>
          </cell>
          <cell r="D1784" t="str">
            <v>SGCT</v>
          </cell>
          <cell r="E1784" t="str">
            <v>COMMON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M1784">
            <v>0.59419421435740905</v>
          </cell>
          <cell r="N1784">
            <v>0</v>
          </cell>
          <cell r="O1784">
            <v>0</v>
          </cell>
          <cell r="P1784">
            <v>1</v>
          </cell>
          <cell r="Q1784">
            <v>0</v>
          </cell>
          <cell r="R1784">
            <v>0</v>
          </cell>
          <cell r="S1784" t="str">
            <v>MISC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182</v>
          </cell>
          <cell r="AE1784" t="str">
            <v>SGCT</v>
          </cell>
          <cell r="AF1784" t="str">
            <v>182.SGCT</v>
          </cell>
        </row>
        <row r="1785">
          <cell r="A1785">
            <v>1785</v>
          </cell>
          <cell r="D1785" t="str">
            <v>SO</v>
          </cell>
          <cell r="E1785" t="str">
            <v>COMMON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M1785">
            <v>0.59419421435740905</v>
          </cell>
          <cell r="N1785">
            <v>0</v>
          </cell>
          <cell r="O1785">
            <v>0</v>
          </cell>
          <cell r="P1785">
            <v>1</v>
          </cell>
          <cell r="Q1785">
            <v>0</v>
          </cell>
          <cell r="R1785">
            <v>0</v>
          </cell>
          <cell r="S1785" t="str">
            <v>MISC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182</v>
          </cell>
          <cell r="AE1785" t="str">
            <v>SO</v>
          </cell>
          <cell r="AF1785" t="str">
            <v>182.SO</v>
          </cell>
        </row>
        <row r="1786">
          <cell r="A1786">
            <v>1786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N1786">
            <v>0</v>
          </cell>
          <cell r="O1786">
            <v>0</v>
          </cell>
          <cell r="Q1786">
            <v>0</v>
          </cell>
          <cell r="R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182</v>
          </cell>
          <cell r="AE1786" t="str">
            <v>NA</v>
          </cell>
          <cell r="AF1786" t="str">
            <v>182.NA1</v>
          </cell>
        </row>
        <row r="1787">
          <cell r="A1787">
            <v>1787</v>
          </cell>
          <cell r="AD1787">
            <v>182</v>
          </cell>
          <cell r="AE1787" t="str">
            <v>NA</v>
          </cell>
          <cell r="AF1787" t="str">
            <v>182.NA2</v>
          </cell>
        </row>
        <row r="1788">
          <cell r="A1788">
            <v>1788</v>
          </cell>
          <cell r="B1788">
            <v>186</v>
          </cell>
          <cell r="C1788" t="str">
            <v>Weatherization</v>
          </cell>
          <cell r="AD1788">
            <v>186</v>
          </cell>
          <cell r="AE1788" t="str">
            <v>NA</v>
          </cell>
          <cell r="AF1788" t="str">
            <v>186.NA</v>
          </cell>
        </row>
        <row r="1789">
          <cell r="A1789">
            <v>1789</v>
          </cell>
          <cell r="D1789" t="str">
            <v>S</v>
          </cell>
          <cell r="E1789" t="str">
            <v>COMMON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0.59419421435740905</v>
          </cell>
          <cell r="N1789">
            <v>0</v>
          </cell>
          <cell r="O1789">
            <v>0</v>
          </cell>
          <cell r="P1789">
            <v>1</v>
          </cell>
          <cell r="Q1789">
            <v>0</v>
          </cell>
          <cell r="R1789">
            <v>0</v>
          </cell>
          <cell r="S1789" t="str">
            <v>MISC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186</v>
          </cell>
          <cell r="AE1789" t="str">
            <v>S</v>
          </cell>
          <cell r="AF1789" t="str">
            <v>186.S</v>
          </cell>
        </row>
        <row r="1790">
          <cell r="A1790">
            <v>1790</v>
          </cell>
          <cell r="D1790" t="str">
            <v>CN</v>
          </cell>
          <cell r="E1790" t="str">
            <v>COMMON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0.59419421435740905</v>
          </cell>
          <cell r="N1790">
            <v>0</v>
          </cell>
          <cell r="O1790">
            <v>0</v>
          </cell>
          <cell r="P1790">
            <v>1</v>
          </cell>
          <cell r="Q1790">
            <v>0</v>
          </cell>
          <cell r="R1790">
            <v>0</v>
          </cell>
          <cell r="S1790" t="str">
            <v>CUST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186</v>
          </cell>
          <cell r="AE1790" t="str">
            <v>CN</v>
          </cell>
          <cell r="AF1790" t="str">
            <v>186.CN</v>
          </cell>
        </row>
        <row r="1791">
          <cell r="A1791">
            <v>1791</v>
          </cell>
          <cell r="D1791" t="str">
            <v>CNP</v>
          </cell>
          <cell r="E1791" t="str">
            <v>COMMON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M1791">
            <v>0.59419421435740905</v>
          </cell>
          <cell r="N1791">
            <v>0</v>
          </cell>
          <cell r="O1791">
            <v>0</v>
          </cell>
          <cell r="P1791">
            <v>1</v>
          </cell>
          <cell r="Q1791">
            <v>0</v>
          </cell>
          <cell r="R1791">
            <v>0</v>
          </cell>
          <cell r="S1791" t="str">
            <v>CUST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186</v>
          </cell>
          <cell r="AE1791" t="str">
            <v>CNP</v>
          </cell>
          <cell r="AF1791" t="str">
            <v>186.CNP</v>
          </cell>
        </row>
        <row r="1792">
          <cell r="A1792">
            <v>1792</v>
          </cell>
          <cell r="D1792" t="str">
            <v>SG</v>
          </cell>
          <cell r="E1792" t="str">
            <v>COMMON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0.59419421435740905</v>
          </cell>
          <cell r="N1792">
            <v>0</v>
          </cell>
          <cell r="O1792">
            <v>0</v>
          </cell>
          <cell r="P1792">
            <v>1</v>
          </cell>
          <cell r="Q1792">
            <v>0</v>
          </cell>
          <cell r="R1792">
            <v>0</v>
          </cell>
          <cell r="S1792" t="str">
            <v>MISC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186</v>
          </cell>
          <cell r="AE1792" t="str">
            <v>SG</v>
          </cell>
          <cell r="AF1792" t="str">
            <v>186.SG</v>
          </cell>
        </row>
        <row r="1793">
          <cell r="A1793">
            <v>1793</v>
          </cell>
          <cell r="D1793" t="str">
            <v>SO</v>
          </cell>
          <cell r="E1793" t="str">
            <v>COMMON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M1793">
            <v>0.59419421435740905</v>
          </cell>
          <cell r="N1793">
            <v>0</v>
          </cell>
          <cell r="O1793">
            <v>0</v>
          </cell>
          <cell r="P1793">
            <v>1</v>
          </cell>
          <cell r="Q1793">
            <v>0</v>
          </cell>
          <cell r="R1793">
            <v>0</v>
          </cell>
          <cell r="S1793" t="str">
            <v>MISC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186</v>
          </cell>
          <cell r="AE1793" t="str">
            <v>SO</v>
          </cell>
          <cell r="AF1793" t="str">
            <v>186.SO</v>
          </cell>
        </row>
        <row r="1794">
          <cell r="A1794">
            <v>1794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N1794">
            <v>0</v>
          </cell>
          <cell r="O1794">
            <v>0</v>
          </cell>
          <cell r="Q1794">
            <v>0</v>
          </cell>
          <cell r="R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D1794">
            <v>186</v>
          </cell>
          <cell r="AE1794" t="str">
            <v>NA</v>
          </cell>
          <cell r="AF1794" t="str">
            <v>186.NA1</v>
          </cell>
        </row>
        <row r="1795">
          <cell r="A1795">
            <v>1795</v>
          </cell>
          <cell r="AD1795">
            <v>186</v>
          </cell>
          <cell r="AE1795" t="str">
            <v>NA</v>
          </cell>
          <cell r="AF1795" t="str">
            <v>186.NA2</v>
          </cell>
        </row>
        <row r="1796">
          <cell r="A1796">
            <v>1796</v>
          </cell>
          <cell r="C1796" t="str">
            <v>Total Weatherization</v>
          </cell>
          <cell r="F1796">
            <v>5092.6441051398033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5092.6441051398033</v>
          </cell>
          <cell r="N1796">
            <v>0</v>
          </cell>
          <cell r="O1796">
            <v>0</v>
          </cell>
          <cell r="Q1796">
            <v>0</v>
          </cell>
          <cell r="R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186</v>
          </cell>
          <cell r="AE1796" t="str">
            <v>NA</v>
          </cell>
          <cell r="AF1796" t="str">
            <v>186.NA3</v>
          </cell>
        </row>
        <row r="1797">
          <cell r="A1797">
            <v>1797</v>
          </cell>
          <cell r="AD1797">
            <v>186</v>
          </cell>
          <cell r="AE1797" t="str">
            <v>NA</v>
          </cell>
          <cell r="AF1797" t="str">
            <v>186.NA4</v>
          </cell>
        </row>
        <row r="1798">
          <cell r="A1798">
            <v>1798</v>
          </cell>
          <cell r="B1798">
            <v>151</v>
          </cell>
          <cell r="C1798" t="str">
            <v>Fuel Stock</v>
          </cell>
          <cell r="AD1798">
            <v>151</v>
          </cell>
          <cell r="AE1798" t="str">
            <v>NA</v>
          </cell>
          <cell r="AF1798" t="str">
            <v>151.NA</v>
          </cell>
        </row>
        <row r="1799">
          <cell r="A1799">
            <v>1799</v>
          </cell>
          <cell r="D1799" t="str">
            <v>SE/CAEE/CAEW</v>
          </cell>
          <cell r="E1799" t="str">
            <v>P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M1799">
            <v>0.59419421435740905</v>
          </cell>
          <cell r="N1799">
            <v>0</v>
          </cell>
          <cell r="O1799">
            <v>0</v>
          </cell>
          <cell r="P1799">
            <v>1</v>
          </cell>
          <cell r="Q1799">
            <v>0</v>
          </cell>
          <cell r="R1799">
            <v>0</v>
          </cell>
          <cell r="S1799" t="str">
            <v>PLNT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D1799">
            <v>151</v>
          </cell>
          <cell r="AE1799" t="str">
            <v>SE/CAEE/CAEW</v>
          </cell>
          <cell r="AF1799" t="str">
            <v>151.SE/CAEE/CAEW</v>
          </cell>
        </row>
        <row r="1800">
          <cell r="A1800">
            <v>1800</v>
          </cell>
          <cell r="D1800" t="str">
            <v>JBE</v>
          </cell>
          <cell r="E1800" t="str">
            <v>P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M1800">
            <v>0.59419421435740905</v>
          </cell>
          <cell r="N1800">
            <v>0</v>
          </cell>
          <cell r="O1800">
            <v>0</v>
          </cell>
          <cell r="P1800">
            <v>1</v>
          </cell>
          <cell r="Q1800">
            <v>0</v>
          </cell>
          <cell r="R1800">
            <v>0</v>
          </cell>
          <cell r="S1800" t="str">
            <v>PLNT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D1800">
            <v>151</v>
          </cell>
          <cell r="AE1800" t="str">
            <v>JBE</v>
          </cell>
          <cell r="AF1800" t="str">
            <v>151.JBE</v>
          </cell>
        </row>
        <row r="1801">
          <cell r="A1801">
            <v>1801</v>
          </cell>
          <cell r="D1801" t="str">
            <v>DEU</v>
          </cell>
          <cell r="E1801" t="str">
            <v>P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M1801">
            <v>0.59419421435740905</v>
          </cell>
          <cell r="N1801">
            <v>0</v>
          </cell>
          <cell r="O1801">
            <v>0</v>
          </cell>
          <cell r="P1801">
            <v>1</v>
          </cell>
          <cell r="Q1801">
            <v>0</v>
          </cell>
          <cell r="R1801">
            <v>0</v>
          </cell>
          <cell r="S1801" t="str">
            <v>PLNT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151</v>
          </cell>
          <cell r="AE1801" t="str">
            <v>DEU</v>
          </cell>
          <cell r="AF1801" t="str">
            <v>151.DEU</v>
          </cell>
        </row>
        <row r="1802">
          <cell r="A1802">
            <v>1802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N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D1802">
            <v>151</v>
          </cell>
          <cell r="AE1802" t="str">
            <v>NA</v>
          </cell>
          <cell r="AF1802" t="str">
            <v>151.NA1</v>
          </cell>
        </row>
        <row r="1803">
          <cell r="A1803">
            <v>1803</v>
          </cell>
          <cell r="AD1803">
            <v>151</v>
          </cell>
          <cell r="AE1803" t="str">
            <v>NA</v>
          </cell>
          <cell r="AF1803" t="str">
            <v>151.NA2</v>
          </cell>
        </row>
        <row r="1804">
          <cell r="A1804">
            <v>1804</v>
          </cell>
          <cell r="B1804">
            <v>152</v>
          </cell>
          <cell r="C1804" t="str">
            <v>Fuel Stock - Undistributed</v>
          </cell>
          <cell r="AD1804">
            <v>152</v>
          </cell>
          <cell r="AE1804" t="str">
            <v>NA</v>
          </cell>
          <cell r="AF1804" t="str">
            <v>152.NA</v>
          </cell>
        </row>
        <row r="1805">
          <cell r="A1805">
            <v>1805</v>
          </cell>
          <cell r="D1805" t="str">
            <v>SE</v>
          </cell>
          <cell r="E1805" t="str">
            <v>P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M1805">
            <v>0.59419421435740905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0</v>
          </cell>
          <cell r="S1805" t="str">
            <v>PLNT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152</v>
          </cell>
          <cell r="AE1805" t="str">
            <v>SE</v>
          </cell>
          <cell r="AF1805" t="str">
            <v>152.SE</v>
          </cell>
        </row>
        <row r="1806">
          <cell r="A1806">
            <v>1806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N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152</v>
          </cell>
          <cell r="AE1806" t="str">
            <v>NA</v>
          </cell>
          <cell r="AF1806" t="str">
            <v>152.NA1</v>
          </cell>
        </row>
        <row r="1807">
          <cell r="A1807">
            <v>1807</v>
          </cell>
          <cell r="AD1807">
            <v>152</v>
          </cell>
          <cell r="AE1807" t="str">
            <v>NA</v>
          </cell>
          <cell r="AF1807" t="str">
            <v>152.NA2</v>
          </cell>
        </row>
        <row r="1808">
          <cell r="A1808">
            <v>1808</v>
          </cell>
          <cell r="B1808">
            <v>25316</v>
          </cell>
          <cell r="C1808" t="str">
            <v>DG&amp;T Working Capital Deposit</v>
          </cell>
          <cell r="AD1808">
            <v>25316</v>
          </cell>
          <cell r="AE1808" t="str">
            <v>NA</v>
          </cell>
          <cell r="AF1808" t="str">
            <v>25316.NA</v>
          </cell>
        </row>
        <row r="1809">
          <cell r="A1809">
            <v>1809</v>
          </cell>
          <cell r="D1809" t="str">
            <v>SE</v>
          </cell>
          <cell r="E1809" t="str">
            <v>P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M1809">
            <v>0.59419421435740905</v>
          </cell>
          <cell r="N1809">
            <v>0</v>
          </cell>
          <cell r="O1809">
            <v>0</v>
          </cell>
          <cell r="Q1809">
            <v>0</v>
          </cell>
          <cell r="R1809">
            <v>0</v>
          </cell>
          <cell r="S1809" t="str">
            <v>PLNT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25316</v>
          </cell>
          <cell r="AE1809" t="str">
            <v>SE</v>
          </cell>
          <cell r="AF1809" t="str">
            <v>25316.SE</v>
          </cell>
        </row>
        <row r="1810">
          <cell r="A1810">
            <v>1810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N1810">
            <v>0</v>
          </cell>
          <cell r="O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25316</v>
          </cell>
          <cell r="AE1810" t="str">
            <v>NA</v>
          </cell>
          <cell r="AF1810" t="str">
            <v>25316.NA1</v>
          </cell>
        </row>
        <row r="1811">
          <cell r="A1811">
            <v>1811</v>
          </cell>
          <cell r="AD1811">
            <v>25316</v>
          </cell>
          <cell r="AE1811" t="str">
            <v>NA</v>
          </cell>
          <cell r="AF1811" t="str">
            <v>25316.NA2</v>
          </cell>
        </row>
        <row r="1812">
          <cell r="A1812">
            <v>1812</v>
          </cell>
          <cell r="B1812">
            <v>25317</v>
          </cell>
          <cell r="C1812" t="str">
            <v>DG&amp;T Working Capital Deposit</v>
          </cell>
          <cell r="AD1812">
            <v>25317</v>
          </cell>
          <cell r="AE1812" t="str">
            <v>NA</v>
          </cell>
          <cell r="AF1812" t="str">
            <v>25317.NA</v>
          </cell>
        </row>
        <row r="1813">
          <cell r="A1813">
            <v>1813</v>
          </cell>
          <cell r="D1813" t="str">
            <v>SE</v>
          </cell>
          <cell r="E1813" t="str">
            <v>P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M1813">
            <v>0.59419421435740905</v>
          </cell>
          <cell r="N1813">
            <v>0</v>
          </cell>
          <cell r="O1813">
            <v>0</v>
          </cell>
          <cell r="P1813">
            <v>1</v>
          </cell>
          <cell r="Q1813">
            <v>0</v>
          </cell>
          <cell r="R1813">
            <v>0</v>
          </cell>
          <cell r="S1813" t="str">
            <v>PLNT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25317</v>
          </cell>
          <cell r="AE1813" t="str">
            <v>SE</v>
          </cell>
          <cell r="AF1813" t="str">
            <v>25317.SE</v>
          </cell>
        </row>
        <row r="1814">
          <cell r="A1814">
            <v>1814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N1814">
            <v>0</v>
          </cell>
          <cell r="O1814">
            <v>0</v>
          </cell>
          <cell r="Q1814">
            <v>0</v>
          </cell>
          <cell r="R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25317</v>
          </cell>
          <cell r="AE1814" t="str">
            <v>NA</v>
          </cell>
          <cell r="AF1814" t="str">
            <v>25317.NA1</v>
          </cell>
        </row>
        <row r="1815">
          <cell r="A1815">
            <v>1815</v>
          </cell>
          <cell r="AD1815">
            <v>25317</v>
          </cell>
          <cell r="AE1815" t="str">
            <v>NA</v>
          </cell>
          <cell r="AF1815" t="str">
            <v>25317.NA2</v>
          </cell>
        </row>
        <row r="1816">
          <cell r="A1816">
            <v>1816</v>
          </cell>
          <cell r="B1816">
            <v>25319</v>
          </cell>
          <cell r="C1816" t="str">
            <v>Provo Working Capital Deposit</v>
          </cell>
          <cell r="AD1816">
            <v>25319</v>
          </cell>
          <cell r="AE1816" t="str">
            <v>NA</v>
          </cell>
          <cell r="AF1816" t="str">
            <v>25319.NA</v>
          </cell>
        </row>
        <row r="1817">
          <cell r="A1817">
            <v>1817</v>
          </cell>
          <cell r="D1817" t="str">
            <v>SE</v>
          </cell>
          <cell r="E1817" t="str">
            <v>P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0.59419421435740905</v>
          </cell>
          <cell r="N1817">
            <v>0</v>
          </cell>
          <cell r="O1817">
            <v>0</v>
          </cell>
          <cell r="P1817">
            <v>1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>
            <v>25319</v>
          </cell>
          <cell r="AE1817" t="str">
            <v>SE</v>
          </cell>
          <cell r="AF1817" t="str">
            <v>25319.SE</v>
          </cell>
        </row>
        <row r="1818">
          <cell r="A1818">
            <v>1818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N1818">
            <v>0</v>
          </cell>
          <cell r="O1818">
            <v>0</v>
          </cell>
          <cell r="Q1818">
            <v>0</v>
          </cell>
          <cell r="R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>
            <v>25319</v>
          </cell>
          <cell r="AE1818" t="str">
            <v>NA</v>
          </cell>
          <cell r="AF1818" t="str">
            <v>25319.NA1</v>
          </cell>
        </row>
        <row r="1819">
          <cell r="A1819">
            <v>1819</v>
          </cell>
          <cell r="AD1819">
            <v>25319</v>
          </cell>
          <cell r="AE1819" t="str">
            <v>NA</v>
          </cell>
          <cell r="AF1819" t="str">
            <v>25319.NA2</v>
          </cell>
        </row>
        <row r="1820">
          <cell r="A1820">
            <v>1820</v>
          </cell>
          <cell r="C1820" t="str">
            <v>Total Fuel Stock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0.59419421435740905</v>
          </cell>
          <cell r="N1820">
            <v>0</v>
          </cell>
          <cell r="O1820">
            <v>0</v>
          </cell>
          <cell r="P1820">
            <v>1</v>
          </cell>
          <cell r="Q1820">
            <v>0</v>
          </cell>
          <cell r="R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>
            <v>25319</v>
          </cell>
          <cell r="AE1820" t="str">
            <v>NA</v>
          </cell>
          <cell r="AF1820" t="str">
            <v>25319.NA3</v>
          </cell>
        </row>
        <row r="1821">
          <cell r="A1821">
            <v>1821</v>
          </cell>
          <cell r="AD1821">
            <v>25319</v>
          </cell>
          <cell r="AE1821" t="str">
            <v>NA</v>
          </cell>
          <cell r="AF1821" t="str">
            <v>25319.NA4</v>
          </cell>
        </row>
        <row r="1822">
          <cell r="A1822">
            <v>1822</v>
          </cell>
          <cell r="B1822">
            <v>154</v>
          </cell>
          <cell r="C1822" t="str">
            <v>Materials and Supplies</v>
          </cell>
          <cell r="AD1822">
            <v>154</v>
          </cell>
          <cell r="AE1822" t="str">
            <v>NA</v>
          </cell>
          <cell r="AF1822" t="str">
            <v>154.NA</v>
          </cell>
        </row>
        <row r="1823">
          <cell r="A1823">
            <v>1823</v>
          </cell>
          <cell r="D1823" t="str">
            <v>S</v>
          </cell>
          <cell r="E1823" t="str">
            <v>MSS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M1823">
            <v>0.59419421435740905</v>
          </cell>
          <cell r="N1823">
            <v>0</v>
          </cell>
          <cell r="O1823">
            <v>0</v>
          </cell>
          <cell r="P1823">
            <v>1</v>
          </cell>
          <cell r="Q1823">
            <v>0</v>
          </cell>
          <cell r="R1823">
            <v>0</v>
          </cell>
          <cell r="S1823" t="str">
            <v>PLNT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>
            <v>154</v>
          </cell>
          <cell r="AE1823" t="str">
            <v>S</v>
          </cell>
          <cell r="AF1823" t="str">
            <v>154.S</v>
          </cell>
        </row>
        <row r="1824">
          <cell r="A1824">
            <v>1824</v>
          </cell>
          <cell r="D1824" t="str">
            <v>SG/CAGE/CAGW</v>
          </cell>
          <cell r="E1824" t="str">
            <v>MSS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M1824">
            <v>0.59419421435740905</v>
          </cell>
          <cell r="N1824">
            <v>0</v>
          </cell>
          <cell r="O1824">
            <v>0</v>
          </cell>
          <cell r="P1824">
            <v>1</v>
          </cell>
          <cell r="Q1824">
            <v>0</v>
          </cell>
          <cell r="R1824">
            <v>0</v>
          </cell>
          <cell r="S1824" t="str">
            <v>PLNT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D1824">
            <v>154</v>
          </cell>
          <cell r="AE1824" t="str">
            <v>SG/CAGE/CAGW</v>
          </cell>
          <cell r="AF1824" t="str">
            <v>154.SG/CAGE/CAGW</v>
          </cell>
        </row>
        <row r="1825">
          <cell r="A1825">
            <v>1825</v>
          </cell>
          <cell r="D1825" t="str">
            <v>SE/CAEE/CAEW</v>
          </cell>
          <cell r="E1825" t="str">
            <v>MSS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M1825">
            <v>0.59419421435740905</v>
          </cell>
          <cell r="N1825">
            <v>0</v>
          </cell>
          <cell r="O1825">
            <v>0</v>
          </cell>
          <cell r="P1825">
            <v>1</v>
          </cell>
          <cell r="Q1825">
            <v>0</v>
          </cell>
          <cell r="R1825">
            <v>0</v>
          </cell>
          <cell r="S1825" t="str">
            <v>PLNT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D1825">
            <v>154</v>
          </cell>
          <cell r="AE1825" t="str">
            <v>SE/CAEE/CAEW</v>
          </cell>
          <cell r="AF1825" t="str">
            <v>154.SE/CAEE/CAEW</v>
          </cell>
        </row>
        <row r="1826">
          <cell r="A1826">
            <v>1826</v>
          </cell>
          <cell r="D1826" t="str">
            <v>SO</v>
          </cell>
          <cell r="E1826" t="str">
            <v>MSS</v>
          </cell>
          <cell r="F1826">
            <v>-2.1827872842550278E-11</v>
          </cell>
          <cell r="G1826">
            <v>-1.8945043384002309E-11</v>
          </cell>
          <cell r="H1826">
            <v>-9.7672203545019976E-14</v>
          </cell>
          <cell r="I1826">
            <v>-2.7851572550029477E-12</v>
          </cell>
          <cell r="J1826">
            <v>0</v>
          </cell>
          <cell r="K1826">
            <v>0</v>
          </cell>
          <cell r="M1826">
            <v>0.59419421435740905</v>
          </cell>
          <cell r="N1826">
            <v>-1.1257035169524283E-11</v>
          </cell>
          <cell r="O1826">
            <v>-7.6880082144780262E-12</v>
          </cell>
          <cell r="P1826">
            <v>1</v>
          </cell>
          <cell r="Q1826">
            <v>-9.7672203545019976E-14</v>
          </cell>
          <cell r="R1826">
            <v>0</v>
          </cell>
          <cell r="S1826" t="str">
            <v>PLNT</v>
          </cell>
          <cell r="T1826">
            <v>-4.1615337077662085E-13</v>
          </cell>
          <cell r="U1826">
            <v>-1.3045048781280184E-12</v>
          </cell>
          <cell r="V1826">
            <v>-6.2791204282310441E-13</v>
          </cell>
          <cell r="W1826">
            <v>-7.357477933747539E-14</v>
          </cell>
          <cell r="X1826">
            <v>-3.6301218393772865E-13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>
            <v>154</v>
          </cell>
          <cell r="AE1826" t="str">
            <v>SO</v>
          </cell>
          <cell r="AF1826" t="str">
            <v>154.SO</v>
          </cell>
        </row>
        <row r="1827">
          <cell r="A1827">
            <v>1827</v>
          </cell>
          <cell r="D1827" t="str">
            <v>DNPPS</v>
          </cell>
          <cell r="E1827" t="str">
            <v>MSS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0.59419421435740905</v>
          </cell>
          <cell r="N1827">
            <v>0</v>
          </cell>
          <cell r="O1827">
            <v>0</v>
          </cell>
          <cell r="P1827">
            <v>1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>
            <v>154</v>
          </cell>
          <cell r="AE1827" t="str">
            <v>DNPPS</v>
          </cell>
          <cell r="AF1827" t="str">
            <v>154.DNPPS</v>
          </cell>
        </row>
        <row r="1828">
          <cell r="A1828">
            <v>1828</v>
          </cell>
          <cell r="D1828" t="str">
            <v>DNPPH</v>
          </cell>
          <cell r="E1828" t="str">
            <v>MSS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0.59419421435740905</v>
          </cell>
          <cell r="N1828">
            <v>0</v>
          </cell>
          <cell r="O1828">
            <v>0</v>
          </cell>
          <cell r="P1828">
            <v>1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>
            <v>154</v>
          </cell>
          <cell r="AE1828" t="str">
            <v>DNPPH</v>
          </cell>
          <cell r="AF1828" t="str">
            <v>154.DNPPH</v>
          </cell>
        </row>
        <row r="1829">
          <cell r="A1829">
            <v>1829</v>
          </cell>
          <cell r="D1829" t="str">
            <v>DNPD</v>
          </cell>
          <cell r="E1829" t="str">
            <v>MSS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M1829">
            <v>0.59419421435740905</v>
          </cell>
          <cell r="N1829">
            <v>0</v>
          </cell>
          <cell r="O1829">
            <v>0</v>
          </cell>
          <cell r="P1829">
            <v>1</v>
          </cell>
          <cell r="Q1829">
            <v>0</v>
          </cell>
          <cell r="R1829">
            <v>0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>
            <v>154</v>
          </cell>
          <cell r="AE1829" t="str">
            <v>DNPD</v>
          </cell>
          <cell r="AF1829" t="str">
            <v>154.DNPD</v>
          </cell>
        </row>
        <row r="1830">
          <cell r="A1830">
            <v>1830</v>
          </cell>
          <cell r="D1830" t="str">
            <v>DNPT</v>
          </cell>
          <cell r="E1830" t="str">
            <v>MSS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M1830">
            <v>0.59419421435740905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0</v>
          </cell>
          <cell r="S1830" t="str">
            <v>PLNT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>
            <v>154</v>
          </cell>
          <cell r="AE1830" t="str">
            <v>DNPT</v>
          </cell>
          <cell r="AF1830" t="str">
            <v>154.DNPT</v>
          </cell>
        </row>
        <row r="1831">
          <cell r="A1831">
            <v>1831</v>
          </cell>
          <cell r="D1831" t="str">
            <v>DGU</v>
          </cell>
          <cell r="E1831" t="str">
            <v>MSS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0.59419421435740905</v>
          </cell>
          <cell r="N1831">
            <v>0</v>
          </cell>
          <cell r="O1831">
            <v>0</v>
          </cell>
          <cell r="P1831">
            <v>1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>
            <v>154</v>
          </cell>
          <cell r="AE1831" t="str">
            <v>DGU</v>
          </cell>
          <cell r="AF1831" t="str">
            <v>154.DGU</v>
          </cell>
        </row>
        <row r="1832">
          <cell r="A1832">
            <v>1832</v>
          </cell>
          <cell r="D1832" t="str">
            <v>DGP</v>
          </cell>
          <cell r="E1832" t="str">
            <v>MSS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0.59419421435740905</v>
          </cell>
          <cell r="N1832">
            <v>0</v>
          </cell>
          <cell r="O1832">
            <v>0</v>
          </cell>
          <cell r="P1832">
            <v>1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>
            <v>154</v>
          </cell>
          <cell r="AE1832" t="str">
            <v>DGP</v>
          </cell>
          <cell r="AF1832" t="str">
            <v>154.DGP</v>
          </cell>
        </row>
        <row r="1833">
          <cell r="A1833">
            <v>1833</v>
          </cell>
          <cell r="D1833" t="str">
            <v>JBG</v>
          </cell>
          <cell r="E1833" t="str">
            <v>MSS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0.59419421435740905</v>
          </cell>
          <cell r="N1833">
            <v>0</v>
          </cell>
          <cell r="O1833">
            <v>0</v>
          </cell>
          <cell r="P1833">
            <v>1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>
            <v>154</v>
          </cell>
          <cell r="AE1833" t="str">
            <v>JBG</v>
          </cell>
          <cell r="AF1833" t="str">
            <v>154.JBG</v>
          </cell>
        </row>
        <row r="1834">
          <cell r="A1834">
            <v>1834</v>
          </cell>
          <cell r="D1834" t="str">
            <v>SNPP</v>
          </cell>
          <cell r="E1834" t="str">
            <v>MSS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M1834">
            <v>0.59419421435740905</v>
          </cell>
          <cell r="N1834">
            <v>0</v>
          </cell>
          <cell r="O1834">
            <v>0</v>
          </cell>
          <cell r="P1834">
            <v>1</v>
          </cell>
          <cell r="Q1834">
            <v>0</v>
          </cell>
          <cell r="R1834">
            <v>0</v>
          </cell>
          <cell r="S1834" t="str">
            <v>PLNT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>
            <v>154</v>
          </cell>
          <cell r="AE1834" t="str">
            <v>SNPP</v>
          </cell>
          <cell r="AF1834" t="str">
            <v>154.SNPP</v>
          </cell>
        </row>
        <row r="1835">
          <cell r="A1835">
            <v>1835</v>
          </cell>
          <cell r="D1835" t="str">
            <v>CAGE</v>
          </cell>
          <cell r="E1835" t="str">
            <v>MSS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M1835">
            <v>0.59419421435740905</v>
          </cell>
          <cell r="N1835">
            <v>0</v>
          </cell>
          <cell r="O1835">
            <v>0</v>
          </cell>
          <cell r="P1835">
            <v>1</v>
          </cell>
          <cell r="Q1835">
            <v>0</v>
          </cell>
          <cell r="R1835">
            <v>0</v>
          </cell>
          <cell r="S1835" t="str">
            <v>PLNT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D1835">
            <v>154</v>
          </cell>
          <cell r="AE1835" t="str">
            <v>CAGE</v>
          </cell>
          <cell r="AF1835" t="str">
            <v>154.CAGE</v>
          </cell>
        </row>
        <row r="1836">
          <cell r="A1836">
            <v>1836</v>
          </cell>
          <cell r="F1836">
            <v>-2.1827872842550278E-11</v>
          </cell>
          <cell r="G1836">
            <v>-1.8945043384002309E-11</v>
          </cell>
          <cell r="H1836">
            <v>-9.7672203545019976E-14</v>
          </cell>
          <cell r="I1836">
            <v>-2.7851572550029477E-12</v>
          </cell>
          <cell r="J1836">
            <v>0</v>
          </cell>
          <cell r="K1836">
            <v>0</v>
          </cell>
          <cell r="N1836">
            <v>-1.1257035169524283E-11</v>
          </cell>
          <cell r="O1836">
            <v>-7.6880082144780262E-12</v>
          </cell>
          <cell r="Q1836">
            <v>-9.7672203545019976E-14</v>
          </cell>
          <cell r="R1836">
            <v>0</v>
          </cell>
          <cell r="T1836">
            <v>-4.1615337077662085E-13</v>
          </cell>
          <cell r="U1836">
            <v>-1.3045048781280184E-12</v>
          </cell>
          <cell r="V1836">
            <v>-6.2791204282310441E-13</v>
          </cell>
          <cell r="W1836">
            <v>-7.357477933747539E-14</v>
          </cell>
          <cell r="X1836">
            <v>-3.6301218393772865E-13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D1836">
            <v>154</v>
          </cell>
          <cell r="AE1836" t="str">
            <v>NA</v>
          </cell>
          <cell r="AF1836" t="str">
            <v>154.NA1</v>
          </cell>
        </row>
        <row r="1837">
          <cell r="A1837">
            <v>1837</v>
          </cell>
          <cell r="AD1837">
            <v>154</v>
          </cell>
          <cell r="AE1837" t="str">
            <v>NA</v>
          </cell>
          <cell r="AF1837" t="str">
            <v>154.NA2</v>
          </cell>
        </row>
        <row r="1838">
          <cell r="A1838">
            <v>1838</v>
          </cell>
          <cell r="B1838">
            <v>163</v>
          </cell>
          <cell r="C1838" t="str">
            <v>Stores Expense Undistributed</v>
          </cell>
          <cell r="AD1838">
            <v>163</v>
          </cell>
          <cell r="AE1838" t="str">
            <v>NA</v>
          </cell>
          <cell r="AF1838" t="str">
            <v>163.NA</v>
          </cell>
        </row>
        <row r="1839">
          <cell r="A1839">
            <v>1839</v>
          </cell>
          <cell r="D1839" t="str">
            <v>SO</v>
          </cell>
          <cell r="E1839" t="str">
            <v>MSS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0.59419421435740905</v>
          </cell>
          <cell r="N1839">
            <v>0</v>
          </cell>
          <cell r="O1839">
            <v>0</v>
          </cell>
          <cell r="P1839">
            <v>1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>
            <v>163</v>
          </cell>
          <cell r="AE1839" t="str">
            <v>SO</v>
          </cell>
          <cell r="AF1839" t="str">
            <v>163.SO</v>
          </cell>
        </row>
        <row r="1840">
          <cell r="A1840">
            <v>1840</v>
          </cell>
          <cell r="AD1840">
            <v>163</v>
          </cell>
          <cell r="AE1840" t="str">
            <v>NA</v>
          </cell>
          <cell r="AF1840" t="str">
            <v>163.NA1</v>
          </cell>
        </row>
        <row r="1841">
          <cell r="A1841">
            <v>1841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N1841">
            <v>0</v>
          </cell>
          <cell r="O1841">
            <v>0</v>
          </cell>
          <cell r="Q1841">
            <v>0</v>
          </cell>
          <cell r="R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>
            <v>163</v>
          </cell>
          <cell r="AE1841" t="str">
            <v>NA</v>
          </cell>
          <cell r="AF1841" t="str">
            <v>163.NA2</v>
          </cell>
        </row>
        <row r="1842">
          <cell r="A1842">
            <v>1842</v>
          </cell>
          <cell r="AD1842">
            <v>163</v>
          </cell>
          <cell r="AE1842" t="str">
            <v>NA</v>
          </cell>
          <cell r="AF1842" t="str">
            <v>163.NA3</v>
          </cell>
        </row>
        <row r="1843">
          <cell r="A1843">
            <v>1843</v>
          </cell>
          <cell r="B1843">
            <v>25318</v>
          </cell>
          <cell r="C1843" t="str">
            <v>Provo Working Capital Deposit</v>
          </cell>
          <cell r="AD1843">
            <v>25318</v>
          </cell>
          <cell r="AE1843" t="str">
            <v>NA</v>
          </cell>
          <cell r="AF1843" t="str">
            <v>25318.NA</v>
          </cell>
        </row>
        <row r="1844">
          <cell r="A1844">
            <v>1844</v>
          </cell>
          <cell r="D1844" t="str">
            <v>SNPPS</v>
          </cell>
          <cell r="E1844" t="str">
            <v>MSS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0.59419421435740905</v>
          </cell>
          <cell r="N1844">
            <v>0</v>
          </cell>
          <cell r="O1844">
            <v>0</v>
          </cell>
          <cell r="P1844">
            <v>1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25318</v>
          </cell>
          <cell r="AE1844" t="str">
            <v>SNPPS</v>
          </cell>
          <cell r="AF1844" t="str">
            <v>25318.SNPPS</v>
          </cell>
        </row>
        <row r="1845">
          <cell r="A1845">
            <v>1845</v>
          </cell>
          <cell r="AD1845">
            <v>25318</v>
          </cell>
          <cell r="AE1845" t="str">
            <v>NA</v>
          </cell>
          <cell r="AF1845" t="str">
            <v>25318.NA1</v>
          </cell>
        </row>
        <row r="1846">
          <cell r="A1846">
            <v>1846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N1846">
            <v>0</v>
          </cell>
          <cell r="O1846">
            <v>0</v>
          </cell>
          <cell r="Q1846">
            <v>0</v>
          </cell>
          <cell r="R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25318</v>
          </cell>
          <cell r="AE1846" t="str">
            <v>NA</v>
          </cell>
          <cell r="AF1846" t="str">
            <v>25318.NA2</v>
          </cell>
        </row>
        <row r="1847">
          <cell r="A1847">
            <v>1847</v>
          </cell>
          <cell r="AD1847">
            <v>25318</v>
          </cell>
          <cell r="AE1847" t="str">
            <v>NA</v>
          </cell>
          <cell r="AF1847" t="str">
            <v>25318.NA3</v>
          </cell>
        </row>
        <row r="1848">
          <cell r="A1848">
            <v>1848</v>
          </cell>
          <cell r="C1848" t="str">
            <v>Total Materials &amp; Supplies</v>
          </cell>
          <cell r="F1848">
            <v>-2.1827872842550278E-11</v>
          </cell>
          <cell r="G1848">
            <v>-1.8945043384002309E-11</v>
          </cell>
          <cell r="H1848">
            <v>-9.7672203545019976E-14</v>
          </cell>
          <cell r="I1848">
            <v>-2.7851572550029477E-12</v>
          </cell>
          <cell r="J1848">
            <v>0</v>
          </cell>
          <cell r="K1848">
            <v>0</v>
          </cell>
          <cell r="N1848">
            <v>-1.1257035169524283E-11</v>
          </cell>
          <cell r="O1848">
            <v>-7.6880082144780262E-12</v>
          </cell>
          <cell r="Q1848">
            <v>-9.7672203545019976E-14</v>
          </cell>
          <cell r="R1848">
            <v>0</v>
          </cell>
          <cell r="T1848">
            <v>-4.1615337077662085E-13</v>
          </cell>
          <cell r="U1848">
            <v>-1.3045048781280184E-12</v>
          </cell>
          <cell r="V1848">
            <v>-6.2791204282310441E-13</v>
          </cell>
          <cell r="W1848">
            <v>-7.357477933747539E-14</v>
          </cell>
          <cell r="X1848">
            <v>-3.6301218393772865E-13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25318</v>
          </cell>
          <cell r="AE1848" t="str">
            <v>NA</v>
          </cell>
          <cell r="AF1848" t="str">
            <v>25318.NA4</v>
          </cell>
        </row>
        <row r="1849">
          <cell r="A1849">
            <v>1849</v>
          </cell>
          <cell r="AD1849">
            <v>25318</v>
          </cell>
          <cell r="AE1849" t="str">
            <v>NA</v>
          </cell>
          <cell r="AF1849" t="str">
            <v>25318.NA5</v>
          </cell>
        </row>
        <row r="1850">
          <cell r="A1850">
            <v>1850</v>
          </cell>
          <cell r="B1850">
            <v>165</v>
          </cell>
          <cell r="C1850" t="str">
            <v>Prepayments</v>
          </cell>
          <cell r="AD1850">
            <v>165</v>
          </cell>
          <cell r="AE1850" t="str">
            <v>NA</v>
          </cell>
          <cell r="AF1850" t="str">
            <v>165.NA</v>
          </cell>
        </row>
        <row r="1851">
          <cell r="A1851">
            <v>1851</v>
          </cell>
          <cell r="D1851" t="str">
            <v>S</v>
          </cell>
          <cell r="E1851" t="str">
            <v>COMMON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0.59419421435740905</v>
          </cell>
          <cell r="N1851">
            <v>0</v>
          </cell>
          <cell r="O1851">
            <v>0</v>
          </cell>
          <cell r="P1851">
            <v>1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165</v>
          </cell>
          <cell r="AE1851" t="str">
            <v>S</v>
          </cell>
          <cell r="AF1851" t="str">
            <v>165.S</v>
          </cell>
        </row>
        <row r="1852">
          <cell r="A1852">
            <v>1852</v>
          </cell>
          <cell r="D1852" t="str">
            <v>GPS</v>
          </cell>
          <cell r="E1852" t="str">
            <v>GP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0.59419421435740905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165</v>
          </cell>
          <cell r="AE1852" t="str">
            <v>GPS</v>
          </cell>
          <cell r="AF1852" t="str">
            <v>165.GPS</v>
          </cell>
        </row>
        <row r="1853">
          <cell r="A1853">
            <v>1853</v>
          </cell>
          <cell r="D1853" t="str">
            <v>SG</v>
          </cell>
          <cell r="E1853" t="str">
            <v>PT</v>
          </cell>
          <cell r="F1853">
            <v>-3.0559021979570389E-10</v>
          </cell>
          <cell r="G1853">
            <v>-2.1590233425826653E-10</v>
          </cell>
          <cell r="H1853">
            <v>-8.9687885537437367E-11</v>
          </cell>
          <cell r="I1853">
            <v>0</v>
          </cell>
          <cell r="J1853">
            <v>0</v>
          </cell>
          <cell r="K1853">
            <v>0</v>
          </cell>
          <cell r="M1853">
            <v>0.59419421435740905</v>
          </cell>
          <cell r="N1853">
            <v>-1.2828791788252141E-10</v>
          </cell>
          <cell r="O1853">
            <v>-8.7614416375745124E-11</v>
          </cell>
          <cell r="P1853">
            <v>1</v>
          </cell>
          <cell r="Q1853">
            <v>-8.9687885537437367E-11</v>
          </cell>
          <cell r="R1853">
            <v>0</v>
          </cell>
          <cell r="S1853" t="str">
            <v>PLNT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165</v>
          </cell>
          <cell r="AE1853" t="str">
            <v>SG</v>
          </cell>
          <cell r="AF1853" t="str">
            <v>165.SG</v>
          </cell>
        </row>
        <row r="1854">
          <cell r="A1854">
            <v>1854</v>
          </cell>
          <cell r="D1854" t="str">
            <v>CAEW</v>
          </cell>
          <cell r="E1854" t="str">
            <v>P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M1854">
            <v>0.59419421435740905</v>
          </cell>
          <cell r="N1854">
            <v>0</v>
          </cell>
          <cell r="O1854">
            <v>0</v>
          </cell>
          <cell r="P1854">
            <v>1</v>
          </cell>
          <cell r="Q1854">
            <v>0</v>
          </cell>
          <cell r="R1854">
            <v>0</v>
          </cell>
          <cell r="S1854" t="str">
            <v>PLNT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D1854">
            <v>165</v>
          </cell>
          <cell r="AE1854" t="str">
            <v>CAEW</v>
          </cell>
          <cell r="AF1854" t="str">
            <v>165.CAEW</v>
          </cell>
        </row>
        <row r="1855">
          <cell r="A1855">
            <v>1855</v>
          </cell>
          <cell r="D1855" t="str">
            <v>SO</v>
          </cell>
          <cell r="E1855" t="str">
            <v>PTD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M1855">
            <v>0.59419421435740905</v>
          </cell>
          <cell r="N1855">
            <v>0</v>
          </cell>
          <cell r="O1855">
            <v>0</v>
          </cell>
          <cell r="P1855">
            <v>1</v>
          </cell>
          <cell r="Q1855">
            <v>0</v>
          </cell>
          <cell r="R1855">
            <v>0</v>
          </cell>
          <cell r="S1855" t="str">
            <v>PLNT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>
            <v>165</v>
          </cell>
          <cell r="AE1855" t="str">
            <v>SO</v>
          </cell>
          <cell r="AF1855" t="str">
            <v>165.SO</v>
          </cell>
        </row>
        <row r="1856">
          <cell r="A1856">
            <v>1856</v>
          </cell>
          <cell r="F1856">
            <v>-3.0559021979570389E-10</v>
          </cell>
          <cell r="G1856">
            <v>-2.1590233425826653E-10</v>
          </cell>
          <cell r="H1856">
            <v>-8.9687885537437367E-11</v>
          </cell>
          <cell r="I1856">
            <v>0</v>
          </cell>
          <cell r="J1856">
            <v>0</v>
          </cell>
          <cell r="K1856">
            <v>0</v>
          </cell>
          <cell r="N1856">
            <v>-1.2828791788252141E-10</v>
          </cell>
          <cell r="O1856">
            <v>-8.7614416375745124E-11</v>
          </cell>
          <cell r="Q1856">
            <v>-8.9687885537437367E-11</v>
          </cell>
          <cell r="R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D1856">
            <v>165</v>
          </cell>
          <cell r="AE1856" t="str">
            <v>NA</v>
          </cell>
          <cell r="AF1856" t="str">
            <v>165.NA1</v>
          </cell>
        </row>
        <row r="1857">
          <cell r="A1857">
            <v>1857</v>
          </cell>
          <cell r="AD1857">
            <v>165</v>
          </cell>
          <cell r="AE1857" t="str">
            <v>NA</v>
          </cell>
          <cell r="AF1857" t="str">
            <v>165.NA2</v>
          </cell>
        </row>
        <row r="1858">
          <cell r="A1858">
            <v>1858</v>
          </cell>
          <cell r="B1858" t="str">
            <v>182M</v>
          </cell>
          <cell r="C1858" t="str">
            <v>Misc Regulatory Assets</v>
          </cell>
          <cell r="AD1858" t="str">
            <v>182M</v>
          </cell>
          <cell r="AE1858" t="str">
            <v>NA</v>
          </cell>
          <cell r="AF1858" t="str">
            <v>182M.NA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250184.92583333334</v>
          </cell>
          <cell r="G1859">
            <v>250184.92583333334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0.59419421435740905</v>
          </cell>
          <cell r="N1859">
            <v>148658.43544960415</v>
          </cell>
          <cell r="O1859">
            <v>101526.49038372919</v>
          </cell>
          <cell r="P1859">
            <v>1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 t="str">
            <v>182M</v>
          </cell>
          <cell r="AE1859" t="str">
            <v>S</v>
          </cell>
          <cell r="AF1859" t="str">
            <v>182M.S</v>
          </cell>
        </row>
        <row r="1860">
          <cell r="A1860">
            <v>1860</v>
          </cell>
          <cell r="D1860" t="str">
            <v>CAGW</v>
          </cell>
          <cell r="E1860" t="str">
            <v>P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M1860">
            <v>0.59419421435740905</v>
          </cell>
          <cell r="N1860">
            <v>0</v>
          </cell>
          <cell r="O1860">
            <v>0</v>
          </cell>
          <cell r="P1860">
            <v>1</v>
          </cell>
          <cell r="Q1860">
            <v>0</v>
          </cell>
          <cell r="R1860">
            <v>0</v>
          </cell>
          <cell r="S1860" t="str">
            <v>PLNT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D1860" t="str">
            <v>182M</v>
          </cell>
          <cell r="AE1860" t="str">
            <v>CAGW</v>
          </cell>
          <cell r="AF1860" t="str">
            <v>182M.CAGW</v>
          </cell>
        </row>
        <row r="1861">
          <cell r="A1861">
            <v>1861</v>
          </cell>
          <cell r="D1861" t="str">
            <v>CAGE</v>
          </cell>
          <cell r="E1861" t="str">
            <v>P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M1861">
            <v>0.59419421435740905</v>
          </cell>
          <cell r="N1861">
            <v>0</v>
          </cell>
          <cell r="O1861">
            <v>0</v>
          </cell>
          <cell r="P1861">
            <v>1</v>
          </cell>
          <cell r="Q1861">
            <v>0</v>
          </cell>
          <cell r="R1861">
            <v>0</v>
          </cell>
          <cell r="S1861" t="str">
            <v>PLNT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 t="str">
            <v>182M</v>
          </cell>
          <cell r="AE1861" t="str">
            <v>CAGE</v>
          </cell>
          <cell r="AF1861" t="str">
            <v>182M.CAGE</v>
          </cell>
        </row>
        <row r="1862">
          <cell r="A1862">
            <v>1862</v>
          </cell>
          <cell r="D1862" t="str">
            <v>CAEW</v>
          </cell>
          <cell r="E1862" t="str">
            <v>P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M1862">
            <v>0.59419421435740905</v>
          </cell>
          <cell r="N1862">
            <v>0</v>
          </cell>
          <cell r="O1862">
            <v>0</v>
          </cell>
          <cell r="P1862">
            <v>1</v>
          </cell>
          <cell r="Q1862">
            <v>0</v>
          </cell>
          <cell r="R1862">
            <v>0</v>
          </cell>
          <cell r="S1862" t="str">
            <v>PLNT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D1862" t="str">
            <v>182M</v>
          </cell>
          <cell r="AE1862" t="str">
            <v>CAEW</v>
          </cell>
          <cell r="AF1862" t="str">
            <v>182M.CAEW</v>
          </cell>
        </row>
        <row r="1863">
          <cell r="A1863">
            <v>1863</v>
          </cell>
          <cell r="D1863" t="str">
            <v>CAEE</v>
          </cell>
          <cell r="E1863" t="str">
            <v>P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M1863">
            <v>0.59419421435740905</v>
          </cell>
          <cell r="N1863">
            <v>0</v>
          </cell>
          <cell r="O1863">
            <v>0</v>
          </cell>
          <cell r="P1863">
            <v>1</v>
          </cell>
          <cell r="Q1863">
            <v>0</v>
          </cell>
          <cell r="R1863">
            <v>0</v>
          </cell>
          <cell r="S1863" t="str">
            <v>PLNT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D1863" t="str">
            <v>182M</v>
          </cell>
          <cell r="AE1863" t="str">
            <v>CAEE</v>
          </cell>
          <cell r="AF1863" t="str">
            <v>182M.CAEE</v>
          </cell>
        </row>
        <row r="1864">
          <cell r="A1864">
            <v>1864</v>
          </cell>
          <cell r="D1864" t="str">
            <v>SE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0.59419421435740905</v>
          </cell>
          <cell r="N1864">
            <v>0</v>
          </cell>
          <cell r="O1864">
            <v>0</v>
          </cell>
          <cell r="P1864">
            <v>1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 t="str">
            <v>182M</v>
          </cell>
          <cell r="AE1864" t="str">
            <v>SE</v>
          </cell>
          <cell r="AF1864" t="str">
            <v>182M.SE</v>
          </cell>
        </row>
        <row r="1865">
          <cell r="A1865">
            <v>1865</v>
          </cell>
          <cell r="D1865" t="str">
            <v>SO</v>
          </cell>
          <cell r="E1865" t="str">
            <v>T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1</v>
          </cell>
          <cell r="N1865">
            <v>0</v>
          </cell>
          <cell r="O1865">
            <v>0</v>
          </cell>
          <cell r="P1865">
            <v>1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 t="str">
            <v>182M</v>
          </cell>
          <cell r="AE1865" t="str">
            <v>SO</v>
          </cell>
          <cell r="AF1865" t="str">
            <v>182M.SO</v>
          </cell>
        </row>
        <row r="1866">
          <cell r="A1866">
            <v>1866</v>
          </cell>
          <cell r="F1866">
            <v>250184.92583333334</v>
          </cell>
          <cell r="G1866">
            <v>250184.92583333334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N1866">
            <v>148658.43544960415</v>
          </cell>
          <cell r="O1866">
            <v>101526.49038372919</v>
          </cell>
          <cell r="Q1866">
            <v>0</v>
          </cell>
          <cell r="R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 t="str">
            <v>182M</v>
          </cell>
          <cell r="AE1866" t="str">
            <v>NA</v>
          </cell>
          <cell r="AF1866" t="str">
            <v>182M.NA1</v>
          </cell>
        </row>
        <row r="1867">
          <cell r="A1867">
            <v>1867</v>
          </cell>
          <cell r="AD1867" t="str">
            <v>182M</v>
          </cell>
          <cell r="AE1867" t="str">
            <v>NA</v>
          </cell>
          <cell r="AF1867" t="str">
            <v>182M.NA2</v>
          </cell>
        </row>
        <row r="1868">
          <cell r="A1868">
            <v>1868</v>
          </cell>
          <cell r="B1868" t="str">
            <v>186M</v>
          </cell>
          <cell r="C1868" t="str">
            <v>Misc Deferred Debits</v>
          </cell>
          <cell r="AD1868" t="str">
            <v>186M</v>
          </cell>
          <cell r="AE1868" t="str">
            <v>NA</v>
          </cell>
          <cell r="AF1868" t="str">
            <v>186M.NA</v>
          </cell>
        </row>
        <row r="1869">
          <cell r="A1869">
            <v>1869</v>
          </cell>
          <cell r="D1869" t="str">
            <v>S</v>
          </cell>
          <cell r="E1869" t="str">
            <v>T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M1869">
            <v>1</v>
          </cell>
          <cell r="N1869">
            <v>0</v>
          </cell>
          <cell r="O1869">
            <v>0</v>
          </cell>
          <cell r="P1869">
            <v>1</v>
          </cell>
          <cell r="Q1869">
            <v>0</v>
          </cell>
          <cell r="R1869">
            <v>0</v>
          </cell>
          <cell r="S1869" t="str">
            <v>PLNT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D1869" t="str">
            <v>186M</v>
          </cell>
          <cell r="AE1869" t="str">
            <v>S</v>
          </cell>
          <cell r="AF1869" t="str">
            <v>186M.S</v>
          </cell>
        </row>
        <row r="1870">
          <cell r="A1870">
            <v>1870</v>
          </cell>
          <cell r="D1870" t="str">
            <v>CAEW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0.59419421435740905</v>
          </cell>
          <cell r="N1870">
            <v>0</v>
          </cell>
          <cell r="O1870">
            <v>0</v>
          </cell>
          <cell r="P1870">
            <v>1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 t="str">
            <v>186M</v>
          </cell>
          <cell r="AE1870" t="str">
            <v>CAEW</v>
          </cell>
          <cell r="AF1870" t="str">
            <v>186M.CAEW</v>
          </cell>
        </row>
        <row r="1871">
          <cell r="A1871">
            <v>1871</v>
          </cell>
          <cell r="D1871" t="str">
            <v>CAEE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0.59419421435740905</v>
          </cell>
          <cell r="N1871">
            <v>0</v>
          </cell>
          <cell r="O1871">
            <v>0</v>
          </cell>
          <cell r="P1871">
            <v>1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 t="str">
            <v>186M</v>
          </cell>
          <cell r="AE1871" t="str">
            <v>CAEE</v>
          </cell>
          <cell r="AF1871" t="str">
            <v>186M.CAEE</v>
          </cell>
        </row>
        <row r="1872">
          <cell r="A1872">
            <v>1872</v>
          </cell>
          <cell r="D1872" t="str">
            <v>SG</v>
          </cell>
          <cell r="E1872" t="str">
            <v>P</v>
          </cell>
          <cell r="F1872">
            <v>-2.6775524020195007E-9</v>
          </cell>
          <cell r="G1872">
            <v>-2.6775524020195007E-9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M1872">
            <v>0.59419421435740905</v>
          </cell>
          <cell r="N1872">
            <v>-1.5909861459187708E-9</v>
          </cell>
          <cell r="O1872">
            <v>-1.0865662561007299E-9</v>
          </cell>
          <cell r="P1872">
            <v>1</v>
          </cell>
          <cell r="Q1872">
            <v>0</v>
          </cell>
          <cell r="R1872">
            <v>0</v>
          </cell>
          <cell r="S1872" t="str">
            <v>PLNT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 t="str">
            <v>186M</v>
          </cell>
          <cell r="AE1872" t="str">
            <v>SG</v>
          </cell>
          <cell r="AF1872" t="str">
            <v>186M.SG</v>
          </cell>
        </row>
        <row r="1873">
          <cell r="A1873">
            <v>1873</v>
          </cell>
          <cell r="D1873" t="str">
            <v>SO</v>
          </cell>
          <cell r="E1873" t="str">
            <v>LABOR</v>
          </cell>
          <cell r="F1873">
            <v>4.7293724492192268E-11</v>
          </cell>
          <cell r="G1873">
            <v>1.9094400489231035E-11</v>
          </cell>
          <cell r="H1873">
            <v>3.5950919159082132E-12</v>
          </cell>
          <cell r="I1873">
            <v>1.2618426312413666E-11</v>
          </cell>
          <cell r="J1873">
            <v>6.0776381809443462E-12</v>
          </cell>
          <cell r="K1873">
            <v>5.9081675936950105E-12</v>
          </cell>
          <cell r="M1873">
            <v>0.59419421435740905</v>
          </cell>
          <cell r="N1873">
            <v>1.1345782297324361E-11</v>
          </cell>
          <cell r="O1873">
            <v>7.7486181919066738E-12</v>
          </cell>
          <cell r="P1873">
            <v>1</v>
          </cell>
          <cell r="Q1873">
            <v>3.5950919159082132E-12</v>
          </cell>
          <cell r="R1873">
            <v>0</v>
          </cell>
          <cell r="S1873" t="str">
            <v>PLNT</v>
          </cell>
          <cell r="T1873">
            <v>1.8854233937328594E-12</v>
          </cell>
          <cell r="U1873">
            <v>5.9101864533050032E-12</v>
          </cell>
          <cell r="V1873">
            <v>2.8448166899043161E-12</v>
          </cell>
          <cell r="W1873">
            <v>3.3333770646320152E-13</v>
          </cell>
          <cell r="X1873">
            <v>1.6446620690082853E-12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D1873" t="str">
            <v>186M</v>
          </cell>
          <cell r="AE1873" t="str">
            <v>SO</v>
          </cell>
          <cell r="AF1873" t="str">
            <v>186M.SO</v>
          </cell>
        </row>
        <row r="1874">
          <cell r="A1874">
            <v>1874</v>
          </cell>
          <cell r="D1874" t="str">
            <v>SE</v>
          </cell>
          <cell r="E1874" t="str">
            <v>P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M1874">
            <v>0.59419421435740905</v>
          </cell>
          <cell r="N1874">
            <v>0</v>
          </cell>
          <cell r="O1874">
            <v>0</v>
          </cell>
          <cell r="P1874">
            <v>1</v>
          </cell>
          <cell r="Q1874">
            <v>0</v>
          </cell>
          <cell r="R1874">
            <v>0</v>
          </cell>
          <cell r="S1874" t="str">
            <v>PLNT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D1874" t="str">
            <v>186M</v>
          </cell>
          <cell r="AE1874" t="str">
            <v>SE</v>
          </cell>
          <cell r="AF1874" t="str">
            <v>186M.SE</v>
          </cell>
        </row>
        <row r="1875">
          <cell r="A1875">
            <v>1875</v>
          </cell>
          <cell r="D1875" t="str">
            <v>JBE</v>
          </cell>
          <cell r="E1875" t="str">
            <v>P</v>
          </cell>
          <cell r="F1875">
            <v>430387.13048055297</v>
          </cell>
          <cell r="G1875">
            <v>430387.13048055297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0.59419421435740905</v>
          </cell>
          <cell r="N1875">
            <v>255733.54286543187</v>
          </cell>
          <cell r="O1875">
            <v>174653.5876151211</v>
          </cell>
          <cell r="P1875">
            <v>1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 t="str">
            <v>186M</v>
          </cell>
          <cell r="AE1875" t="str">
            <v>JBE</v>
          </cell>
          <cell r="AF1875" t="str">
            <v>186M.JBE</v>
          </cell>
        </row>
        <row r="1876">
          <cell r="A1876">
            <v>1876</v>
          </cell>
          <cell r="D1876" t="str">
            <v>EXCTAX</v>
          </cell>
          <cell r="E1876" t="str">
            <v>GP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M1876">
            <v>0.59419421435740905</v>
          </cell>
          <cell r="N1876">
            <v>0</v>
          </cell>
          <cell r="O1876">
            <v>0</v>
          </cell>
          <cell r="P1876">
            <v>1</v>
          </cell>
          <cell r="Q1876">
            <v>0</v>
          </cell>
          <cell r="R1876">
            <v>0</v>
          </cell>
          <cell r="S1876" t="str">
            <v>PLNT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D1876" t="str">
            <v>186M</v>
          </cell>
          <cell r="AE1876" t="str">
            <v>EXCTAX</v>
          </cell>
          <cell r="AF1876" t="str">
            <v>186M.EXCTAX</v>
          </cell>
        </row>
        <row r="1877">
          <cell r="A1877">
            <v>1877</v>
          </cell>
          <cell r="F1877">
            <v>430387.13048055035</v>
          </cell>
          <cell r="G1877">
            <v>430387.13048055029</v>
          </cell>
          <cell r="H1877">
            <v>3.5950919159082132E-12</v>
          </cell>
          <cell r="I1877">
            <v>1.2618426312413666E-11</v>
          </cell>
          <cell r="J1877">
            <v>6.0776381809443462E-12</v>
          </cell>
          <cell r="K1877">
            <v>5.9081675936950105E-12</v>
          </cell>
          <cell r="N1877">
            <v>255733.5428654303</v>
          </cell>
          <cell r="O1877">
            <v>174653.58761512002</v>
          </cell>
          <cell r="Q1877">
            <v>3.5950919159082132E-12</v>
          </cell>
          <cell r="R1877">
            <v>0</v>
          </cell>
          <cell r="T1877">
            <v>1.8854233937328594E-12</v>
          </cell>
          <cell r="U1877">
            <v>5.9101864533050032E-12</v>
          </cell>
          <cell r="V1877">
            <v>2.8448166899043161E-12</v>
          </cell>
          <cell r="W1877">
            <v>3.3333770646320152E-13</v>
          </cell>
          <cell r="X1877">
            <v>1.6446620690082853E-12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 t="str">
            <v>186M</v>
          </cell>
          <cell r="AE1877" t="str">
            <v>NA</v>
          </cell>
          <cell r="AF1877" t="str">
            <v>186M.NA1</v>
          </cell>
        </row>
        <row r="1878">
          <cell r="A1878">
            <v>1878</v>
          </cell>
          <cell r="AD1878" t="str">
            <v>186M</v>
          </cell>
          <cell r="AE1878" t="str">
            <v>NA</v>
          </cell>
          <cell r="AF1878" t="str">
            <v>186M.NA2</v>
          </cell>
        </row>
        <row r="1879">
          <cell r="A1879">
            <v>1879</v>
          </cell>
          <cell r="B1879" t="str">
            <v>Working Capital</v>
          </cell>
          <cell r="AD1879" t="str">
            <v>Working Capital</v>
          </cell>
          <cell r="AE1879" t="str">
            <v>NA</v>
          </cell>
          <cell r="AF1879" t="str">
            <v>Working Capital.NA</v>
          </cell>
        </row>
        <row r="1880">
          <cell r="A1880">
            <v>1880</v>
          </cell>
          <cell r="B1880" t="str">
            <v>CWC</v>
          </cell>
          <cell r="C1880" t="str">
            <v>Cash Working Capital</v>
          </cell>
          <cell r="AD1880" t="str">
            <v>CWC</v>
          </cell>
          <cell r="AE1880" t="str">
            <v>NA</v>
          </cell>
          <cell r="AF1880" t="str">
            <v>CWC.NA</v>
          </cell>
        </row>
        <row r="1881">
          <cell r="A1881">
            <v>1881</v>
          </cell>
          <cell r="D1881" t="str">
            <v>S</v>
          </cell>
          <cell r="E1881" t="str">
            <v>COMMON</v>
          </cell>
          <cell r="F1881">
            <v>23459504.952025533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23459504.952025533</v>
          </cell>
          <cell r="M1881">
            <v>0.59419421435740905</v>
          </cell>
          <cell r="N1881">
            <v>0</v>
          </cell>
          <cell r="O1881">
            <v>0</v>
          </cell>
          <cell r="P1881">
            <v>1</v>
          </cell>
          <cell r="Q1881">
            <v>0</v>
          </cell>
          <cell r="R1881">
            <v>0</v>
          </cell>
          <cell r="S1881" t="str">
            <v>PLNT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D1881" t="str">
            <v>CWC</v>
          </cell>
          <cell r="AE1881" t="str">
            <v>S</v>
          </cell>
          <cell r="AF1881" t="str">
            <v>CWC.S</v>
          </cell>
        </row>
        <row r="1882">
          <cell r="A1882">
            <v>1882</v>
          </cell>
          <cell r="D1882" t="str">
            <v>SO</v>
          </cell>
          <cell r="E1882" t="str">
            <v>COMMON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M1882">
            <v>0.59419421435740905</v>
          </cell>
          <cell r="N1882">
            <v>0</v>
          </cell>
          <cell r="O1882">
            <v>0</v>
          </cell>
          <cell r="P1882">
            <v>1</v>
          </cell>
          <cell r="Q1882">
            <v>0</v>
          </cell>
          <cell r="R1882">
            <v>0</v>
          </cell>
          <cell r="S1882" t="str">
            <v>PLNT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CWC</v>
          </cell>
          <cell r="AE1882" t="str">
            <v>SO</v>
          </cell>
          <cell r="AF1882" t="str">
            <v>CWC.SO</v>
          </cell>
        </row>
        <row r="1883">
          <cell r="A1883">
            <v>1883</v>
          </cell>
          <cell r="D1883" t="str">
            <v>SE</v>
          </cell>
          <cell r="E1883" t="str">
            <v>COMMON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M1883">
            <v>0.59419421435740905</v>
          </cell>
          <cell r="N1883">
            <v>0</v>
          </cell>
          <cell r="O1883">
            <v>0</v>
          </cell>
          <cell r="P1883">
            <v>1</v>
          </cell>
          <cell r="Q1883">
            <v>0</v>
          </cell>
          <cell r="R1883">
            <v>0</v>
          </cell>
          <cell r="S1883" t="str">
            <v>PLNT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D1883" t="str">
            <v>CWC</v>
          </cell>
          <cell r="AE1883" t="str">
            <v>SE</v>
          </cell>
          <cell r="AF1883" t="str">
            <v>CWC.SE</v>
          </cell>
        </row>
        <row r="1884">
          <cell r="A1884">
            <v>1884</v>
          </cell>
          <cell r="F1884">
            <v>23459504.952025533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23459504.952025533</v>
          </cell>
          <cell r="N1884">
            <v>0</v>
          </cell>
          <cell r="O1884">
            <v>0</v>
          </cell>
          <cell r="Q1884">
            <v>0</v>
          </cell>
          <cell r="R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D1884" t="str">
            <v>CWC</v>
          </cell>
          <cell r="AE1884" t="str">
            <v>NA</v>
          </cell>
          <cell r="AF1884" t="str">
            <v>CWC.NA1</v>
          </cell>
        </row>
        <row r="1885">
          <cell r="A1885">
            <v>1885</v>
          </cell>
          <cell r="AD1885" t="str">
            <v>CWC</v>
          </cell>
          <cell r="AE1885" t="str">
            <v>NA</v>
          </cell>
          <cell r="AF1885" t="str">
            <v>CWC.NA2</v>
          </cell>
        </row>
        <row r="1886">
          <cell r="A1886">
            <v>1886</v>
          </cell>
          <cell r="B1886" t="str">
            <v>OWC</v>
          </cell>
          <cell r="C1886" t="str">
            <v>Other Working Capital</v>
          </cell>
          <cell r="AD1886" t="str">
            <v>OWC</v>
          </cell>
          <cell r="AE1886" t="str">
            <v>NA</v>
          </cell>
          <cell r="AF1886" t="str">
            <v>OWC.NA</v>
          </cell>
        </row>
        <row r="1887">
          <cell r="A1887">
            <v>1887</v>
          </cell>
          <cell r="B1887">
            <v>131</v>
          </cell>
          <cell r="D1887" t="str">
            <v>SNP</v>
          </cell>
          <cell r="E1887" t="str">
            <v>COMMON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M1887">
            <v>0.59419421435740905</v>
          </cell>
          <cell r="N1887">
            <v>0</v>
          </cell>
          <cell r="O1887">
            <v>0</v>
          </cell>
          <cell r="P1887">
            <v>1</v>
          </cell>
          <cell r="Q1887">
            <v>0</v>
          </cell>
          <cell r="R1887">
            <v>0</v>
          </cell>
          <cell r="S1887" t="str">
            <v>PLNT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D1887">
            <v>131</v>
          </cell>
          <cell r="AE1887" t="str">
            <v>SNP</v>
          </cell>
          <cell r="AF1887" t="str">
            <v>131.SNP</v>
          </cell>
        </row>
        <row r="1888">
          <cell r="A1888">
            <v>1888</v>
          </cell>
          <cell r="B1888">
            <v>135</v>
          </cell>
          <cell r="D1888" t="str">
            <v>SG</v>
          </cell>
          <cell r="E1888" t="str">
            <v>COMMON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M1888">
            <v>0.59419421435740905</v>
          </cell>
          <cell r="N1888">
            <v>0</v>
          </cell>
          <cell r="O1888">
            <v>0</v>
          </cell>
          <cell r="P1888">
            <v>1</v>
          </cell>
          <cell r="Q1888">
            <v>0</v>
          </cell>
          <cell r="R1888">
            <v>0</v>
          </cell>
          <cell r="S1888" t="str">
            <v>PLNT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D1888">
            <v>135</v>
          </cell>
          <cell r="AE1888" t="str">
            <v>SG</v>
          </cell>
          <cell r="AF1888" t="str">
            <v>135.SG</v>
          </cell>
        </row>
        <row r="1889">
          <cell r="A1889">
            <v>1889</v>
          </cell>
          <cell r="B1889">
            <v>143</v>
          </cell>
          <cell r="D1889" t="str">
            <v>SO</v>
          </cell>
          <cell r="E1889" t="str">
            <v>COMMON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0.59419421435740905</v>
          </cell>
          <cell r="N1889">
            <v>0</v>
          </cell>
          <cell r="O1889">
            <v>0</v>
          </cell>
          <cell r="P1889">
            <v>1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143</v>
          </cell>
          <cell r="AE1889" t="str">
            <v>SO</v>
          </cell>
          <cell r="AF1889" t="str">
            <v>143.SO</v>
          </cell>
        </row>
        <row r="1890">
          <cell r="A1890">
            <v>1890</v>
          </cell>
          <cell r="B1890">
            <v>232</v>
          </cell>
          <cell r="D1890" t="str">
            <v>S</v>
          </cell>
          <cell r="E1890" t="str">
            <v>COMMON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M1890">
            <v>0.59419421435740905</v>
          </cell>
          <cell r="N1890">
            <v>0</v>
          </cell>
          <cell r="O1890">
            <v>0</v>
          </cell>
          <cell r="P1890">
            <v>1</v>
          </cell>
          <cell r="Q1890">
            <v>0</v>
          </cell>
          <cell r="R1890">
            <v>0</v>
          </cell>
          <cell r="S1890" t="str">
            <v>PLNT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232</v>
          </cell>
          <cell r="AE1890" t="str">
            <v>S</v>
          </cell>
          <cell r="AF1890" t="str">
            <v>232.S</v>
          </cell>
        </row>
        <row r="1891">
          <cell r="A1891">
            <v>1891</v>
          </cell>
          <cell r="B1891">
            <v>232</v>
          </cell>
          <cell r="D1891" t="str">
            <v>SO</v>
          </cell>
          <cell r="E1891" t="str">
            <v>COMMON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M1891">
            <v>0.59419421435740905</v>
          </cell>
          <cell r="N1891">
            <v>0</v>
          </cell>
          <cell r="O1891">
            <v>0</v>
          </cell>
          <cell r="P1891">
            <v>1</v>
          </cell>
          <cell r="Q1891">
            <v>0</v>
          </cell>
          <cell r="R1891">
            <v>0</v>
          </cell>
          <cell r="S1891" t="str">
            <v>PLNT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D1891">
            <v>232</v>
          </cell>
          <cell r="AE1891" t="str">
            <v>SO</v>
          </cell>
          <cell r="AF1891" t="str">
            <v>232.SO</v>
          </cell>
        </row>
        <row r="1892">
          <cell r="A1892">
            <v>1892</v>
          </cell>
          <cell r="B1892">
            <v>232</v>
          </cell>
          <cell r="D1892" t="str">
            <v>P</v>
          </cell>
          <cell r="E1892" t="str">
            <v>COMMON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M1892">
            <v>0.59419421435740905</v>
          </cell>
          <cell r="N1892">
            <v>0</v>
          </cell>
          <cell r="O1892">
            <v>0</v>
          </cell>
          <cell r="P1892">
            <v>1</v>
          </cell>
          <cell r="Q1892">
            <v>0</v>
          </cell>
          <cell r="R1892">
            <v>0</v>
          </cell>
          <cell r="S1892" t="str">
            <v>PLNT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D1892">
            <v>232</v>
          </cell>
          <cell r="AE1892" t="str">
            <v>P</v>
          </cell>
          <cell r="AF1892" t="str">
            <v>232.P</v>
          </cell>
        </row>
        <row r="1893">
          <cell r="A1893">
            <v>1893</v>
          </cell>
          <cell r="B1893">
            <v>2533</v>
          </cell>
          <cell r="D1893" t="str">
            <v>SE/CAEE/CAEW</v>
          </cell>
          <cell r="E1893" t="str">
            <v>COMMON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M1893">
            <v>0.59419421435740905</v>
          </cell>
          <cell r="N1893">
            <v>0</v>
          </cell>
          <cell r="O1893">
            <v>0</v>
          </cell>
          <cell r="P1893">
            <v>1</v>
          </cell>
          <cell r="Q1893">
            <v>0</v>
          </cell>
          <cell r="R1893">
            <v>0</v>
          </cell>
          <cell r="S1893" t="str">
            <v>PLNT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2533</v>
          </cell>
          <cell r="AE1893" t="str">
            <v>SE/CAEE/CAEW</v>
          </cell>
          <cell r="AF1893" t="str">
            <v>2533.SE/CAEE/CAEW</v>
          </cell>
        </row>
        <row r="1894">
          <cell r="A1894">
            <v>1894</v>
          </cell>
          <cell r="B1894">
            <v>2533</v>
          </cell>
          <cell r="D1894" t="str">
            <v>S</v>
          </cell>
          <cell r="E1894" t="str">
            <v>COMMON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M1894">
            <v>0.59419421435740905</v>
          </cell>
          <cell r="N1894">
            <v>0</v>
          </cell>
          <cell r="O1894">
            <v>0</v>
          </cell>
          <cell r="P1894">
            <v>1</v>
          </cell>
          <cell r="Q1894">
            <v>0</v>
          </cell>
          <cell r="R1894">
            <v>0</v>
          </cell>
          <cell r="S1894" t="str">
            <v>PLNT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2533</v>
          </cell>
          <cell r="AE1894" t="str">
            <v>S</v>
          </cell>
          <cell r="AF1894" t="str">
            <v>2533.S</v>
          </cell>
        </row>
        <row r="1895">
          <cell r="A1895">
            <v>1895</v>
          </cell>
          <cell r="B1895">
            <v>2533</v>
          </cell>
          <cell r="D1895" t="str">
            <v>DEU</v>
          </cell>
          <cell r="E1895" t="str">
            <v>COMMON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M1895">
            <v>0.59419421435740905</v>
          </cell>
          <cell r="N1895">
            <v>0</v>
          </cell>
          <cell r="O1895">
            <v>0</v>
          </cell>
          <cell r="P1895">
            <v>1</v>
          </cell>
          <cell r="Q1895">
            <v>0</v>
          </cell>
          <cell r="R1895">
            <v>0</v>
          </cell>
          <cell r="S1895" t="str">
            <v>PLNT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D1895">
            <v>2533</v>
          </cell>
          <cell r="AE1895" t="str">
            <v>DEU</v>
          </cell>
          <cell r="AF1895" t="str">
            <v>2533.DEU</v>
          </cell>
        </row>
        <row r="1896">
          <cell r="A1896">
            <v>1896</v>
          </cell>
          <cell r="B1896">
            <v>2533</v>
          </cell>
          <cell r="D1896" t="str">
            <v>CAEE</v>
          </cell>
          <cell r="E1896" t="str">
            <v>COMMON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M1896">
            <v>0.59419421435740905</v>
          </cell>
          <cell r="N1896">
            <v>0</v>
          </cell>
          <cell r="O1896">
            <v>0</v>
          </cell>
          <cell r="P1896">
            <v>1</v>
          </cell>
          <cell r="Q1896">
            <v>0</v>
          </cell>
          <cell r="R1896">
            <v>0</v>
          </cell>
          <cell r="S1896" t="str">
            <v>PLNT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D1896">
            <v>2533</v>
          </cell>
          <cell r="AE1896" t="str">
            <v>CAEE</v>
          </cell>
          <cell r="AF1896" t="str">
            <v>2533.CAEE</v>
          </cell>
        </row>
        <row r="1897">
          <cell r="A1897">
            <v>1897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N1897">
            <v>0</v>
          </cell>
          <cell r="O1897">
            <v>0</v>
          </cell>
          <cell r="Q1897">
            <v>0</v>
          </cell>
          <cell r="R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2533</v>
          </cell>
          <cell r="AE1897" t="str">
            <v>NA</v>
          </cell>
          <cell r="AF1897" t="str">
            <v>2533.NA</v>
          </cell>
        </row>
        <row r="1898">
          <cell r="A1898">
            <v>1898</v>
          </cell>
          <cell r="AD1898">
            <v>2533</v>
          </cell>
          <cell r="AE1898" t="str">
            <v>NA</v>
          </cell>
          <cell r="AF1898" t="str">
            <v>2533.NA1</v>
          </cell>
        </row>
        <row r="1899">
          <cell r="A1899">
            <v>1899</v>
          </cell>
          <cell r="B1899" t="str">
            <v>Total Working Capital</v>
          </cell>
          <cell r="F1899">
            <v>23459504.952025533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23459504.952025533</v>
          </cell>
          <cell r="N1899">
            <v>0</v>
          </cell>
          <cell r="O1899">
            <v>0</v>
          </cell>
          <cell r="Q1899">
            <v>0</v>
          </cell>
          <cell r="R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 t="str">
            <v>Total Working Capital</v>
          </cell>
          <cell r="AE1899" t="str">
            <v>NA</v>
          </cell>
          <cell r="AF1899" t="str">
            <v>Total Working Capital.NA</v>
          </cell>
        </row>
        <row r="1900">
          <cell r="A1900">
            <v>1900</v>
          </cell>
          <cell r="AD1900" t="str">
            <v>Total Working Capital</v>
          </cell>
          <cell r="AE1900" t="str">
            <v>NA</v>
          </cell>
          <cell r="AF1900" t="str">
            <v>Total Working Capital.NA1</v>
          </cell>
        </row>
        <row r="1901">
          <cell r="A1901">
            <v>1901</v>
          </cell>
          <cell r="B1901" t="str">
            <v>Miscellaneous Rate DRB</v>
          </cell>
          <cell r="AD1901" t="str">
            <v>Miscellaneous Rate DRB</v>
          </cell>
          <cell r="AE1901" t="str">
            <v>NA</v>
          </cell>
          <cell r="AF1901" t="str">
            <v>Miscellaneous Rate DRB.NA</v>
          </cell>
        </row>
        <row r="1902">
          <cell r="A1902">
            <v>1902</v>
          </cell>
          <cell r="B1902">
            <v>18221</v>
          </cell>
          <cell r="C1902" t="str">
            <v>Unrec Plant &amp; Reg Study Costs</v>
          </cell>
          <cell r="AD1902">
            <v>18221</v>
          </cell>
          <cell r="AE1902" t="str">
            <v>NA</v>
          </cell>
          <cell r="AF1902" t="str">
            <v>18221.NA</v>
          </cell>
        </row>
        <row r="1903">
          <cell r="A1903">
            <v>1903</v>
          </cell>
          <cell r="D1903" t="str">
            <v>S</v>
          </cell>
          <cell r="E1903" t="str">
            <v>P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0.59419421435740905</v>
          </cell>
          <cell r="N1903">
            <v>0</v>
          </cell>
          <cell r="O1903">
            <v>0</v>
          </cell>
          <cell r="P1903">
            <v>1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18221</v>
          </cell>
          <cell r="AE1903" t="str">
            <v>S</v>
          </cell>
          <cell r="AF1903" t="str">
            <v>18221.S</v>
          </cell>
        </row>
        <row r="1904">
          <cell r="A1904">
            <v>1904</v>
          </cell>
          <cell r="AD1904">
            <v>18221</v>
          </cell>
          <cell r="AE1904" t="str">
            <v>NA</v>
          </cell>
          <cell r="AF1904" t="str">
            <v>18221.NA1</v>
          </cell>
        </row>
        <row r="1905">
          <cell r="A1905">
            <v>1905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N1905">
            <v>0</v>
          </cell>
          <cell r="O1905">
            <v>0</v>
          </cell>
          <cell r="Q1905">
            <v>0</v>
          </cell>
          <cell r="R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D1905">
            <v>18221</v>
          </cell>
          <cell r="AE1905" t="str">
            <v>NA</v>
          </cell>
          <cell r="AF1905" t="str">
            <v>18221.NA2</v>
          </cell>
        </row>
        <row r="1906">
          <cell r="A1906">
            <v>1906</v>
          </cell>
          <cell r="AD1906">
            <v>18221</v>
          </cell>
          <cell r="AE1906" t="str">
            <v>NA</v>
          </cell>
          <cell r="AF1906" t="str">
            <v>18221.NA3</v>
          </cell>
        </row>
        <row r="1907">
          <cell r="A1907">
            <v>1907</v>
          </cell>
          <cell r="B1907">
            <v>18222</v>
          </cell>
          <cell r="C1907" t="str">
            <v>Nuclear Plant - Trojan</v>
          </cell>
          <cell r="AD1907">
            <v>18222</v>
          </cell>
          <cell r="AE1907" t="str">
            <v>NA</v>
          </cell>
          <cell r="AF1907" t="str">
            <v>18222.NA</v>
          </cell>
        </row>
        <row r="1908">
          <cell r="A1908">
            <v>1908</v>
          </cell>
          <cell r="D1908" t="str">
            <v>TROJP</v>
          </cell>
          <cell r="E1908" t="str">
            <v>P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M1908">
            <v>0.59419421435740905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0</v>
          </cell>
          <cell r="S1908" t="str">
            <v>PLNT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18222</v>
          </cell>
          <cell r="AE1908" t="str">
            <v>TROJP</v>
          </cell>
          <cell r="AF1908" t="str">
            <v>18222.TROJP</v>
          </cell>
        </row>
        <row r="1909">
          <cell r="A1909">
            <v>1909</v>
          </cell>
          <cell r="D1909" t="str">
            <v>TROJD</v>
          </cell>
          <cell r="E1909" t="str">
            <v>P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M1909">
            <v>0.59419421435740905</v>
          </cell>
          <cell r="N1909">
            <v>0</v>
          </cell>
          <cell r="O1909">
            <v>0</v>
          </cell>
          <cell r="P1909">
            <v>1</v>
          </cell>
          <cell r="Q1909">
            <v>0</v>
          </cell>
          <cell r="R1909">
            <v>0</v>
          </cell>
          <cell r="S1909" t="str">
            <v>PLNT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D1909">
            <v>18222</v>
          </cell>
          <cell r="AE1909" t="str">
            <v>TROJD</v>
          </cell>
          <cell r="AF1909" t="str">
            <v>18222.TROJD</v>
          </cell>
        </row>
        <row r="1910">
          <cell r="A1910">
            <v>1910</v>
          </cell>
          <cell r="D1910" t="str">
            <v>SE</v>
          </cell>
          <cell r="E1910" t="str">
            <v>P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M1910">
            <v>0.59419421435740905</v>
          </cell>
          <cell r="N1910">
            <v>0</v>
          </cell>
          <cell r="O1910">
            <v>0</v>
          </cell>
          <cell r="P1910">
            <v>1</v>
          </cell>
          <cell r="Q1910">
            <v>0</v>
          </cell>
          <cell r="R1910">
            <v>0</v>
          </cell>
          <cell r="S1910" t="str">
            <v>PLNT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D1910">
            <v>18222</v>
          </cell>
          <cell r="AE1910" t="str">
            <v>SE</v>
          </cell>
          <cell r="AF1910" t="str">
            <v>18222.SE</v>
          </cell>
        </row>
        <row r="1911">
          <cell r="A1911">
            <v>1911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N1911">
            <v>0</v>
          </cell>
          <cell r="O1911">
            <v>0</v>
          </cell>
          <cell r="Q1911">
            <v>0</v>
          </cell>
          <cell r="R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18222</v>
          </cell>
          <cell r="AE1911" t="str">
            <v>NA</v>
          </cell>
          <cell r="AF1911" t="str">
            <v>18222.NA1</v>
          </cell>
        </row>
        <row r="1912">
          <cell r="A1912">
            <v>1912</v>
          </cell>
          <cell r="AD1912">
            <v>18222</v>
          </cell>
          <cell r="AE1912" t="str">
            <v>NA</v>
          </cell>
          <cell r="AF1912" t="str">
            <v>18222.NA2</v>
          </cell>
        </row>
        <row r="1913">
          <cell r="A1913">
            <v>1913</v>
          </cell>
          <cell r="B1913">
            <v>1869</v>
          </cell>
          <cell r="C1913" t="str">
            <v>Misc Deferred Debits-Trojan</v>
          </cell>
          <cell r="AD1913">
            <v>1869</v>
          </cell>
          <cell r="AE1913" t="str">
            <v>NA</v>
          </cell>
          <cell r="AF1913" t="str">
            <v>1869.NA</v>
          </cell>
        </row>
        <row r="1914">
          <cell r="A1914">
            <v>1914</v>
          </cell>
          <cell r="D1914" t="str">
            <v>S</v>
          </cell>
          <cell r="E1914" t="str">
            <v>P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M1914">
            <v>0.59419421435740905</v>
          </cell>
          <cell r="N1914">
            <v>0</v>
          </cell>
          <cell r="O1914">
            <v>0</v>
          </cell>
          <cell r="P1914">
            <v>1</v>
          </cell>
          <cell r="Q1914">
            <v>0</v>
          </cell>
          <cell r="R1914">
            <v>0</v>
          </cell>
          <cell r="S1914" t="str">
            <v>PLNT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D1914">
            <v>1869</v>
          </cell>
          <cell r="AE1914" t="str">
            <v>S</v>
          </cell>
          <cell r="AF1914" t="str">
            <v>1869.S</v>
          </cell>
        </row>
        <row r="1915">
          <cell r="A1915">
            <v>1915</v>
          </cell>
          <cell r="D1915" t="str">
            <v>SNPPN</v>
          </cell>
          <cell r="E1915" t="str">
            <v>P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0.59419421435740905</v>
          </cell>
          <cell r="N1915">
            <v>0</v>
          </cell>
          <cell r="O1915">
            <v>0</v>
          </cell>
          <cell r="P1915">
            <v>1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1869</v>
          </cell>
          <cell r="AE1915" t="str">
            <v>SNPPN</v>
          </cell>
          <cell r="AF1915" t="str">
            <v>1869.SNPPN</v>
          </cell>
        </row>
        <row r="1916">
          <cell r="A1916">
            <v>1916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N1916">
            <v>0</v>
          </cell>
          <cell r="O1916">
            <v>0</v>
          </cell>
          <cell r="Q1916">
            <v>0</v>
          </cell>
          <cell r="R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1869</v>
          </cell>
          <cell r="AE1916" t="str">
            <v>NA</v>
          </cell>
          <cell r="AF1916" t="str">
            <v>1869.NA1</v>
          </cell>
        </row>
        <row r="1917">
          <cell r="A1917">
            <v>1917</v>
          </cell>
          <cell r="AD1917">
            <v>1869</v>
          </cell>
          <cell r="AE1917" t="str">
            <v>NA</v>
          </cell>
          <cell r="AF1917" t="str">
            <v>1869.NA2</v>
          </cell>
        </row>
        <row r="1918">
          <cell r="A1918">
            <v>1918</v>
          </cell>
          <cell r="B1918">
            <v>141</v>
          </cell>
          <cell r="C1918" t="str">
            <v>Impact Housing - Notes Receivable</v>
          </cell>
          <cell r="AD1918">
            <v>141</v>
          </cell>
          <cell r="AE1918" t="str">
            <v>NA</v>
          </cell>
          <cell r="AF1918" t="str">
            <v>141.NA</v>
          </cell>
        </row>
        <row r="1919">
          <cell r="A1919">
            <v>1919</v>
          </cell>
          <cell r="D1919" t="str">
            <v>DGU</v>
          </cell>
          <cell r="E1919" t="str">
            <v>P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M1919">
            <v>0.59419421435740905</v>
          </cell>
          <cell r="N1919">
            <v>0</v>
          </cell>
          <cell r="O1919">
            <v>0</v>
          </cell>
          <cell r="P1919">
            <v>1</v>
          </cell>
          <cell r="Q1919">
            <v>0</v>
          </cell>
          <cell r="R1919">
            <v>0</v>
          </cell>
          <cell r="S1919" t="str">
            <v>PLNT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D1919">
            <v>141</v>
          </cell>
          <cell r="AE1919" t="str">
            <v>DGU</v>
          </cell>
          <cell r="AF1919" t="str">
            <v>141.DGU</v>
          </cell>
        </row>
        <row r="1920">
          <cell r="A1920">
            <v>1920</v>
          </cell>
          <cell r="AD1920">
            <v>141</v>
          </cell>
          <cell r="AE1920" t="str">
            <v>NA</v>
          </cell>
          <cell r="AF1920" t="str">
            <v>141.NA1</v>
          </cell>
        </row>
        <row r="1921">
          <cell r="A1921">
            <v>1921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N1921">
            <v>0</v>
          </cell>
          <cell r="O1921">
            <v>0</v>
          </cell>
          <cell r="Q1921">
            <v>0</v>
          </cell>
          <cell r="R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141</v>
          </cell>
          <cell r="AE1921" t="str">
            <v>NA</v>
          </cell>
          <cell r="AF1921" t="str">
            <v>141.NA2</v>
          </cell>
        </row>
        <row r="1922">
          <cell r="A1922">
            <v>1922</v>
          </cell>
          <cell r="AD1922">
            <v>141</v>
          </cell>
          <cell r="AE1922" t="str">
            <v>NA</v>
          </cell>
          <cell r="AF1922" t="str">
            <v>141.NA3</v>
          </cell>
        </row>
        <row r="1923">
          <cell r="A1923">
            <v>1923</v>
          </cell>
          <cell r="B1923" t="str">
            <v>TOTAL MISCELLANEOUS RATE DRB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0.59419421435740905</v>
          </cell>
          <cell r="N1923">
            <v>0</v>
          </cell>
          <cell r="O1923">
            <v>0</v>
          </cell>
          <cell r="P1923">
            <v>1</v>
          </cell>
          <cell r="Q1923">
            <v>0</v>
          </cell>
          <cell r="R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 t="str">
            <v>TOTAL MISCELLANEOUS RATE DRB</v>
          </cell>
          <cell r="AE1923" t="str">
            <v>NA</v>
          </cell>
          <cell r="AF1923" t="str">
            <v>TOTAL MISCELLANEOUS RATE DRB.NA</v>
          </cell>
        </row>
        <row r="1924">
          <cell r="A1924">
            <v>1924</v>
          </cell>
          <cell r="AD1924" t="str">
            <v>TOTAL MISCELLANEOUS RATE DRB</v>
          </cell>
          <cell r="AE1924" t="str">
            <v>NA</v>
          </cell>
          <cell r="AF1924" t="str">
            <v>TOTAL MISCELLANEOUS RATE DRB.NA1</v>
          </cell>
        </row>
        <row r="1925">
          <cell r="A1925">
            <v>1925</v>
          </cell>
          <cell r="AD1925" t="str">
            <v>TOTAL MISCELLANEOUS RATE DRB</v>
          </cell>
          <cell r="AE1925" t="str">
            <v>NA</v>
          </cell>
          <cell r="AF1925" t="str">
            <v>TOTAL MISCELLANEOUS RATE DRB.NA2</v>
          </cell>
        </row>
        <row r="1926">
          <cell r="A1926">
            <v>1926</v>
          </cell>
          <cell r="B1926" t="str">
            <v>TOTAL RATE DRB ADDITIONS</v>
          </cell>
          <cell r="F1926">
            <v>24180112.615009215</v>
          </cell>
          <cell r="G1926">
            <v>715515.01887854119</v>
          </cell>
          <cell r="H1926">
            <v>-8.6190465825074176E-11</v>
          </cell>
          <cell r="I1926">
            <v>9.8332690574107192E-12</v>
          </cell>
          <cell r="J1926">
            <v>6.0776381809443462E-12</v>
          </cell>
          <cell r="K1926">
            <v>23464597.596130673</v>
          </cell>
          <cell r="M1926">
            <v>0.59419421435740905</v>
          </cell>
          <cell r="N1926">
            <v>425154.88450346148</v>
          </cell>
          <cell r="O1926">
            <v>290360.13437507971</v>
          </cell>
          <cell r="P1926">
            <v>1</v>
          </cell>
          <cell r="Q1926">
            <v>-8.6190465825074176E-11</v>
          </cell>
          <cell r="R1926">
            <v>0</v>
          </cell>
          <cell r="T1926">
            <v>1.4692700229562385E-12</v>
          </cell>
          <cell r="U1926">
            <v>4.6056815751769851E-12</v>
          </cell>
          <cell r="V1926">
            <v>2.2169046470812115E-12</v>
          </cell>
          <cell r="W1926">
            <v>2.5976292712572611E-13</v>
          </cell>
          <cell r="X1926">
            <v>1.2816498850705566E-12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D1926" t="str">
            <v>TOTAL RATE DRB ADDITIONS</v>
          </cell>
          <cell r="AE1926" t="str">
            <v>NA</v>
          </cell>
          <cell r="AF1926" t="str">
            <v>TOTAL RATE DRB ADDITIONS.NA</v>
          </cell>
        </row>
        <row r="1927">
          <cell r="A1927">
            <v>1927</v>
          </cell>
          <cell r="AD1927" t="str">
            <v>TOTAL RATE DRB ADDITIONS</v>
          </cell>
          <cell r="AE1927" t="str">
            <v>NA</v>
          </cell>
          <cell r="AF1927" t="str">
            <v>TOTAL RATE DRB ADDITIONS.NA1</v>
          </cell>
        </row>
        <row r="1928">
          <cell r="A1928">
            <v>1928</v>
          </cell>
          <cell r="B1928">
            <v>235</v>
          </cell>
          <cell r="C1928" t="str">
            <v>Customer Service Deposits</v>
          </cell>
          <cell r="AD1928">
            <v>235</v>
          </cell>
          <cell r="AE1928" t="str">
            <v>NA</v>
          </cell>
          <cell r="AF1928" t="str">
            <v>235.NA</v>
          </cell>
        </row>
        <row r="1929">
          <cell r="A1929">
            <v>1929</v>
          </cell>
          <cell r="D1929" t="str">
            <v>S</v>
          </cell>
          <cell r="E1929" t="str">
            <v>CUST</v>
          </cell>
          <cell r="F1929">
            <v>-2829106.1541666668</v>
          </cell>
          <cell r="G1929">
            <v>0</v>
          </cell>
          <cell r="H1929">
            <v>0</v>
          </cell>
          <cell r="I1929">
            <v>0</v>
          </cell>
          <cell r="J1929">
            <v>-2829106.1541666668</v>
          </cell>
          <cell r="K1929">
            <v>0</v>
          </cell>
          <cell r="M1929">
            <v>0.59419421435740905</v>
          </cell>
          <cell r="N1929">
            <v>0</v>
          </cell>
          <cell r="O1929">
            <v>0</v>
          </cell>
          <cell r="P1929">
            <v>1</v>
          </cell>
          <cell r="Q1929">
            <v>0</v>
          </cell>
          <cell r="R1929">
            <v>0</v>
          </cell>
          <cell r="S1929" t="str">
            <v>CUST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D1929">
            <v>235</v>
          </cell>
          <cell r="AE1929" t="str">
            <v>S</v>
          </cell>
          <cell r="AF1929" t="str">
            <v>235.S</v>
          </cell>
        </row>
        <row r="1930">
          <cell r="A1930">
            <v>1930</v>
          </cell>
          <cell r="D1930" t="str">
            <v>CN</v>
          </cell>
          <cell r="E1930" t="str">
            <v>CUST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M1930">
            <v>0.59419421435740905</v>
          </cell>
          <cell r="N1930">
            <v>0</v>
          </cell>
          <cell r="O1930">
            <v>0</v>
          </cell>
          <cell r="P1930">
            <v>1</v>
          </cell>
          <cell r="Q1930">
            <v>0</v>
          </cell>
          <cell r="R1930">
            <v>0</v>
          </cell>
          <cell r="S1930" t="str">
            <v>CUST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D1930">
            <v>235</v>
          </cell>
          <cell r="AE1930" t="str">
            <v>CN</v>
          </cell>
          <cell r="AF1930" t="str">
            <v>235.CN</v>
          </cell>
        </row>
        <row r="1931">
          <cell r="A1931">
            <v>1931</v>
          </cell>
          <cell r="F1931">
            <v>-2829106.1541666668</v>
          </cell>
          <cell r="G1931">
            <v>0</v>
          </cell>
          <cell r="H1931">
            <v>0</v>
          </cell>
          <cell r="I1931">
            <v>0</v>
          </cell>
          <cell r="J1931">
            <v>-2829106.1541666668</v>
          </cell>
          <cell r="K1931">
            <v>0</v>
          </cell>
          <cell r="N1931">
            <v>0</v>
          </cell>
          <cell r="O1931">
            <v>0</v>
          </cell>
          <cell r="Q1931">
            <v>0</v>
          </cell>
          <cell r="R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D1931">
            <v>235</v>
          </cell>
          <cell r="AE1931" t="str">
            <v>NA</v>
          </cell>
          <cell r="AF1931" t="str">
            <v>235.NA1</v>
          </cell>
        </row>
        <row r="1932">
          <cell r="A1932">
            <v>1932</v>
          </cell>
          <cell r="AD1932">
            <v>235</v>
          </cell>
          <cell r="AE1932" t="str">
            <v>NA</v>
          </cell>
          <cell r="AF1932" t="str">
            <v>235.NA2</v>
          </cell>
        </row>
        <row r="1933">
          <cell r="A1933">
            <v>1933</v>
          </cell>
          <cell r="B1933">
            <v>2281</v>
          </cell>
          <cell r="C1933" t="str">
            <v>Accum Prov for Property Insurance</v>
          </cell>
          <cell r="AD1933">
            <v>2281</v>
          </cell>
          <cell r="AE1933" t="str">
            <v>NA</v>
          </cell>
          <cell r="AF1933" t="str">
            <v>2281.NA</v>
          </cell>
        </row>
        <row r="1934">
          <cell r="A1934">
            <v>1934</v>
          </cell>
          <cell r="D1934" t="str">
            <v>SO</v>
          </cell>
          <cell r="E1934" t="str">
            <v>PTD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0.59419421435740905</v>
          </cell>
          <cell r="N1934">
            <v>0</v>
          </cell>
          <cell r="O1934">
            <v>0</v>
          </cell>
          <cell r="P1934">
            <v>1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2281</v>
          </cell>
          <cell r="AE1934" t="str">
            <v>SO</v>
          </cell>
          <cell r="AF1934" t="str">
            <v>2281.SO</v>
          </cell>
        </row>
        <row r="1935">
          <cell r="A1935">
            <v>1935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N1935">
            <v>0</v>
          </cell>
          <cell r="O1935">
            <v>0</v>
          </cell>
          <cell r="Q1935">
            <v>0</v>
          </cell>
          <cell r="R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2281</v>
          </cell>
          <cell r="AE1935" t="str">
            <v>NA</v>
          </cell>
          <cell r="AF1935" t="str">
            <v>2281.NA1</v>
          </cell>
        </row>
        <row r="1936">
          <cell r="A1936">
            <v>1936</v>
          </cell>
          <cell r="AD1936">
            <v>2281</v>
          </cell>
          <cell r="AE1936" t="str">
            <v>NA</v>
          </cell>
          <cell r="AF1936" t="str">
            <v>2281.NA2</v>
          </cell>
        </row>
        <row r="1937">
          <cell r="A1937">
            <v>1937</v>
          </cell>
          <cell r="B1937">
            <v>2282</v>
          </cell>
          <cell r="C1937" t="str">
            <v>Accum Prov for Injuries &amp; Damages</v>
          </cell>
          <cell r="AD1937">
            <v>2282</v>
          </cell>
          <cell r="AE1937" t="str">
            <v>NA</v>
          </cell>
          <cell r="AF1937" t="str">
            <v>2282.NA</v>
          </cell>
        </row>
        <row r="1938">
          <cell r="A1938">
            <v>1938</v>
          </cell>
          <cell r="D1938" t="str">
            <v>SO</v>
          </cell>
          <cell r="E1938" t="str">
            <v>PTD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M1938">
            <v>0.59419421435740905</v>
          </cell>
          <cell r="N1938">
            <v>0</v>
          </cell>
          <cell r="O1938">
            <v>0</v>
          </cell>
          <cell r="P1938">
            <v>1</v>
          </cell>
          <cell r="Q1938">
            <v>0</v>
          </cell>
          <cell r="R1938">
            <v>0</v>
          </cell>
          <cell r="S1938" t="str">
            <v>PLNT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D1938">
            <v>2282</v>
          </cell>
          <cell r="AE1938" t="str">
            <v>SO</v>
          </cell>
          <cell r="AF1938" t="str">
            <v>2282.SO</v>
          </cell>
        </row>
        <row r="1939">
          <cell r="A1939">
            <v>1939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N1939">
            <v>0</v>
          </cell>
          <cell r="O1939">
            <v>0</v>
          </cell>
          <cell r="Q1939">
            <v>0</v>
          </cell>
          <cell r="R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2282</v>
          </cell>
          <cell r="AE1939" t="str">
            <v>NA</v>
          </cell>
          <cell r="AF1939" t="str">
            <v>2282.NA1</v>
          </cell>
        </row>
        <row r="1940">
          <cell r="A1940">
            <v>1940</v>
          </cell>
          <cell r="AD1940">
            <v>2282</v>
          </cell>
          <cell r="AE1940" t="str">
            <v>NA</v>
          </cell>
          <cell r="AF1940" t="str">
            <v>2282.NA2</v>
          </cell>
        </row>
        <row r="1941">
          <cell r="A1941">
            <v>1941</v>
          </cell>
          <cell r="B1941">
            <v>2283</v>
          </cell>
          <cell r="C1941" t="str">
            <v>Accum Prov for Pensions &amp; Benefits</v>
          </cell>
          <cell r="AD1941">
            <v>2283</v>
          </cell>
          <cell r="AE1941" t="str">
            <v>NA</v>
          </cell>
          <cell r="AF1941" t="str">
            <v>2283.NA</v>
          </cell>
        </row>
        <row r="1942">
          <cell r="A1942">
            <v>1942</v>
          </cell>
          <cell r="D1942" t="str">
            <v>SO</v>
          </cell>
          <cell r="E1942" t="str">
            <v>PTD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0.59419421435740905</v>
          </cell>
          <cell r="N1942">
            <v>0</v>
          </cell>
          <cell r="O1942">
            <v>0</v>
          </cell>
          <cell r="P1942">
            <v>1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2283</v>
          </cell>
          <cell r="AE1942" t="str">
            <v>SO</v>
          </cell>
          <cell r="AF1942" t="str">
            <v>2283.SO</v>
          </cell>
        </row>
        <row r="1943">
          <cell r="A1943">
            <v>1943</v>
          </cell>
          <cell r="D1943" t="str">
            <v>S</v>
          </cell>
          <cell r="E1943" t="str">
            <v>PTD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0.59419421435740905</v>
          </cell>
          <cell r="N1943">
            <v>0</v>
          </cell>
          <cell r="O1943">
            <v>0</v>
          </cell>
          <cell r="P1943">
            <v>1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2283</v>
          </cell>
          <cell r="AE1943" t="str">
            <v>S</v>
          </cell>
          <cell r="AF1943" t="str">
            <v>2283.S</v>
          </cell>
        </row>
        <row r="1944">
          <cell r="A1944">
            <v>1944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N1944">
            <v>0</v>
          </cell>
          <cell r="O1944">
            <v>0</v>
          </cell>
          <cell r="Q1944">
            <v>0</v>
          </cell>
          <cell r="R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2283</v>
          </cell>
          <cell r="AE1944" t="str">
            <v>NA</v>
          </cell>
          <cell r="AF1944" t="str">
            <v>2283.NA1</v>
          </cell>
        </row>
        <row r="1945">
          <cell r="A1945">
            <v>1945</v>
          </cell>
          <cell r="AD1945">
            <v>2283</v>
          </cell>
          <cell r="AE1945" t="str">
            <v>NA</v>
          </cell>
          <cell r="AF1945" t="str">
            <v>2283.NA2</v>
          </cell>
        </row>
        <row r="1946">
          <cell r="A1946">
            <v>1946</v>
          </cell>
          <cell r="B1946">
            <v>254</v>
          </cell>
          <cell r="C1946" t="str">
            <v>Reg Liabilities - Insurance Provision</v>
          </cell>
          <cell r="AD1946">
            <v>254</v>
          </cell>
          <cell r="AE1946" t="str">
            <v>NA</v>
          </cell>
          <cell r="AF1946" t="str">
            <v>254.NA</v>
          </cell>
        </row>
        <row r="1947">
          <cell r="A1947">
            <v>1947</v>
          </cell>
          <cell r="D1947" t="str">
            <v>S</v>
          </cell>
          <cell r="E1947" t="str">
            <v>P</v>
          </cell>
          <cell r="F1947">
            <v>-44041830.913750023</v>
          </cell>
          <cell r="G1947">
            <v>-44041830.913750023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0.59419421435740905</v>
          </cell>
          <cell r="N1947">
            <v>-26169401.118657544</v>
          </cell>
          <cell r="O1947">
            <v>-17872429.795092478</v>
          </cell>
          <cell r="P1947">
            <v>1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254</v>
          </cell>
          <cell r="AE1947" t="str">
            <v>S</v>
          </cell>
          <cell r="AF1947" t="str">
            <v>254.S</v>
          </cell>
        </row>
        <row r="1948">
          <cell r="A1948">
            <v>1948</v>
          </cell>
          <cell r="D1948" t="str">
            <v>JBG</v>
          </cell>
          <cell r="E1948" t="str">
            <v>P</v>
          </cell>
          <cell r="F1948">
            <v>-3037826.5434690067</v>
          </cell>
          <cell r="G1948">
            <v>-3037826.5434690067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0.59419421435740905</v>
          </cell>
          <cell r="N1948">
            <v>-1805058.9563506499</v>
          </cell>
          <cell r="O1948">
            <v>-1232767.5871183567</v>
          </cell>
          <cell r="P1948">
            <v>1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254</v>
          </cell>
          <cell r="AE1948" t="str">
            <v>JBG</v>
          </cell>
          <cell r="AF1948" t="str">
            <v>254.JBG</v>
          </cell>
        </row>
        <row r="1949">
          <cell r="A1949">
            <v>1949</v>
          </cell>
          <cell r="D1949" t="str">
            <v>CAGW</v>
          </cell>
          <cell r="E1949" t="str">
            <v>P</v>
          </cell>
          <cell r="F1949">
            <v>-87168.730043882126</v>
          </cell>
          <cell r="G1949">
            <v>-87168.730043882126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0.59419421435740905</v>
          </cell>
          <cell r="N1949">
            <v>-51795.155064957617</v>
          </cell>
          <cell r="O1949">
            <v>-35373.574978924509</v>
          </cell>
          <cell r="P1949">
            <v>1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254</v>
          </cell>
          <cell r="AE1949" t="str">
            <v>CAGW</v>
          </cell>
          <cell r="AF1949" t="str">
            <v>254.CAGW</v>
          </cell>
        </row>
        <row r="1950">
          <cell r="A1950">
            <v>1950</v>
          </cell>
          <cell r="F1950">
            <v>-47166826.187262908</v>
          </cell>
          <cell r="G1950">
            <v>-47166826.187262908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N1950">
            <v>-28026255.230073154</v>
          </cell>
          <cell r="O1950">
            <v>-19140570.957189761</v>
          </cell>
          <cell r="Q1950">
            <v>0</v>
          </cell>
          <cell r="R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254</v>
          </cell>
          <cell r="AE1950" t="str">
            <v>NA</v>
          </cell>
          <cell r="AF1950" t="str">
            <v>254.NA1</v>
          </cell>
        </row>
        <row r="1951">
          <cell r="A1951">
            <v>1951</v>
          </cell>
          <cell r="AD1951">
            <v>254</v>
          </cell>
          <cell r="AE1951" t="str">
            <v>NA</v>
          </cell>
          <cell r="AF1951" t="str">
            <v>254.NA2</v>
          </cell>
        </row>
        <row r="1952">
          <cell r="A1952">
            <v>1952</v>
          </cell>
          <cell r="B1952">
            <v>22841</v>
          </cell>
          <cell r="C1952" t="str">
            <v>Accum Hydro Relicensing Obligation</v>
          </cell>
          <cell r="AD1952">
            <v>22841</v>
          </cell>
          <cell r="AE1952" t="str">
            <v>NA</v>
          </cell>
          <cell r="AF1952" t="str">
            <v>22841.NA</v>
          </cell>
        </row>
        <row r="1953">
          <cell r="A1953">
            <v>1953</v>
          </cell>
          <cell r="D1953" t="str">
            <v>CAGW</v>
          </cell>
          <cell r="E1953" t="str">
            <v>P</v>
          </cell>
          <cell r="F1953">
            <v>-123389.23719499439</v>
          </cell>
          <cell r="G1953">
            <v>-123389.23719499439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M1953">
            <v>0.59419421435740905</v>
          </cell>
          <cell r="N1953">
            <v>-73317.170855239689</v>
          </cell>
          <cell r="O1953">
            <v>-50072.066339754703</v>
          </cell>
          <cell r="P1953">
            <v>1</v>
          </cell>
          <cell r="Q1953">
            <v>0</v>
          </cell>
          <cell r="R1953">
            <v>0</v>
          </cell>
          <cell r="S1953" t="str">
            <v>PLNT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22841</v>
          </cell>
          <cell r="AE1953" t="str">
            <v>CAGW</v>
          </cell>
          <cell r="AF1953" t="str">
            <v>22841.CAGW</v>
          </cell>
        </row>
        <row r="1954">
          <cell r="A1954">
            <v>1954</v>
          </cell>
          <cell r="F1954">
            <v>-123389.23719499439</v>
          </cell>
          <cell r="G1954">
            <v>-123389.23719499439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N1954">
            <v>-73317.170855239689</v>
          </cell>
          <cell r="O1954">
            <v>-50072.066339754703</v>
          </cell>
          <cell r="Q1954">
            <v>0</v>
          </cell>
          <cell r="R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D1954">
            <v>22841</v>
          </cell>
          <cell r="AE1954" t="str">
            <v>NA</v>
          </cell>
          <cell r="AF1954" t="str">
            <v>22841.NA1</v>
          </cell>
        </row>
        <row r="1955">
          <cell r="A1955">
            <v>1955</v>
          </cell>
          <cell r="AD1955">
            <v>22841</v>
          </cell>
          <cell r="AE1955" t="str">
            <v>NA</v>
          </cell>
          <cell r="AF1955" t="str">
            <v>22841.NA2</v>
          </cell>
        </row>
        <row r="1956">
          <cell r="A1956">
            <v>1956</v>
          </cell>
          <cell r="B1956">
            <v>22842</v>
          </cell>
          <cell r="C1956" t="str">
            <v>Accum Misc Oper Prov-Trojan</v>
          </cell>
          <cell r="D1956" t="str">
            <v>TROJD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0.59419421435740905</v>
          </cell>
          <cell r="N1956">
            <v>0</v>
          </cell>
          <cell r="O1956">
            <v>0</v>
          </cell>
          <cell r="P1956">
            <v>1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22842</v>
          </cell>
          <cell r="AE1956" t="str">
            <v>TROJD</v>
          </cell>
          <cell r="AF1956" t="str">
            <v>22842.TROJD</v>
          </cell>
        </row>
        <row r="1957">
          <cell r="A1957">
            <v>1957</v>
          </cell>
          <cell r="B1957">
            <v>254</v>
          </cell>
          <cell r="C1957" t="str">
            <v>Regulatory Liability</v>
          </cell>
          <cell r="D1957" t="str">
            <v>SE</v>
          </cell>
          <cell r="E1957" t="str">
            <v>P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0.59419421435740905</v>
          </cell>
          <cell r="N1957">
            <v>0</v>
          </cell>
          <cell r="O1957">
            <v>0</v>
          </cell>
          <cell r="P1957">
            <v>1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254</v>
          </cell>
          <cell r="AE1957" t="str">
            <v>SE</v>
          </cell>
          <cell r="AF1957" t="str">
            <v>254.SE</v>
          </cell>
        </row>
        <row r="1958">
          <cell r="A1958">
            <v>1958</v>
          </cell>
          <cell r="B1958">
            <v>254</v>
          </cell>
          <cell r="C1958" t="str">
            <v>Regulatory Liability</v>
          </cell>
          <cell r="D1958" t="str">
            <v>S</v>
          </cell>
          <cell r="E1958" t="str">
            <v>P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0.59419421435740905</v>
          </cell>
          <cell r="N1958">
            <v>0</v>
          </cell>
          <cell r="O1958">
            <v>0</v>
          </cell>
          <cell r="P1958">
            <v>1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254</v>
          </cell>
          <cell r="AE1958" t="str">
            <v>S</v>
          </cell>
          <cell r="AF1958" t="str">
            <v>254.S1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254</v>
          </cell>
          <cell r="AE1959" t="str">
            <v>NA</v>
          </cell>
          <cell r="AF1959" t="str">
            <v>254.NA3</v>
          </cell>
        </row>
        <row r="1960">
          <cell r="A1960">
            <v>1960</v>
          </cell>
          <cell r="AD1960">
            <v>254</v>
          </cell>
          <cell r="AE1960" t="str">
            <v>NA</v>
          </cell>
          <cell r="AF1960" t="str">
            <v>254.NA4</v>
          </cell>
        </row>
        <row r="1961">
          <cell r="A1961">
            <v>1961</v>
          </cell>
          <cell r="B1961">
            <v>252</v>
          </cell>
          <cell r="C1961" t="str">
            <v>Customer Advances for Construction</v>
          </cell>
          <cell r="AD1961">
            <v>252</v>
          </cell>
          <cell r="AE1961" t="str">
            <v>NA</v>
          </cell>
          <cell r="AF1961" t="str">
            <v>252.NA</v>
          </cell>
        </row>
        <row r="1962">
          <cell r="A1962">
            <v>1962</v>
          </cell>
          <cell r="D1962" t="str">
            <v>S</v>
          </cell>
          <cell r="E1962" t="str">
            <v>DPW</v>
          </cell>
          <cell r="F1962">
            <v>-426191.15666666673</v>
          </cell>
          <cell r="G1962">
            <v>0</v>
          </cell>
          <cell r="H1962">
            <v>0</v>
          </cell>
          <cell r="I1962">
            <v>-426191.15666666673</v>
          </cell>
          <cell r="J1962">
            <v>0</v>
          </cell>
          <cell r="K1962">
            <v>0</v>
          </cell>
          <cell r="M1962">
            <v>0.59419421435740905</v>
          </cell>
          <cell r="N1962">
            <v>0</v>
          </cell>
          <cell r="O1962">
            <v>0</v>
          </cell>
          <cell r="P1962">
            <v>1</v>
          </cell>
          <cell r="Q1962">
            <v>0</v>
          </cell>
          <cell r="R1962">
            <v>0</v>
          </cell>
          <cell r="S1962" t="str">
            <v>PLNT</v>
          </cell>
          <cell r="T1962">
            <v>-63680.744102843324</v>
          </cell>
          <cell r="U1962">
            <v>-199618.33102529819</v>
          </cell>
          <cell r="V1962">
            <v>-96084.542204933852</v>
          </cell>
          <cell r="W1962">
            <v>-11258.581629819038</v>
          </cell>
          <cell r="X1962">
            <v>-55548.957703772314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252</v>
          </cell>
          <cell r="AE1962" t="str">
            <v>S</v>
          </cell>
          <cell r="AF1962" t="str">
            <v>252.S</v>
          </cell>
        </row>
        <row r="1963">
          <cell r="A1963">
            <v>1963</v>
          </cell>
          <cell r="D1963" t="str">
            <v>SNPD</v>
          </cell>
          <cell r="E1963" t="str">
            <v>DPW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M1963">
            <v>0.59419421435740905</v>
          </cell>
          <cell r="N1963">
            <v>0</v>
          </cell>
          <cell r="O1963">
            <v>0</v>
          </cell>
          <cell r="P1963">
            <v>1</v>
          </cell>
          <cell r="Q1963">
            <v>0</v>
          </cell>
          <cell r="R1963">
            <v>0</v>
          </cell>
          <cell r="S1963" t="str">
            <v>PLNT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252</v>
          </cell>
          <cell r="AE1963" t="str">
            <v>SNPD</v>
          </cell>
          <cell r="AF1963" t="str">
            <v>252.SNPD</v>
          </cell>
        </row>
        <row r="1964">
          <cell r="A1964">
            <v>1964</v>
          </cell>
          <cell r="D1964" t="str">
            <v>SG</v>
          </cell>
          <cell r="E1964" t="str">
            <v>DPW</v>
          </cell>
          <cell r="F1964">
            <v>-2053622.1688592487</v>
          </cell>
          <cell r="G1964">
            <v>0</v>
          </cell>
          <cell r="H1964">
            <v>0</v>
          </cell>
          <cell r="I1964">
            <v>-2053622.1688592487</v>
          </cell>
          <cell r="J1964">
            <v>0</v>
          </cell>
          <cell r="K1964">
            <v>0</v>
          </cell>
          <cell r="M1964">
            <v>0.59419421435740905</v>
          </cell>
          <cell r="N1964">
            <v>0</v>
          </cell>
          <cell r="O1964">
            <v>0</v>
          </cell>
          <cell r="P1964">
            <v>1</v>
          </cell>
          <cell r="Q1964">
            <v>0</v>
          </cell>
          <cell r="R1964">
            <v>0</v>
          </cell>
          <cell r="S1964" t="str">
            <v>PLNT</v>
          </cell>
          <cell r="T1964">
            <v>-306848.66584722401</v>
          </cell>
          <cell r="U1964">
            <v>-961870.33328065905</v>
          </cell>
          <cell r="V1964">
            <v>-462987.89374241646</v>
          </cell>
          <cell r="W1964">
            <v>-54250.00604362892</v>
          </cell>
          <cell r="X1964">
            <v>-267665.26994532015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252</v>
          </cell>
          <cell r="AE1964" t="str">
            <v>SG</v>
          </cell>
          <cell r="AF1964" t="str">
            <v>252.SG</v>
          </cell>
        </row>
        <row r="1965">
          <cell r="A1965">
            <v>1965</v>
          </cell>
          <cell r="D1965" t="str">
            <v>SO</v>
          </cell>
          <cell r="E1965" t="str">
            <v>DPW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M1965">
            <v>0.59419421435740905</v>
          </cell>
          <cell r="N1965">
            <v>0</v>
          </cell>
          <cell r="O1965">
            <v>0</v>
          </cell>
          <cell r="P1965">
            <v>1</v>
          </cell>
          <cell r="Q1965">
            <v>0</v>
          </cell>
          <cell r="R1965">
            <v>0</v>
          </cell>
          <cell r="S1965" t="str">
            <v>PLNT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252</v>
          </cell>
          <cell r="AE1965" t="str">
            <v>SO</v>
          </cell>
          <cell r="AF1965" t="str">
            <v>252.SO</v>
          </cell>
        </row>
        <row r="1966">
          <cell r="A1966">
            <v>1966</v>
          </cell>
          <cell r="D1966" t="str">
            <v>CN</v>
          </cell>
          <cell r="E1966" t="str">
            <v>DPW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0.59419421435740905</v>
          </cell>
          <cell r="N1966">
            <v>0</v>
          </cell>
          <cell r="O1966">
            <v>0</v>
          </cell>
          <cell r="P1966">
            <v>1</v>
          </cell>
          <cell r="Q1966">
            <v>0</v>
          </cell>
          <cell r="R1966">
            <v>0</v>
          </cell>
          <cell r="S1966" t="str">
            <v>CUST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252</v>
          </cell>
          <cell r="AE1966" t="str">
            <v>CN</v>
          </cell>
          <cell r="AF1966" t="str">
            <v>252.CN</v>
          </cell>
        </row>
        <row r="1967">
          <cell r="A1967">
            <v>1967</v>
          </cell>
          <cell r="F1967">
            <v>-2479813.3255259153</v>
          </cell>
          <cell r="G1967">
            <v>0</v>
          </cell>
          <cell r="H1967">
            <v>0</v>
          </cell>
          <cell r="I1967">
            <v>-2479813.3255259153</v>
          </cell>
          <cell r="J1967">
            <v>0</v>
          </cell>
          <cell r="K1967">
            <v>0</v>
          </cell>
          <cell r="N1967">
            <v>0</v>
          </cell>
          <cell r="O1967">
            <v>0</v>
          </cell>
          <cell r="Q1967">
            <v>0</v>
          </cell>
          <cell r="R1967">
            <v>0</v>
          </cell>
          <cell r="T1967">
            <v>-370529.40995006735</v>
          </cell>
          <cell r="U1967">
            <v>-1161488.6643059573</v>
          </cell>
          <cell r="V1967">
            <v>-559072.43594735034</v>
          </cell>
          <cell r="W1967">
            <v>-65508.587673447961</v>
          </cell>
          <cell r="X1967">
            <v>-323214.22764909244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252</v>
          </cell>
          <cell r="AE1967" t="str">
            <v>NA</v>
          </cell>
          <cell r="AF1967" t="str">
            <v>252.NA1</v>
          </cell>
        </row>
        <row r="1968">
          <cell r="A1968">
            <v>1968</v>
          </cell>
          <cell r="AD1968">
            <v>252</v>
          </cell>
          <cell r="AE1968" t="str">
            <v>NA</v>
          </cell>
          <cell r="AF1968" t="str">
            <v>252.NA2</v>
          </cell>
        </row>
        <row r="1969">
          <cell r="A1969">
            <v>1969</v>
          </cell>
          <cell r="B1969">
            <v>25398</v>
          </cell>
          <cell r="C1969" t="str">
            <v>SO2 Emissions</v>
          </cell>
          <cell r="AD1969">
            <v>25398</v>
          </cell>
          <cell r="AE1969" t="str">
            <v>NA</v>
          </cell>
          <cell r="AF1969" t="str">
            <v>25398.NA</v>
          </cell>
        </row>
        <row r="1970">
          <cell r="A1970">
            <v>1970</v>
          </cell>
          <cell r="D1970" t="str">
            <v>S</v>
          </cell>
          <cell r="E1970" t="str">
            <v>P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0.59419421435740905</v>
          </cell>
          <cell r="N1970">
            <v>0</v>
          </cell>
          <cell r="O1970">
            <v>0</v>
          </cell>
          <cell r="P1970">
            <v>1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25398</v>
          </cell>
          <cell r="AE1970" t="str">
            <v>S</v>
          </cell>
          <cell r="AF1970" t="str">
            <v>25398.S</v>
          </cell>
        </row>
        <row r="1971">
          <cell r="A1971">
            <v>1971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N1971">
            <v>0</v>
          </cell>
          <cell r="O1971">
            <v>0</v>
          </cell>
          <cell r="Q1971">
            <v>0</v>
          </cell>
          <cell r="R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AD1971">
            <v>25398</v>
          </cell>
          <cell r="AE1971" t="str">
            <v>NA</v>
          </cell>
          <cell r="AF1971" t="str">
            <v>25398.NA1</v>
          </cell>
        </row>
        <row r="1972">
          <cell r="A1972">
            <v>1972</v>
          </cell>
          <cell r="AD1972">
            <v>25398</v>
          </cell>
          <cell r="AE1972" t="str">
            <v>NA</v>
          </cell>
          <cell r="AF1972" t="str">
            <v>25398.NA2</v>
          </cell>
        </row>
        <row r="1973">
          <cell r="A1973">
            <v>1973</v>
          </cell>
          <cell r="B1973">
            <v>25399</v>
          </cell>
          <cell r="C1973" t="str">
            <v>Other Deferred Credits</v>
          </cell>
          <cell r="AD1973">
            <v>25399</v>
          </cell>
          <cell r="AE1973" t="str">
            <v>NA</v>
          </cell>
          <cell r="AF1973" t="str">
            <v>25399.NA</v>
          </cell>
        </row>
        <row r="1974">
          <cell r="A1974">
            <v>1974</v>
          </cell>
          <cell r="D1974" t="str">
            <v>S</v>
          </cell>
          <cell r="E1974" t="str">
            <v>P</v>
          </cell>
          <cell r="F1974">
            <v>-303028.54041666701</v>
          </cell>
          <cell r="G1974">
            <v>-303028.54041666701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0.59419421435740905</v>
          </cell>
          <cell r="N1974">
            <v>-180057.80550075384</v>
          </cell>
          <cell r="O1974">
            <v>-122970.73491591318</v>
          </cell>
          <cell r="P1974">
            <v>1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25399</v>
          </cell>
          <cell r="AE1974" t="str">
            <v>S</v>
          </cell>
          <cell r="AF1974" t="str">
            <v>25399.S</v>
          </cell>
        </row>
        <row r="1975">
          <cell r="A1975">
            <v>1975</v>
          </cell>
          <cell r="D1975" t="str">
            <v>GPS</v>
          </cell>
          <cell r="E1975" t="str">
            <v>P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0.59419421435740905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25399</v>
          </cell>
          <cell r="AE1975" t="str">
            <v>GPS</v>
          </cell>
          <cell r="AF1975" t="str">
            <v>25399.GPS</v>
          </cell>
        </row>
        <row r="1976">
          <cell r="A1976">
            <v>1976</v>
          </cell>
          <cell r="D1976" t="str">
            <v>SO</v>
          </cell>
          <cell r="E1976" t="str">
            <v>P</v>
          </cell>
          <cell r="F1976">
            <v>-3732743.241386496</v>
          </cell>
          <cell r="G1976">
            <v>-3732743.241386496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0.59419421435740905</v>
          </cell>
          <cell r="N1976">
            <v>-2217974.4377135774</v>
          </cell>
          <cell r="O1976">
            <v>-1514768.8036729186</v>
          </cell>
          <cell r="P1976">
            <v>1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25399</v>
          </cell>
          <cell r="AE1976" t="str">
            <v>SO</v>
          </cell>
          <cell r="AF1976" t="str">
            <v>25399.SO</v>
          </cell>
        </row>
        <row r="1977">
          <cell r="A1977">
            <v>1977</v>
          </cell>
          <cell r="D1977" t="str">
            <v>CAGW</v>
          </cell>
          <cell r="E1977" t="str">
            <v>P</v>
          </cell>
          <cell r="F1977">
            <v>-86662.39622226599</v>
          </cell>
          <cell r="G1977">
            <v>-86662.39622226599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M1977">
            <v>0.59419421435740905</v>
          </cell>
          <cell r="N1977">
            <v>-51494.294437619836</v>
          </cell>
          <cell r="O1977">
            <v>-35168.101784646155</v>
          </cell>
          <cell r="P1977">
            <v>1</v>
          </cell>
          <cell r="Q1977">
            <v>0</v>
          </cell>
          <cell r="R1977">
            <v>0</v>
          </cell>
          <cell r="S1977" t="str">
            <v>PLNT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25399</v>
          </cell>
          <cell r="AE1977" t="str">
            <v>CAGW</v>
          </cell>
          <cell r="AF1977" t="str">
            <v>25399.CAGW</v>
          </cell>
        </row>
        <row r="1978">
          <cell r="A1978">
            <v>1978</v>
          </cell>
          <cell r="D1978" t="str">
            <v>SG</v>
          </cell>
          <cell r="E1978" t="str">
            <v>P</v>
          </cell>
          <cell r="F1978">
            <v>-543016.62902315217</v>
          </cell>
          <cell r="G1978">
            <v>-543016.62902315217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M1978">
            <v>0.59419421435740905</v>
          </cell>
          <cell r="N1978">
            <v>-322657.33926542057</v>
          </cell>
          <cell r="O1978">
            <v>-220359.28975773163</v>
          </cell>
          <cell r="P1978">
            <v>1</v>
          </cell>
          <cell r="Q1978">
            <v>0</v>
          </cell>
          <cell r="R1978">
            <v>0</v>
          </cell>
          <cell r="S1978" t="str">
            <v>PLNT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D1978">
            <v>25399</v>
          </cell>
          <cell r="AE1978" t="str">
            <v>SG</v>
          </cell>
          <cell r="AF1978" t="str">
            <v>25399.SG</v>
          </cell>
        </row>
        <row r="1979">
          <cell r="A1979">
            <v>1979</v>
          </cell>
          <cell r="F1979">
            <v>-4665450.8070485806</v>
          </cell>
          <cell r="G1979">
            <v>-4665450.8070485806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N1979">
            <v>-2772183.8769173715</v>
          </cell>
          <cell r="O1979">
            <v>-1893266.9301312093</v>
          </cell>
          <cell r="Q1979">
            <v>0</v>
          </cell>
          <cell r="R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D1979">
            <v>25399</v>
          </cell>
          <cell r="AE1979" t="str">
            <v>NA</v>
          </cell>
          <cell r="AF1979" t="str">
            <v>25399.NA1</v>
          </cell>
        </row>
        <row r="1980">
          <cell r="A1980">
            <v>1980</v>
          </cell>
          <cell r="AD1980">
            <v>25399</v>
          </cell>
          <cell r="AE1980" t="str">
            <v>NA</v>
          </cell>
          <cell r="AF1980" t="str">
            <v>25399.NA2</v>
          </cell>
        </row>
        <row r="1981">
          <cell r="A1981">
            <v>1981</v>
          </cell>
          <cell r="B1981">
            <v>190</v>
          </cell>
          <cell r="C1981" t="str">
            <v>Accumulated Deferred Income Taxes</v>
          </cell>
          <cell r="AD1981">
            <v>190</v>
          </cell>
          <cell r="AE1981" t="str">
            <v>NA</v>
          </cell>
          <cell r="AF1981" t="str">
            <v>190.NA</v>
          </cell>
        </row>
        <row r="1982">
          <cell r="A1982">
            <v>1982</v>
          </cell>
          <cell r="D1982" t="str">
            <v>S</v>
          </cell>
          <cell r="E1982" t="str">
            <v>P</v>
          </cell>
          <cell r="F1982">
            <v>8860708.5999999996</v>
          </cell>
          <cell r="G1982">
            <v>8860708.5999999996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0.59419421435740905</v>
          </cell>
          <cell r="N1982">
            <v>5264981.7852269374</v>
          </cell>
          <cell r="O1982">
            <v>3595726.8147730622</v>
          </cell>
          <cell r="P1982">
            <v>1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190</v>
          </cell>
          <cell r="AE1982" t="str">
            <v>S</v>
          </cell>
          <cell r="AF1982" t="str">
            <v>190.S</v>
          </cell>
        </row>
        <row r="1983">
          <cell r="A1983">
            <v>1983</v>
          </cell>
          <cell r="D1983" t="str">
            <v>SG</v>
          </cell>
          <cell r="E1983" t="str">
            <v>P</v>
          </cell>
          <cell r="F1983">
            <v>596327.57926729182</v>
          </cell>
          <cell r="G1983">
            <v>596327.57926729182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M1983">
            <v>0.59419421435740905</v>
          </cell>
          <cell r="N1983">
            <v>354334.39746238402</v>
          </cell>
          <cell r="O1983">
            <v>241993.1818049078</v>
          </cell>
          <cell r="P1983">
            <v>1</v>
          </cell>
          <cell r="Q1983">
            <v>0</v>
          </cell>
          <cell r="R1983">
            <v>0</v>
          </cell>
          <cell r="S1983" t="str">
            <v>PLNT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190</v>
          </cell>
          <cell r="AE1983" t="str">
            <v>SG</v>
          </cell>
          <cell r="AF1983" t="str">
            <v>190.SG</v>
          </cell>
        </row>
        <row r="1984">
          <cell r="A1984">
            <v>1984</v>
          </cell>
          <cell r="D1984" t="str">
            <v>SO</v>
          </cell>
          <cell r="E1984" t="str">
            <v>LABOR</v>
          </cell>
          <cell r="F1984">
            <v>932328.12359469116</v>
          </cell>
          <cell r="G1984">
            <v>376418.79066279292</v>
          </cell>
          <cell r="H1984">
            <v>70872.0942598314</v>
          </cell>
          <cell r="I1984">
            <v>248754.22379797383</v>
          </cell>
          <cell r="J1984">
            <v>119811.94253505566</v>
          </cell>
          <cell r="K1984">
            <v>116471.0723390374</v>
          </cell>
          <cell r="M1984">
            <v>0.59419421435740905</v>
          </cell>
          <cell r="N1984">
            <v>223665.86758724425</v>
          </cell>
          <cell r="O1984">
            <v>152752.92307554866</v>
          </cell>
          <cell r="P1984">
            <v>1</v>
          </cell>
          <cell r="Q1984">
            <v>70872.0942598314</v>
          </cell>
          <cell r="R1984">
            <v>0</v>
          </cell>
          <cell r="S1984" t="str">
            <v>DISom</v>
          </cell>
          <cell r="T1984">
            <v>20546.843533808511</v>
          </cell>
          <cell r="U1984">
            <v>216915.18407830549</v>
          </cell>
          <cell r="V1984">
            <v>1818.3823909190487</v>
          </cell>
          <cell r="W1984">
            <v>9473.8137949407974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190</v>
          </cell>
          <cell r="AE1984" t="str">
            <v>SO</v>
          </cell>
          <cell r="AF1984" t="str">
            <v>190.SO</v>
          </cell>
        </row>
        <row r="1985">
          <cell r="A1985">
            <v>1985</v>
          </cell>
          <cell r="D1985" t="str">
            <v>CN</v>
          </cell>
          <cell r="E1985" t="str">
            <v>CUST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M1985">
            <v>0.59419421435740905</v>
          </cell>
          <cell r="N1985">
            <v>0</v>
          </cell>
          <cell r="O1985">
            <v>0</v>
          </cell>
          <cell r="P1985">
            <v>1</v>
          </cell>
          <cell r="Q1985">
            <v>0</v>
          </cell>
          <cell r="R1985">
            <v>0</v>
          </cell>
          <cell r="S1985" t="str">
            <v>CUST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190</v>
          </cell>
          <cell r="AE1985" t="str">
            <v>CN</v>
          </cell>
          <cell r="AF1985" t="str">
            <v>190.CN</v>
          </cell>
        </row>
        <row r="1986">
          <cell r="A1986">
            <v>1986</v>
          </cell>
          <cell r="D1986" t="str">
            <v>BADDEBT</v>
          </cell>
          <cell r="E1986" t="str">
            <v>CUST</v>
          </cell>
          <cell r="F1986">
            <v>318772.08093302697</v>
          </cell>
          <cell r="G1986">
            <v>0</v>
          </cell>
          <cell r="H1986">
            <v>0</v>
          </cell>
          <cell r="I1986">
            <v>0</v>
          </cell>
          <cell r="J1986">
            <v>318772.08093302697</v>
          </cell>
          <cell r="K1986">
            <v>0</v>
          </cell>
          <cell r="M1986">
            <v>0.59419421435740905</v>
          </cell>
          <cell r="N1986">
            <v>0</v>
          </cell>
          <cell r="O1986">
            <v>0</v>
          </cell>
          <cell r="P1986">
            <v>1</v>
          </cell>
          <cell r="Q1986">
            <v>0</v>
          </cell>
          <cell r="R1986">
            <v>0</v>
          </cell>
          <cell r="S1986" t="str">
            <v>CUST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190</v>
          </cell>
          <cell r="AE1986" t="str">
            <v>BADDEBT</v>
          </cell>
          <cell r="AF1986" t="str">
            <v>190.BADDEBT</v>
          </cell>
        </row>
        <row r="1987">
          <cell r="A1987">
            <v>1987</v>
          </cell>
          <cell r="D1987" t="str">
            <v>JBG</v>
          </cell>
          <cell r="E1987" t="str">
            <v>P</v>
          </cell>
          <cell r="F1987">
            <v>746898.84270969837</v>
          </cell>
          <cell r="G1987">
            <v>746898.84270969837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0.59419421435740905</v>
          </cell>
          <cell r="N1987">
            <v>443802.97104834724</v>
          </cell>
          <cell r="O1987">
            <v>303095.87166135112</v>
          </cell>
          <cell r="P1987">
            <v>1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190</v>
          </cell>
          <cell r="AE1987" t="str">
            <v>JBG</v>
          </cell>
          <cell r="AF1987" t="str">
            <v>190.JBG</v>
          </cell>
        </row>
        <row r="1988">
          <cell r="A1988">
            <v>1988</v>
          </cell>
          <cell r="D1988" t="str">
            <v>JBE</v>
          </cell>
          <cell r="E1988" t="str">
            <v>P</v>
          </cell>
          <cell r="F1988">
            <v>-2793885.9394330932</v>
          </cell>
          <cell r="G1988">
            <v>-2793885.9394330932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0.59419421435740905</v>
          </cell>
          <cell r="N1988">
            <v>-1660110.8607856585</v>
          </cell>
          <cell r="O1988">
            <v>-1133775.0786474347</v>
          </cell>
          <cell r="P1988">
            <v>1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190</v>
          </cell>
          <cell r="AE1988" t="str">
            <v>JBE</v>
          </cell>
          <cell r="AF1988" t="str">
            <v>190.JBE</v>
          </cell>
        </row>
        <row r="1989">
          <cell r="A1989">
            <v>1989</v>
          </cell>
          <cell r="D1989" t="str">
            <v>SE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0.59419421435740905</v>
          </cell>
          <cell r="N1989">
            <v>0</v>
          </cell>
          <cell r="O1989">
            <v>0</v>
          </cell>
          <cell r="P1989">
            <v>1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190</v>
          </cell>
          <cell r="AE1989" t="str">
            <v>SE</v>
          </cell>
          <cell r="AF1989" t="str">
            <v>190.SE</v>
          </cell>
        </row>
        <row r="1990">
          <cell r="A1990">
            <v>1990</v>
          </cell>
          <cell r="D1990" t="str">
            <v>CAGW</v>
          </cell>
          <cell r="E1990" t="str">
            <v>P</v>
          </cell>
          <cell r="F1990">
            <v>51768.54307860745</v>
          </cell>
          <cell r="G1990">
            <v>51768.54307860745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M1990">
            <v>0.59419421435740905</v>
          </cell>
          <cell r="N1990">
            <v>30760.568783020841</v>
          </cell>
          <cell r="O1990">
            <v>21007.97429558661</v>
          </cell>
          <cell r="P1990">
            <v>1</v>
          </cell>
          <cell r="Q1990">
            <v>0</v>
          </cell>
          <cell r="R1990">
            <v>0</v>
          </cell>
          <cell r="S1990" t="str">
            <v>PLNT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190</v>
          </cell>
          <cell r="AE1990" t="str">
            <v>CAGW</v>
          </cell>
          <cell r="AF1990" t="str">
            <v>190.CAGW</v>
          </cell>
        </row>
        <row r="1991">
          <cell r="A1991">
            <v>1991</v>
          </cell>
          <cell r="D1991" t="str">
            <v>SNPD</v>
          </cell>
          <cell r="E1991" t="str">
            <v>DPW</v>
          </cell>
          <cell r="F1991">
            <v>87655.737153907394</v>
          </cell>
          <cell r="G1991">
            <v>0</v>
          </cell>
          <cell r="H1991">
            <v>0</v>
          </cell>
          <cell r="I1991">
            <v>87655.737153907394</v>
          </cell>
          <cell r="J1991">
            <v>0</v>
          </cell>
          <cell r="K1991">
            <v>0</v>
          </cell>
          <cell r="M1991">
            <v>0.59419421435740905</v>
          </cell>
          <cell r="N1991">
            <v>0</v>
          </cell>
          <cell r="O1991">
            <v>0</v>
          </cell>
          <cell r="P1991">
            <v>1</v>
          </cell>
          <cell r="Q1991">
            <v>0</v>
          </cell>
          <cell r="R1991">
            <v>0</v>
          </cell>
          <cell r="S1991" t="str">
            <v>PLNT</v>
          </cell>
          <cell r="T1991">
            <v>13097.368351098521</v>
          </cell>
          <cell r="U1991">
            <v>41055.971438517052</v>
          </cell>
          <cell r="V1991">
            <v>19761.93368708613</v>
          </cell>
          <cell r="W1991">
            <v>2315.5789523833023</v>
          </cell>
          <cell r="X1991">
            <v>11424.884724822386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D1991">
            <v>190</v>
          </cell>
          <cell r="AE1991" t="str">
            <v>SNPD</v>
          </cell>
          <cell r="AF1991" t="str">
            <v>190.SNPD</v>
          </cell>
        </row>
        <row r="1992">
          <cell r="A1992">
            <v>1992</v>
          </cell>
          <cell r="F1992">
            <v>8800573.5673041306</v>
          </cell>
          <cell r="G1992">
            <v>7838236.4162852969</v>
          </cell>
          <cell r="H1992">
            <v>70872.0942598314</v>
          </cell>
          <cell r="I1992">
            <v>336409.96095188125</v>
          </cell>
          <cell r="J1992">
            <v>438584.02346808265</v>
          </cell>
          <cell r="K1992">
            <v>116471.0723390374</v>
          </cell>
          <cell r="N1992">
            <v>4657434.7293222751</v>
          </cell>
          <cell r="O1992">
            <v>3180801.6869630222</v>
          </cell>
          <cell r="Q1992">
            <v>70872.0942598314</v>
          </cell>
          <cell r="R1992">
            <v>0</v>
          </cell>
          <cell r="T1992">
            <v>33644.211884907032</v>
          </cell>
          <cell r="U1992">
            <v>257971.15551682253</v>
          </cell>
          <cell r="V1992">
            <v>21580.316078005177</v>
          </cell>
          <cell r="W1992">
            <v>11789.3927473241</v>
          </cell>
          <cell r="X1992">
            <v>11424.884724822386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>
            <v>190</v>
          </cell>
          <cell r="AE1992" t="str">
            <v>NA</v>
          </cell>
          <cell r="AF1992" t="str">
            <v>190.NA1</v>
          </cell>
        </row>
        <row r="1993">
          <cell r="A1993">
            <v>1993</v>
          </cell>
          <cell r="AD1993">
            <v>190</v>
          </cell>
          <cell r="AE1993" t="str">
            <v>NA</v>
          </cell>
          <cell r="AF1993" t="str">
            <v>190.NA2</v>
          </cell>
        </row>
        <row r="1994">
          <cell r="A1994">
            <v>1994</v>
          </cell>
          <cell r="B1994">
            <v>281</v>
          </cell>
          <cell r="C1994" t="str">
            <v>Accumulated Deferred Income Taxes</v>
          </cell>
          <cell r="AD1994">
            <v>281</v>
          </cell>
          <cell r="AE1994" t="str">
            <v>NA</v>
          </cell>
          <cell r="AF1994" t="str">
            <v>281.NA</v>
          </cell>
        </row>
        <row r="1995">
          <cell r="A1995">
            <v>1995</v>
          </cell>
          <cell r="D1995" t="str">
            <v>S</v>
          </cell>
          <cell r="E1995" t="str">
            <v>P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0.59419421435740905</v>
          </cell>
          <cell r="N1995">
            <v>0</v>
          </cell>
          <cell r="O1995">
            <v>0</v>
          </cell>
          <cell r="P1995">
            <v>1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281</v>
          </cell>
          <cell r="AE1995" t="str">
            <v>S</v>
          </cell>
          <cell r="AF1995" t="str">
            <v>281.S</v>
          </cell>
        </row>
        <row r="1996">
          <cell r="A1996">
            <v>1996</v>
          </cell>
          <cell r="D1996" t="str">
            <v>SG</v>
          </cell>
          <cell r="E1996" t="str">
            <v>PT</v>
          </cell>
          <cell r="F1996">
            <v>-1.0414779292396379E-2</v>
          </cell>
          <cell r="G1996">
            <v>-7.3581384951268225E-3</v>
          </cell>
          <cell r="H1996">
            <v>-3.0566407972695566E-3</v>
          </cell>
          <cell r="I1996">
            <v>0</v>
          </cell>
          <cell r="J1996">
            <v>0</v>
          </cell>
          <cell r="K1996">
            <v>0</v>
          </cell>
          <cell r="M1996">
            <v>0.59419421435740905</v>
          </cell>
          <cell r="N1996">
            <v>-4.3721633222448906E-3</v>
          </cell>
          <cell r="O1996">
            <v>-2.9859751728819319E-3</v>
          </cell>
          <cell r="P1996">
            <v>1</v>
          </cell>
          <cell r="Q1996">
            <v>-3.0566407972695566E-3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281</v>
          </cell>
          <cell r="AE1996" t="str">
            <v>SG</v>
          </cell>
          <cell r="AF1996" t="str">
            <v>281.SG</v>
          </cell>
        </row>
        <row r="1997">
          <cell r="A1997">
            <v>1997</v>
          </cell>
          <cell r="D1997" t="str">
            <v>DNPTU</v>
          </cell>
          <cell r="E1997" t="str">
            <v>T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1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281</v>
          </cell>
          <cell r="AE1997" t="str">
            <v>DNPTU</v>
          </cell>
          <cell r="AF1997" t="str">
            <v>281.DNPTU</v>
          </cell>
        </row>
        <row r="1998">
          <cell r="A1998">
            <v>1998</v>
          </cell>
          <cell r="F1998">
            <v>-1.0414779292396379E-2</v>
          </cell>
          <cell r="G1998">
            <v>-7.3581384951268225E-3</v>
          </cell>
          <cell r="H1998">
            <v>-3.0566407972695566E-3</v>
          </cell>
          <cell r="I1998">
            <v>0</v>
          </cell>
          <cell r="J1998">
            <v>0</v>
          </cell>
          <cell r="K1998">
            <v>0</v>
          </cell>
          <cell r="N1998">
            <v>-4.3721633222448906E-3</v>
          </cell>
          <cell r="O1998">
            <v>-2.9859751728819319E-3</v>
          </cell>
          <cell r="Q1998">
            <v>-3.0566407972695566E-3</v>
          </cell>
          <cell r="R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281</v>
          </cell>
          <cell r="AE1998" t="str">
            <v>NA</v>
          </cell>
          <cell r="AF1998" t="str">
            <v>281.NA1</v>
          </cell>
        </row>
        <row r="1999">
          <cell r="A1999">
            <v>1999</v>
          </cell>
          <cell r="AD1999">
            <v>281</v>
          </cell>
          <cell r="AE1999" t="str">
            <v>NA</v>
          </cell>
          <cell r="AF1999" t="str">
            <v>281.NA2</v>
          </cell>
        </row>
        <row r="2000">
          <cell r="A2000">
            <v>2000</v>
          </cell>
          <cell r="B2000">
            <v>282</v>
          </cell>
          <cell r="C2000" t="str">
            <v xml:space="preserve">Accumulated Deferred Income Taxes </v>
          </cell>
          <cell r="I2000">
            <v>0.12146695571251656</v>
          </cell>
          <cell r="AD2000">
            <v>282</v>
          </cell>
          <cell r="AE2000" t="str">
            <v>NA</v>
          </cell>
          <cell r="AF2000" t="str">
            <v>282.NA</v>
          </cell>
        </row>
        <row r="2001">
          <cell r="A2001">
            <v>2001</v>
          </cell>
          <cell r="D2001" t="str">
            <v>S</v>
          </cell>
          <cell r="E2001" t="str">
            <v>GP</v>
          </cell>
          <cell r="F2001">
            <v>-247624661.31003326</v>
          </cell>
          <cell r="G2001">
            <v>-117020712.18061297</v>
          </cell>
          <cell r="H2001">
            <v>-61412101.02546943</v>
          </cell>
          <cell r="I2001">
            <v>-67499729.488106668</v>
          </cell>
          <cell r="J2001">
            <v>-1692118.6158441862</v>
          </cell>
          <cell r="K2001">
            <v>0</v>
          </cell>
          <cell r="M2001">
            <v>0.59419421435740905</v>
          </cell>
          <cell r="N2001">
            <v>-69533030.137703806</v>
          </cell>
          <cell r="O2001">
            <v>-47487682.04290916</v>
          </cell>
          <cell r="P2001">
            <v>1</v>
          </cell>
          <cell r="Q2001">
            <v>-61412101.02546943</v>
          </cell>
          <cell r="R2001">
            <v>0</v>
          </cell>
          <cell r="S2001" t="str">
            <v>PLNT</v>
          </cell>
          <cell r="T2001">
            <v>-10085692.613057114</v>
          </cell>
          <cell r="U2001">
            <v>-31615351.78359744</v>
          </cell>
          <cell r="V2001">
            <v>-15217773.774443174</v>
          </cell>
          <cell r="W2001">
            <v>-1783122.9075147761</v>
          </cell>
          <cell r="X2001">
            <v>-8797788.4094941597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282</v>
          </cell>
          <cell r="AE2001" t="str">
            <v>S</v>
          </cell>
          <cell r="AF2001" t="str">
            <v>282.S</v>
          </cell>
        </row>
        <row r="2002">
          <cell r="A2002">
            <v>2002</v>
          </cell>
          <cell r="D2002" t="str">
            <v>SNP</v>
          </cell>
          <cell r="E2002" t="str">
            <v>P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M2002">
            <v>0.59419421435740905</v>
          </cell>
          <cell r="N2002">
            <v>0</v>
          </cell>
          <cell r="O2002">
            <v>0</v>
          </cell>
          <cell r="P2002">
            <v>1</v>
          </cell>
          <cell r="Q2002">
            <v>0</v>
          </cell>
          <cell r="R2002">
            <v>0</v>
          </cell>
          <cell r="S2002" t="str">
            <v>PLNT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282</v>
          </cell>
          <cell r="AE2002" t="str">
            <v>SNP</v>
          </cell>
          <cell r="AF2002" t="str">
            <v>282.SNP</v>
          </cell>
        </row>
        <row r="2003">
          <cell r="A2003">
            <v>2003</v>
          </cell>
          <cell r="D2003" t="str">
            <v>CAGW</v>
          </cell>
          <cell r="E2003" t="str">
            <v>P</v>
          </cell>
          <cell r="F2003">
            <v>2106041.2169198859</v>
          </cell>
          <cell r="G2003">
            <v>2106041.2169198859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M2003">
            <v>0.59419421435740905</v>
          </cell>
          <cell r="N2003">
            <v>1251397.5062920332</v>
          </cell>
          <cell r="O2003">
            <v>854643.71062785259</v>
          </cell>
          <cell r="P2003">
            <v>1</v>
          </cell>
          <cell r="Q2003">
            <v>0</v>
          </cell>
          <cell r="R2003">
            <v>0</v>
          </cell>
          <cell r="S2003" t="str">
            <v>PLNT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282</v>
          </cell>
          <cell r="AE2003" t="str">
            <v>CAGW</v>
          </cell>
          <cell r="AF2003" t="str">
            <v>282.CAGW</v>
          </cell>
        </row>
        <row r="2004">
          <cell r="A2004">
            <v>2004</v>
          </cell>
          <cell r="D2004" t="str">
            <v>DITBAL</v>
          </cell>
          <cell r="E2004" t="str">
            <v>ACCMDIT</v>
          </cell>
          <cell r="F2004">
            <v>0.41164354926701319</v>
          </cell>
          <cell r="G2004">
            <v>0.20153152345826278</v>
          </cell>
          <cell r="H2004">
            <v>0.10668329708257496</v>
          </cell>
          <cell r="I2004">
            <v>0.10312870032775633</v>
          </cell>
          <cell r="J2004">
            <v>3.0002839841909951E-4</v>
          </cell>
          <cell r="K2004">
            <v>0</v>
          </cell>
          <cell r="M2004">
            <v>0.59419421435740905</v>
          </cell>
          <cell r="N2004">
            <v>0.11974886524953421</v>
          </cell>
          <cell r="O2004">
            <v>8.178265820872857E-2</v>
          </cell>
          <cell r="P2004">
            <v>1</v>
          </cell>
          <cell r="Q2004">
            <v>0.10668329708257496</v>
          </cell>
          <cell r="R2004">
            <v>0</v>
          </cell>
          <cell r="S2004" t="str">
            <v>PLNT</v>
          </cell>
          <cell r="T2004">
            <v>1.5409311696176514E-2</v>
          </cell>
          <cell r="U2004">
            <v>4.8303158613720108E-2</v>
          </cell>
          <cell r="V2004">
            <v>2.3250304010724414E-2</v>
          </cell>
          <cell r="W2004">
            <v>2.7243242213148451E-3</v>
          </cell>
          <cell r="X2004">
            <v>1.3441601785820439E-2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D2004">
            <v>282</v>
          </cell>
          <cell r="AE2004" t="str">
            <v>DITBAL</v>
          </cell>
          <cell r="AF2004" t="str">
            <v>282.DITBAL</v>
          </cell>
        </row>
        <row r="2005">
          <cell r="A2005">
            <v>2005</v>
          </cell>
          <cell r="D2005" t="str">
            <v>JBG</v>
          </cell>
          <cell r="E2005" t="str">
            <v>P</v>
          </cell>
          <cell r="F2005">
            <v>9086341.4768929966</v>
          </cell>
          <cell r="G2005">
            <v>9086341.4768929966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M2005">
            <v>0.59419421435740905</v>
          </cell>
          <cell r="N2005">
            <v>5399051.5352455741</v>
          </cell>
          <cell r="O2005">
            <v>3687289.9416474225</v>
          </cell>
          <cell r="P2005">
            <v>1</v>
          </cell>
          <cell r="Q2005">
            <v>0</v>
          </cell>
          <cell r="R2005">
            <v>0</v>
          </cell>
          <cell r="S2005" t="str">
            <v>PLNT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>
            <v>282</v>
          </cell>
          <cell r="AE2005" t="str">
            <v>JBG</v>
          </cell>
          <cell r="AF2005" t="str">
            <v>282.JBG</v>
          </cell>
        </row>
        <row r="2006">
          <cell r="A2006">
            <v>2006</v>
          </cell>
          <cell r="D2006" t="str">
            <v>CIAC</v>
          </cell>
          <cell r="E2006" t="str">
            <v>ACCMDIT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M2006">
            <v>0.59419421435740905</v>
          </cell>
          <cell r="N2006">
            <v>0</v>
          </cell>
          <cell r="O2006">
            <v>0</v>
          </cell>
          <cell r="P2006">
            <v>1</v>
          </cell>
          <cell r="Q2006">
            <v>0</v>
          </cell>
          <cell r="R2006">
            <v>0</v>
          </cell>
          <cell r="S2006" t="str">
            <v>PLNT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D2006">
            <v>282</v>
          </cell>
          <cell r="AE2006" t="str">
            <v>CIAC</v>
          </cell>
          <cell r="AF2006" t="str">
            <v>282.CIAC</v>
          </cell>
        </row>
        <row r="2007">
          <cell r="A2007">
            <v>2007</v>
          </cell>
          <cell r="D2007" t="str">
            <v>SNPD</v>
          </cell>
          <cell r="E2007" t="str">
            <v>PTD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M2007">
            <v>0.59419421435740905</v>
          </cell>
          <cell r="N2007">
            <v>0</v>
          </cell>
          <cell r="O2007">
            <v>0</v>
          </cell>
          <cell r="P2007">
            <v>1</v>
          </cell>
          <cell r="Q2007">
            <v>0</v>
          </cell>
          <cell r="R2007">
            <v>0</v>
          </cell>
          <cell r="S2007" t="str">
            <v>PLNT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D2007">
            <v>282</v>
          </cell>
          <cell r="AE2007" t="str">
            <v>SNPD</v>
          </cell>
          <cell r="AF2007" t="str">
            <v>282.SNPD</v>
          </cell>
        </row>
        <row r="2008">
          <cell r="A2008">
            <v>2008</v>
          </cell>
          <cell r="D2008" t="str">
            <v>SO</v>
          </cell>
          <cell r="E2008" t="str">
            <v>LABOR</v>
          </cell>
          <cell r="F2008">
            <v>-236184.00743269268</v>
          </cell>
          <cell r="G2008">
            <v>-95357.09178108559</v>
          </cell>
          <cell r="H2008">
            <v>-17953.824210403589</v>
          </cell>
          <cell r="I2008">
            <v>-63016.193500514164</v>
          </cell>
          <cell r="J2008">
            <v>-30351.615498972882</v>
          </cell>
          <cell r="K2008">
            <v>-29505.282441716463</v>
          </cell>
          <cell r="M2008">
            <v>0.59419421435740905</v>
          </cell>
          <cell r="N2008">
            <v>-56660.632234269498</v>
          </cell>
          <cell r="O2008">
            <v>-38696.459546816091</v>
          </cell>
          <cell r="P2008">
            <v>1</v>
          </cell>
          <cell r="Q2008">
            <v>-17953.824210403589</v>
          </cell>
          <cell r="R2008">
            <v>0</v>
          </cell>
          <cell r="S2008" t="str">
            <v>DISom</v>
          </cell>
          <cell r="T2008">
            <v>-5205.0728955775494</v>
          </cell>
          <cell r="U2008">
            <v>-54950.500957843382</v>
          </cell>
          <cell r="V2008">
            <v>-460.64559167905759</v>
          </cell>
          <cell r="W2008">
            <v>-2399.9740554141799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D2008">
            <v>282</v>
          </cell>
          <cell r="AE2008" t="str">
            <v>SO</v>
          </cell>
          <cell r="AF2008" t="str">
            <v>282.SO</v>
          </cell>
        </row>
        <row r="2009">
          <cell r="A2009">
            <v>2009</v>
          </cell>
          <cell r="D2009" t="str">
            <v>JBE</v>
          </cell>
          <cell r="E2009" t="str">
            <v>GP</v>
          </cell>
          <cell r="F2009">
            <v>-1813370.8336466833</v>
          </cell>
          <cell r="G2009">
            <v>-856949.97129225242</v>
          </cell>
          <cell r="H2009">
            <v>-449724.64472397696</v>
          </cell>
          <cell r="I2009">
            <v>-494304.72750661412</v>
          </cell>
          <cell r="J2009">
            <v>-12391.490123839763</v>
          </cell>
          <cell r="K2009">
            <v>0</v>
          </cell>
          <cell r="M2009">
            <v>0.59419421435740905</v>
          </cell>
          <cell r="N2009">
            <v>-509194.71493560413</v>
          </cell>
          <cell r="O2009">
            <v>-347755.25635664829</v>
          </cell>
          <cell r="P2009">
            <v>1</v>
          </cell>
          <cell r="Q2009">
            <v>-449724.64472397696</v>
          </cell>
          <cell r="R2009">
            <v>0</v>
          </cell>
          <cell r="S2009" t="str">
            <v>PLNT</v>
          </cell>
          <cell r="T2009">
            <v>-73858.155826996124</v>
          </cell>
          <cell r="U2009">
            <v>-231521.19226152511</v>
          </cell>
          <cell r="V2009">
            <v>-111440.70614621993</v>
          </cell>
          <cell r="W2009">
            <v>-13057.920225668386</v>
          </cell>
          <cell r="X2009">
            <v>-64426.75304620454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>
            <v>282</v>
          </cell>
          <cell r="AE2009" t="str">
            <v>JBE</v>
          </cell>
          <cell r="AF2009" t="str">
            <v>282.JBE</v>
          </cell>
        </row>
        <row r="2010">
          <cell r="A2010">
            <v>2010</v>
          </cell>
          <cell r="D2010" t="str">
            <v>CN</v>
          </cell>
          <cell r="E2010" t="str">
            <v>P</v>
          </cell>
          <cell r="F2010">
            <v>6215.2208663573483</v>
          </cell>
          <cell r="G2010">
            <v>6215.2208663573483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0.59419421435740905</v>
          </cell>
          <cell r="N2010">
            <v>3693.04827974298</v>
          </cell>
          <cell r="O2010">
            <v>2522.1725866143684</v>
          </cell>
          <cell r="P2010">
            <v>1</v>
          </cell>
          <cell r="Q2010">
            <v>0</v>
          </cell>
          <cell r="R2010">
            <v>0</v>
          </cell>
          <cell r="S2010" t="str">
            <v>PLNT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>
            <v>282</v>
          </cell>
          <cell r="AE2010" t="str">
            <v>CN</v>
          </cell>
          <cell r="AF2010" t="str">
            <v>282.CN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-5873054.4238714175</v>
          </cell>
          <cell r="G2011">
            <v>-5873054.4238714175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0.59419421435740905</v>
          </cell>
          <cell r="N2011">
            <v>-3489734.9592705825</v>
          </cell>
          <cell r="O2011">
            <v>-2383319.464600835</v>
          </cell>
          <cell r="P2011">
            <v>1</v>
          </cell>
          <cell r="Q2011">
            <v>0</v>
          </cell>
          <cell r="R2011">
            <v>0</v>
          </cell>
          <cell r="S2011" t="str">
            <v>PLNT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>
            <v>282</v>
          </cell>
          <cell r="AE2011" t="str">
            <v>SG</v>
          </cell>
          <cell r="AF2011" t="str">
            <v>282.SG</v>
          </cell>
        </row>
        <row r="2012">
          <cell r="A2012">
            <v>2012</v>
          </cell>
          <cell r="F2012">
            <v>-244348672.24866128</v>
          </cell>
          <cell r="G2012">
            <v>-112647475.55134696</v>
          </cell>
          <cell r="H2012">
            <v>-61879779.38772051</v>
          </cell>
          <cell r="I2012">
            <v>-68057050.305985093</v>
          </cell>
          <cell r="J2012">
            <v>-1734861.7211669704</v>
          </cell>
          <cell r="K2012">
            <v>-29505.282441716463</v>
          </cell>
          <cell r="N2012">
            <v>-66934478.234578051</v>
          </cell>
          <cell r="O2012">
            <v>-45712997.316768914</v>
          </cell>
          <cell r="Q2012">
            <v>-61879779.38772051</v>
          </cell>
          <cell r="R2012">
            <v>0</v>
          </cell>
          <cell r="T2012">
            <v>-10164755.826370377</v>
          </cell>
          <cell r="U2012">
            <v>-31901823.42851365</v>
          </cell>
          <cell r="V2012">
            <v>-15329675.102930769</v>
          </cell>
          <cell r="W2012">
            <v>-1798580.7990715345</v>
          </cell>
          <cell r="X2012">
            <v>-8862215.1490987632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>
            <v>282</v>
          </cell>
          <cell r="AE2012" t="str">
            <v>NA</v>
          </cell>
          <cell r="AF2012" t="str">
            <v>282.NA1</v>
          </cell>
        </row>
        <row r="2013">
          <cell r="A2013">
            <v>2013</v>
          </cell>
          <cell r="AD2013">
            <v>282</v>
          </cell>
          <cell r="AE2013" t="str">
            <v>NA</v>
          </cell>
          <cell r="AF2013" t="str">
            <v>282.NA2</v>
          </cell>
        </row>
        <row r="2014">
          <cell r="A2014">
            <v>2014</v>
          </cell>
          <cell r="B2014">
            <v>283</v>
          </cell>
          <cell r="C2014" t="str">
            <v xml:space="preserve">Accumulated Deferred Income Taxes </v>
          </cell>
          <cell r="AD2014">
            <v>283</v>
          </cell>
          <cell r="AE2014" t="str">
            <v>NA</v>
          </cell>
          <cell r="AF2014" t="str">
            <v>283.NA</v>
          </cell>
        </row>
        <row r="2015">
          <cell r="A2015">
            <v>2015</v>
          </cell>
          <cell r="D2015" t="str">
            <v>S</v>
          </cell>
          <cell r="E2015" t="str">
            <v>GP</v>
          </cell>
          <cell r="F2015">
            <v>76999.222083333007</v>
          </cell>
          <cell r="G2015">
            <v>36387.748126037404</v>
          </cell>
          <cell r="H2015">
            <v>19096.175560412998</v>
          </cell>
          <cell r="I2015">
            <v>20989.131833328582</v>
          </cell>
          <cell r="J2015">
            <v>526.16656355402097</v>
          </cell>
          <cell r="K2015">
            <v>0</v>
          </cell>
          <cell r="M2015">
            <v>0.59419421435740905</v>
          </cell>
          <cell r="N2015">
            <v>21621.389409986077</v>
          </cell>
          <cell r="O2015">
            <v>14766.358716051325</v>
          </cell>
          <cell r="P2015">
            <v>1</v>
          </cell>
          <cell r="Q2015">
            <v>19096.175560412998</v>
          </cell>
          <cell r="R2015">
            <v>0</v>
          </cell>
          <cell r="S2015" t="str">
            <v>PLNT</v>
          </cell>
          <cell r="T2015">
            <v>3136.1597074723595</v>
          </cell>
          <cell r="U2015">
            <v>9830.8362355719964</v>
          </cell>
          <cell r="V2015">
            <v>4731.987259561346</v>
          </cell>
          <cell r="W2015">
            <v>554.46447066799328</v>
          </cell>
          <cell r="X2015">
            <v>2735.684160054886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>
            <v>283</v>
          </cell>
          <cell r="AE2015" t="str">
            <v>S</v>
          </cell>
          <cell r="AF2015" t="str">
            <v>283.S</v>
          </cell>
        </row>
        <row r="2016">
          <cell r="A2016">
            <v>2016</v>
          </cell>
          <cell r="D2016" t="str">
            <v>CAGW</v>
          </cell>
          <cell r="E2016" t="str">
            <v>P</v>
          </cell>
          <cell r="F2016">
            <v>-160157.77932930388</v>
          </cell>
          <cell r="G2016">
            <v>-160157.77932930388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M2016">
            <v>0.59419421435740905</v>
          </cell>
          <cell r="N2016">
            <v>-95164.825861803009</v>
          </cell>
          <cell r="O2016">
            <v>-64992.953467500876</v>
          </cell>
          <cell r="P2016">
            <v>1</v>
          </cell>
          <cell r="Q2016">
            <v>0</v>
          </cell>
          <cell r="R2016">
            <v>0</v>
          </cell>
          <cell r="S2016" t="str">
            <v>PLNT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D2016">
            <v>283</v>
          </cell>
          <cell r="AE2016" t="str">
            <v>CAGW</v>
          </cell>
          <cell r="AF2016" t="str">
            <v>283.CAGW</v>
          </cell>
        </row>
        <row r="2017">
          <cell r="A2017">
            <v>2017</v>
          </cell>
          <cell r="D2017" t="str">
            <v>SG</v>
          </cell>
          <cell r="E2017" t="str">
            <v>P</v>
          </cell>
          <cell r="F2017">
            <v>-373.40374725936078</v>
          </cell>
          <cell r="G2017">
            <v>-373.40374725936078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M2017">
            <v>0.59419421435740905</v>
          </cell>
          <cell r="N2017">
            <v>-221.8743462408884</v>
          </cell>
          <cell r="O2017">
            <v>-151.52940101847238</v>
          </cell>
          <cell r="P2017">
            <v>1</v>
          </cell>
          <cell r="Q2017">
            <v>0</v>
          </cell>
          <cell r="R2017">
            <v>0</v>
          </cell>
          <cell r="S2017" t="str">
            <v>PLNT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D2017">
            <v>283</v>
          </cell>
          <cell r="AE2017" t="str">
            <v>SG</v>
          </cell>
          <cell r="AF2017" t="str">
            <v>283.SG</v>
          </cell>
        </row>
        <row r="2018">
          <cell r="A2018">
            <v>2018</v>
          </cell>
          <cell r="D2018" t="str">
            <v>SO</v>
          </cell>
          <cell r="E2018" t="str">
            <v>LABOR</v>
          </cell>
          <cell r="F2018">
            <v>-63198.615737185115</v>
          </cell>
          <cell r="G2018">
            <v>-25515.852096826347</v>
          </cell>
          <cell r="H2018">
            <v>-4804.1222164867368</v>
          </cell>
          <cell r="I2018">
            <v>-16862.006202490375</v>
          </cell>
          <cell r="J2018">
            <v>-8121.5494045210444</v>
          </cell>
          <cell r="K2018">
            <v>-7895.0858168606137</v>
          </cell>
          <cell r="M2018">
            <v>0.59419421435740905</v>
          </cell>
          <cell r="N2018">
            <v>-15161.371690333579</v>
          </cell>
          <cell r="O2018">
            <v>-10354.480406492768</v>
          </cell>
          <cell r="P2018">
            <v>1</v>
          </cell>
          <cell r="Q2018">
            <v>-4804.1222164867368</v>
          </cell>
          <cell r="R2018">
            <v>0</v>
          </cell>
          <cell r="S2018" t="str">
            <v>DISom</v>
          </cell>
          <cell r="T2018">
            <v>-1392.7844030904064</v>
          </cell>
          <cell r="U2018">
            <v>-14703.771150086181</v>
          </cell>
          <cell r="V2018">
            <v>-123.26052071010511</v>
          </cell>
          <cell r="W2018">
            <v>-642.1901286036848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>
            <v>283</v>
          </cell>
          <cell r="AE2018" t="str">
            <v>SO</v>
          </cell>
          <cell r="AF2018" t="str">
            <v>283.SO</v>
          </cell>
        </row>
        <row r="2019">
          <cell r="A2019">
            <v>2019</v>
          </cell>
          <cell r="D2019" t="str">
            <v>GPS</v>
          </cell>
          <cell r="E2019" t="str">
            <v>GP</v>
          </cell>
          <cell r="F2019">
            <v>-230854.38068992412</v>
          </cell>
          <cell r="G2019">
            <v>-109095.53150090339</v>
          </cell>
          <cell r="H2019">
            <v>-57252.991176639982</v>
          </cell>
          <cell r="I2019">
            <v>-62928.337449412582</v>
          </cell>
          <cell r="J2019">
            <v>-1577.5205629681502</v>
          </cell>
          <cell r="K2019">
            <v>0</v>
          </cell>
          <cell r="M2019">
            <v>0.59419421435740905</v>
          </cell>
          <cell r="N2019">
            <v>-64823.933630083266</v>
          </cell>
          <cell r="O2019">
            <v>-44271.597870820129</v>
          </cell>
          <cell r="P2019">
            <v>1</v>
          </cell>
          <cell r="Q2019">
            <v>-57252.991176639982</v>
          </cell>
          <cell r="R2019">
            <v>0</v>
          </cell>
          <cell r="S2019" t="str">
            <v>PLNT</v>
          </cell>
          <cell r="T2019">
            <v>-9402.643136182267</v>
          </cell>
          <cell r="U2019">
            <v>-29474.214796233431</v>
          </cell>
          <cell r="V2019">
            <v>-14187.156164466016</v>
          </cell>
          <cell r="W2019">
            <v>-1662.3616255771594</v>
          </cell>
          <cell r="X2019">
            <v>-8201.9617269537048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>
            <v>283</v>
          </cell>
          <cell r="AE2019" t="str">
            <v>GPS</v>
          </cell>
          <cell r="AF2019" t="str">
            <v>283.GPS</v>
          </cell>
        </row>
        <row r="2020">
          <cell r="A2020">
            <v>2020</v>
          </cell>
          <cell r="D2020" t="str">
            <v>SNP</v>
          </cell>
          <cell r="E2020" t="str">
            <v>PTD</v>
          </cell>
          <cell r="F2020">
            <v>-68194.589608705544</v>
          </cell>
          <cell r="G2020">
            <v>-33391.558348128572</v>
          </cell>
          <cell r="H2020">
            <v>-13871.17130221092</v>
          </cell>
          <cell r="I2020">
            <v>-20931.859958366058</v>
          </cell>
          <cell r="J2020">
            <v>0</v>
          </cell>
          <cell r="K2020">
            <v>0</v>
          </cell>
          <cell r="M2020">
            <v>0.59419421435740905</v>
          </cell>
          <cell r="N2020">
            <v>-19841.070778835841</v>
          </cell>
          <cell r="O2020">
            <v>-13550.487569292733</v>
          </cell>
          <cell r="P2020">
            <v>1</v>
          </cell>
          <cell r="Q2020">
            <v>-13871.17130221092</v>
          </cell>
          <cell r="R2020">
            <v>0</v>
          </cell>
          <cell r="S2020" t="str">
            <v>PLNT</v>
          </cell>
          <cell r="T2020">
            <v>-3127.6022431591546</v>
          </cell>
          <cell r="U2020">
            <v>-9804.0113803025324</v>
          </cell>
          <cell r="V2020">
            <v>-4719.0753494925593</v>
          </cell>
          <cell r="W2020">
            <v>-552.95153434993006</v>
          </cell>
          <cell r="X2020">
            <v>-2728.2194510618806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>
            <v>283</v>
          </cell>
          <cell r="AE2020" t="str">
            <v>SNP</v>
          </cell>
          <cell r="AF2020" t="str">
            <v>283.SNP</v>
          </cell>
        </row>
        <row r="2021">
          <cell r="A2021">
            <v>2021</v>
          </cell>
          <cell r="D2021" t="str">
            <v>TROJD</v>
          </cell>
          <cell r="E2021" t="str">
            <v>P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M2021">
            <v>0.59419421435740905</v>
          </cell>
          <cell r="N2021">
            <v>0</v>
          </cell>
          <cell r="O2021">
            <v>0</v>
          </cell>
          <cell r="P2021">
            <v>1</v>
          </cell>
          <cell r="Q2021">
            <v>0</v>
          </cell>
          <cell r="R2021">
            <v>0</v>
          </cell>
          <cell r="S2021" t="str">
            <v>PLNT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>
            <v>283</v>
          </cell>
          <cell r="AE2021" t="str">
            <v>TROJD</v>
          </cell>
          <cell r="AF2021" t="str">
            <v>283.TROJD</v>
          </cell>
        </row>
        <row r="2022">
          <cell r="A2022">
            <v>2022</v>
          </cell>
          <cell r="D2022" t="str">
            <v>SNPD</v>
          </cell>
          <cell r="E2022" t="str">
            <v>DPW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M2022">
            <v>0.59419421435740905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0</v>
          </cell>
          <cell r="S2022" t="str">
            <v>PLNT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D2022">
            <v>283</v>
          </cell>
          <cell r="AE2022" t="str">
            <v>SNPD</v>
          </cell>
          <cell r="AF2022" t="str">
            <v>283.SNPD</v>
          </cell>
        </row>
        <row r="2023">
          <cell r="A2023">
            <v>2023</v>
          </cell>
          <cell r="D2023" t="str">
            <v>JBE</v>
          </cell>
          <cell r="E2023" t="str">
            <v>P</v>
          </cell>
          <cell r="F2023">
            <v>-5069.2951108237385</v>
          </cell>
          <cell r="G2023">
            <v>-5069.2951108237385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M2023">
            <v>0.59419421435740905</v>
          </cell>
          <cell r="N2023">
            <v>-3012.145825721766</v>
          </cell>
          <cell r="O2023">
            <v>-2057.1492851019725</v>
          </cell>
          <cell r="P2023">
            <v>1</v>
          </cell>
          <cell r="Q2023">
            <v>0</v>
          </cell>
          <cell r="R2023">
            <v>0</v>
          </cell>
          <cell r="S2023" t="str">
            <v>PLNT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D2023">
            <v>283</v>
          </cell>
          <cell r="AE2023" t="str">
            <v>JBE</v>
          </cell>
          <cell r="AF2023" t="str">
            <v>283.JBE</v>
          </cell>
        </row>
        <row r="2024">
          <cell r="A2024">
            <v>2024</v>
          </cell>
          <cell r="F2024">
            <v>-450848.84213986876</v>
          </cell>
          <cell r="G2024">
            <v>-297215.67200720793</v>
          </cell>
          <cell r="H2024">
            <v>-56832.109134924642</v>
          </cell>
          <cell r="I2024">
            <v>-79733.071776940429</v>
          </cell>
          <cell r="J2024">
            <v>-9172.9034039351736</v>
          </cell>
          <cell r="K2024">
            <v>-7895.0858168606137</v>
          </cell>
          <cell r="N2024">
            <v>-176603.83272303225</v>
          </cell>
          <cell r="O2024">
            <v>-120611.83928417561</v>
          </cell>
          <cell r="Q2024">
            <v>-56832.109134924642</v>
          </cell>
          <cell r="R2024">
            <v>0</v>
          </cell>
          <cell r="T2024">
            <v>-10786.870074959468</v>
          </cell>
          <cell r="U2024">
            <v>-44151.161091050148</v>
          </cell>
          <cell r="V2024">
            <v>-14297.504775107334</v>
          </cell>
          <cell r="W2024">
            <v>-2303.0388178627809</v>
          </cell>
          <cell r="X2024">
            <v>-8194.4970179606989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D2024">
            <v>283</v>
          </cell>
          <cell r="AE2024" t="str">
            <v>NA</v>
          </cell>
          <cell r="AF2024" t="str">
            <v>283.NA1</v>
          </cell>
        </row>
        <row r="2025">
          <cell r="A2025">
            <v>2025</v>
          </cell>
          <cell r="AD2025">
            <v>283</v>
          </cell>
          <cell r="AE2025" t="str">
            <v>NA</v>
          </cell>
          <cell r="AF2025" t="str">
            <v>283.NA2</v>
          </cell>
        </row>
        <row r="2026">
          <cell r="A2026">
            <v>2026</v>
          </cell>
          <cell r="B2026" t="str">
            <v>TOTAL ACCUMULATED DEF INCOME TAX</v>
          </cell>
          <cell r="F2026">
            <v>-235998947.53391179</v>
          </cell>
          <cell r="G2026">
            <v>-105106454.814427</v>
          </cell>
          <cell r="H2026">
            <v>-61865739.405652247</v>
          </cell>
          <cell r="I2026">
            <v>-67800373.416810155</v>
          </cell>
          <cell r="J2026">
            <v>-1305450.6011028229</v>
          </cell>
          <cell r="K2026">
            <v>79070.704080460331</v>
          </cell>
          <cell r="N2026">
            <v>-62453647.342350967</v>
          </cell>
          <cell r="O2026">
            <v>-42652807.472076043</v>
          </cell>
          <cell r="Q2026">
            <v>-61865739.405652247</v>
          </cell>
          <cell r="R2026">
            <v>0</v>
          </cell>
          <cell r="T2026">
            <v>-10141898.48456043</v>
          </cell>
          <cell r="U2026">
            <v>-31688003.43408788</v>
          </cell>
          <cell r="V2026">
            <v>-15322392.291627871</v>
          </cell>
          <cell r="W2026">
            <v>-1789094.4451420731</v>
          </cell>
          <cell r="X2026">
            <v>-8858984.7613919023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TOTAL ACCUMULATED DEF INCOME TAX</v>
          </cell>
          <cell r="AE2026" t="str">
            <v>NA</v>
          </cell>
          <cell r="AF2026" t="str">
            <v>TOTAL ACCUMULATED DEF INCOME TAX.NA</v>
          </cell>
        </row>
        <row r="2027">
          <cell r="A2027">
            <v>2027</v>
          </cell>
          <cell r="AD2027" t="str">
            <v>TOTAL ACCUMULATED DEF INCOME TAX</v>
          </cell>
          <cell r="AE2027" t="str">
            <v>NA</v>
          </cell>
          <cell r="AF2027" t="str">
            <v>TOTAL ACCUMULATED DEF INCOME TAX.NA1</v>
          </cell>
        </row>
        <row r="2028">
          <cell r="A2028">
            <v>2028</v>
          </cell>
          <cell r="B2028">
            <v>255</v>
          </cell>
          <cell r="C2028" t="str">
            <v>Accumulated Investment Tax Credit</v>
          </cell>
          <cell r="AD2028">
            <v>255</v>
          </cell>
          <cell r="AE2028" t="str">
            <v>NA</v>
          </cell>
          <cell r="AF2028" t="str">
            <v>255.NA</v>
          </cell>
        </row>
        <row r="2029">
          <cell r="A2029">
            <v>2029</v>
          </cell>
          <cell r="D2029" t="str">
            <v>SG</v>
          </cell>
          <cell r="E2029" t="str">
            <v>PTD</v>
          </cell>
          <cell r="F2029">
            <v>-17369.988623859608</v>
          </cell>
          <cell r="G2029">
            <v>-8505.2346816366044</v>
          </cell>
          <cell r="H2029">
            <v>-3533.15547613844</v>
          </cell>
          <cell r="I2029">
            <v>-5331.5984660845643</v>
          </cell>
          <cell r="J2029">
            <v>0</v>
          </cell>
          <cell r="K2029">
            <v>0</v>
          </cell>
          <cell r="M2029">
            <v>0.59419421435740905</v>
          </cell>
          <cell r="N2029">
            <v>-5053.7612395804499</v>
          </cell>
          <cell r="O2029">
            <v>-3451.473442056154</v>
          </cell>
          <cell r="P2029">
            <v>1</v>
          </cell>
          <cell r="Q2029">
            <v>-3533.15547613844</v>
          </cell>
          <cell r="R2029">
            <v>0</v>
          </cell>
          <cell r="S2029" t="str">
            <v>PLNT</v>
          </cell>
          <cell r="T2029">
            <v>-796.63820393014191</v>
          </cell>
          <cell r="U2029">
            <v>-2497.2005421718327</v>
          </cell>
          <cell r="V2029">
            <v>-1202.00569585007</v>
          </cell>
          <cell r="W2029">
            <v>-140.84345864261761</v>
          </cell>
          <cell r="X2029">
            <v>-694.91056548990207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>
            <v>255</v>
          </cell>
          <cell r="AE2029" t="str">
            <v>SG</v>
          </cell>
          <cell r="AF2029" t="str">
            <v>255.SG</v>
          </cell>
        </row>
        <row r="2030">
          <cell r="A2030">
            <v>2030</v>
          </cell>
          <cell r="D2030" t="str">
            <v>ITC84</v>
          </cell>
          <cell r="E2030" t="str">
            <v>PTD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M2030">
            <v>0.59419421435740905</v>
          </cell>
          <cell r="N2030">
            <v>0</v>
          </cell>
          <cell r="O2030">
            <v>0</v>
          </cell>
          <cell r="P2030">
            <v>1</v>
          </cell>
          <cell r="Q2030">
            <v>0</v>
          </cell>
          <cell r="R2030">
            <v>0</v>
          </cell>
          <cell r="S2030" t="str">
            <v>PLNT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D2030">
            <v>255</v>
          </cell>
          <cell r="AE2030" t="str">
            <v>ITC84</v>
          </cell>
          <cell r="AF2030" t="str">
            <v>255.ITC84</v>
          </cell>
        </row>
        <row r="2031">
          <cell r="A2031">
            <v>2031</v>
          </cell>
          <cell r="D2031" t="str">
            <v>ITC85</v>
          </cell>
          <cell r="E2031" t="str">
            <v>PTD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M2031">
            <v>0.59419421435740905</v>
          </cell>
          <cell r="N2031">
            <v>0</v>
          </cell>
          <cell r="O2031">
            <v>0</v>
          </cell>
          <cell r="P2031">
            <v>1</v>
          </cell>
          <cell r="Q2031">
            <v>0</v>
          </cell>
          <cell r="R2031">
            <v>0</v>
          </cell>
          <cell r="S2031" t="str">
            <v>PLNT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D2031">
            <v>255</v>
          </cell>
          <cell r="AE2031" t="str">
            <v>ITC85</v>
          </cell>
          <cell r="AF2031" t="str">
            <v>255.ITC85</v>
          </cell>
        </row>
        <row r="2032">
          <cell r="A2032">
            <v>2032</v>
          </cell>
          <cell r="D2032" t="str">
            <v>ITC86</v>
          </cell>
          <cell r="E2032" t="str">
            <v>PTD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0.59419421435740905</v>
          </cell>
          <cell r="N2032">
            <v>0</v>
          </cell>
          <cell r="O2032">
            <v>0</v>
          </cell>
          <cell r="P2032">
            <v>1</v>
          </cell>
          <cell r="Q2032">
            <v>0</v>
          </cell>
          <cell r="R2032">
            <v>0</v>
          </cell>
          <cell r="S2032" t="str">
            <v>PLNT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>
            <v>255</v>
          </cell>
          <cell r="AE2032" t="str">
            <v>ITC86</v>
          </cell>
          <cell r="AF2032" t="str">
            <v>255.ITC86</v>
          </cell>
        </row>
        <row r="2033">
          <cell r="A2033">
            <v>2033</v>
          </cell>
          <cell r="D2033" t="str">
            <v>ITC88</v>
          </cell>
          <cell r="E2033" t="str">
            <v>PTD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0.59419421435740905</v>
          </cell>
          <cell r="N2033">
            <v>0</v>
          </cell>
          <cell r="O2033">
            <v>0</v>
          </cell>
          <cell r="P2033">
            <v>1</v>
          </cell>
          <cell r="Q2033">
            <v>0</v>
          </cell>
          <cell r="R2033">
            <v>0</v>
          </cell>
          <cell r="S2033" t="str">
            <v>PLNT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>
            <v>255</v>
          </cell>
          <cell r="AE2033" t="str">
            <v>ITC88</v>
          </cell>
          <cell r="AF2033" t="str">
            <v>255.ITC88</v>
          </cell>
        </row>
        <row r="2034">
          <cell r="A2034">
            <v>2034</v>
          </cell>
          <cell r="D2034" t="str">
            <v>ITC89</v>
          </cell>
          <cell r="E2034" t="str">
            <v>PTD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0.59419421435740905</v>
          </cell>
          <cell r="N2034">
            <v>0</v>
          </cell>
          <cell r="O2034">
            <v>0</v>
          </cell>
          <cell r="P2034">
            <v>1</v>
          </cell>
          <cell r="Q2034">
            <v>0</v>
          </cell>
          <cell r="R2034">
            <v>0</v>
          </cell>
          <cell r="S2034" t="str">
            <v>PLNT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>
            <v>255</v>
          </cell>
          <cell r="AE2034" t="str">
            <v>ITC89</v>
          </cell>
          <cell r="AF2034" t="str">
            <v>255.ITC89</v>
          </cell>
        </row>
        <row r="2035">
          <cell r="A2035">
            <v>2035</v>
          </cell>
          <cell r="D2035" t="str">
            <v>ITC90</v>
          </cell>
          <cell r="E2035" t="str">
            <v>PTD</v>
          </cell>
          <cell r="F2035">
            <v>-2227.471704</v>
          </cell>
          <cell r="G2035">
            <v>-1090.6840527921643</v>
          </cell>
          <cell r="H2035">
            <v>-453.080541349388</v>
          </cell>
          <cell r="I2035">
            <v>-683.70710985844789</v>
          </cell>
          <cell r="J2035">
            <v>0</v>
          </cell>
          <cell r="K2035">
            <v>0</v>
          </cell>
          <cell r="M2035">
            <v>0.59419421435740905</v>
          </cell>
          <cell r="N2035">
            <v>-648.07815386099492</v>
          </cell>
          <cell r="O2035">
            <v>-442.60589893116935</v>
          </cell>
          <cell r="P2035">
            <v>1</v>
          </cell>
          <cell r="Q2035">
            <v>-453.080541349388</v>
          </cell>
          <cell r="R2035">
            <v>0</v>
          </cell>
          <cell r="S2035" t="str">
            <v>PLNT</v>
          </cell>
          <cell r="T2035">
            <v>-102.15833159166927</v>
          </cell>
          <cell r="U2035">
            <v>-320.23299884379787</v>
          </cell>
          <cell r="V2035">
            <v>-154.14136033889559</v>
          </cell>
          <cell r="W2035">
            <v>-18.06131400621582</v>
          </cell>
          <cell r="X2035">
            <v>-89.113105077869307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>
            <v>255</v>
          </cell>
          <cell r="AE2035" t="str">
            <v>ITC90</v>
          </cell>
          <cell r="AF2035" t="str">
            <v>255.ITC90</v>
          </cell>
        </row>
        <row r="2036">
          <cell r="A2036">
            <v>2036</v>
          </cell>
          <cell r="D2036" t="str">
            <v>DGU</v>
          </cell>
          <cell r="E2036" t="str">
            <v>PTD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0.59419421435740905</v>
          </cell>
          <cell r="N2036">
            <v>0</v>
          </cell>
          <cell r="O2036">
            <v>0</v>
          </cell>
          <cell r="P2036">
            <v>1</v>
          </cell>
          <cell r="Q2036">
            <v>0</v>
          </cell>
          <cell r="R2036">
            <v>0</v>
          </cell>
          <cell r="S2036" t="str">
            <v>PLNT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>
            <v>255</v>
          </cell>
          <cell r="AE2036" t="str">
            <v>DGU</v>
          </cell>
          <cell r="AF2036" t="str">
            <v>255.DGU</v>
          </cell>
        </row>
        <row r="2037">
          <cell r="A2037">
            <v>2037</v>
          </cell>
          <cell r="F2037">
            <v>-19597.460327859608</v>
          </cell>
          <cell r="G2037">
            <v>-9595.9187344287693</v>
          </cell>
          <cell r="H2037">
            <v>-3986.2360174878281</v>
          </cell>
          <cell r="I2037">
            <v>-6015.3055759430117</v>
          </cell>
          <cell r="J2037">
            <v>0</v>
          </cell>
          <cell r="K2037">
            <v>0</v>
          </cell>
          <cell r="N2037">
            <v>-5701.8393934414453</v>
          </cell>
          <cell r="O2037">
            <v>-3894.0793409873231</v>
          </cell>
          <cell r="Q2037">
            <v>-3986.2360174878281</v>
          </cell>
          <cell r="R2037">
            <v>0</v>
          </cell>
          <cell r="T2037">
            <v>-898.79653552181117</v>
          </cell>
          <cell r="U2037">
            <v>-2817.4335410156305</v>
          </cell>
          <cell r="V2037">
            <v>-1356.1470561889655</v>
          </cell>
          <cell r="W2037">
            <v>-158.90477264883341</v>
          </cell>
          <cell r="X2037">
            <v>-784.02367056777143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>
            <v>255</v>
          </cell>
          <cell r="AE2037" t="str">
            <v>NA</v>
          </cell>
          <cell r="AF2037" t="str">
            <v>255.NA1</v>
          </cell>
        </row>
        <row r="2038">
          <cell r="A2038">
            <v>2038</v>
          </cell>
          <cell r="AD2038">
            <v>255</v>
          </cell>
          <cell r="AE2038" t="str">
            <v>NA</v>
          </cell>
          <cell r="AF2038" t="str">
            <v>255.NA2</v>
          </cell>
        </row>
        <row r="2039">
          <cell r="A2039">
            <v>2039</v>
          </cell>
          <cell r="B2039" t="str">
            <v>TOTAL RATE DRB DEDUCTIONS</v>
          </cell>
          <cell r="F2039">
            <v>-293283130.70543873</v>
          </cell>
          <cell r="G2039">
            <v>-157071716.96466792</v>
          </cell>
          <cell r="H2039">
            <v>-61869725.641669735</v>
          </cell>
          <cell r="I2039">
            <v>-70286202.047912002</v>
          </cell>
          <cell r="J2039">
            <v>-4134556.7552694897</v>
          </cell>
          <cell r="K2039">
            <v>79070.704080460331</v>
          </cell>
          <cell r="N2039">
            <v>-93331105.459590197</v>
          </cell>
          <cell r="O2039">
            <v>-63740611.505077757</v>
          </cell>
          <cell r="Q2039">
            <v>-61869725.641669735</v>
          </cell>
          <cell r="R2039">
            <v>0</v>
          </cell>
          <cell r="T2039">
            <v>-10513326.69104602</v>
          </cell>
          <cell r="U2039">
            <v>-32852309.531934854</v>
          </cell>
          <cell r="V2039">
            <v>-15882820.874631412</v>
          </cell>
          <cell r="W2039">
            <v>-1854761.9375881699</v>
          </cell>
          <cell r="X2039">
            <v>-9182983.0127115622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D2039" t="str">
            <v>TOTAL RATE DRB DEDUCTIONS</v>
          </cell>
          <cell r="AE2039" t="str">
            <v>NA</v>
          </cell>
          <cell r="AF2039" t="str">
            <v>TOTAL RATE DRB DEDUCTIONS.NA</v>
          </cell>
        </row>
        <row r="2040">
          <cell r="A2040">
            <v>2040</v>
          </cell>
          <cell r="AD2040" t="str">
            <v>TOTAL RATE DRB DEDUCTIONS</v>
          </cell>
          <cell r="AE2040" t="str">
            <v>NA</v>
          </cell>
          <cell r="AF2040" t="str">
            <v>TOTAL RATE DRB DEDUCTIONS.NA1</v>
          </cell>
        </row>
        <row r="2041">
          <cell r="A2041">
            <v>2041</v>
          </cell>
          <cell r="B2041" t="str">
            <v>108SP</v>
          </cell>
          <cell r="C2041" t="str">
            <v>Steam Prod Plant Accumulated Depr</v>
          </cell>
          <cell r="AD2041" t="str">
            <v>108SP</v>
          </cell>
          <cell r="AE2041" t="str">
            <v>NA</v>
          </cell>
          <cell r="AF2041" t="str">
            <v>108SP.NA</v>
          </cell>
        </row>
        <row r="2042">
          <cell r="A2042">
            <v>2042</v>
          </cell>
          <cell r="AD2042" t="str">
            <v>108SP</v>
          </cell>
          <cell r="AE2042" t="str">
            <v>NA</v>
          </cell>
          <cell r="AF2042" t="str">
            <v>108SP.NA1</v>
          </cell>
        </row>
        <row r="2043">
          <cell r="A2043">
            <v>2043</v>
          </cell>
          <cell r="D2043" t="str">
            <v>SGP</v>
          </cell>
          <cell r="E2043" t="str">
            <v>P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M2043">
            <v>0.59419421435740905</v>
          </cell>
          <cell r="N2043">
            <v>0</v>
          </cell>
          <cell r="O2043">
            <v>0</v>
          </cell>
          <cell r="Q2043">
            <v>0</v>
          </cell>
          <cell r="R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D2043" t="str">
            <v>108SP</v>
          </cell>
          <cell r="AE2043" t="str">
            <v>SGP</v>
          </cell>
          <cell r="AF2043" t="str">
            <v>108SP.SGP</v>
          </cell>
        </row>
        <row r="2044">
          <cell r="A2044">
            <v>2044</v>
          </cell>
          <cell r="D2044" t="str">
            <v>DGU/DGP</v>
          </cell>
          <cell r="E2044" t="str">
            <v>P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M2044">
            <v>0.59419421435740905</v>
          </cell>
          <cell r="N2044">
            <v>0</v>
          </cell>
          <cell r="O2044">
            <v>0</v>
          </cell>
          <cell r="Q2044">
            <v>0</v>
          </cell>
          <cell r="R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108SP</v>
          </cell>
          <cell r="AE2044" t="str">
            <v>DGU/DGP</v>
          </cell>
          <cell r="AF2044" t="str">
            <v>108SP.DGU/DGP</v>
          </cell>
        </row>
        <row r="2045">
          <cell r="A2045">
            <v>2045</v>
          </cell>
          <cell r="D2045" t="str">
            <v>SG</v>
          </cell>
          <cell r="E2045" t="str">
            <v>P</v>
          </cell>
          <cell r="F2045">
            <v>-7275532.3668136876</v>
          </cell>
          <cell r="G2045">
            <v>-7275532.3668136876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M2045">
            <v>0.59419421435740905</v>
          </cell>
          <cell r="N2045">
            <v>-4323079.2387307603</v>
          </cell>
          <cell r="O2045">
            <v>-2952453.1280829278</v>
          </cell>
          <cell r="Q2045">
            <v>0</v>
          </cell>
          <cell r="R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D2045" t="str">
            <v>108SP</v>
          </cell>
          <cell r="AE2045" t="str">
            <v>SG</v>
          </cell>
          <cell r="AF2045" t="str">
            <v>108SP.SG</v>
          </cell>
        </row>
        <row r="2046">
          <cell r="A2046">
            <v>2046</v>
          </cell>
          <cell r="D2046" t="str">
            <v>CAGW</v>
          </cell>
          <cell r="E2046" t="str">
            <v>P</v>
          </cell>
          <cell r="F2046">
            <v>-9147374.6324637718</v>
          </cell>
          <cell r="G2046">
            <v>-9147374.6324637718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M2046">
            <v>0.59419421435740905</v>
          </cell>
          <cell r="N2046">
            <v>-5435317.0831697043</v>
          </cell>
          <cell r="O2046">
            <v>-3712057.5492940675</v>
          </cell>
          <cell r="Q2046">
            <v>0</v>
          </cell>
          <cell r="R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D2046" t="str">
            <v>108SP</v>
          </cell>
          <cell r="AE2046" t="str">
            <v>CAGW</v>
          </cell>
          <cell r="AF2046" t="str">
            <v>108SP.CAGW</v>
          </cell>
        </row>
        <row r="2047">
          <cell r="A2047">
            <v>2047</v>
          </cell>
          <cell r="D2047" t="str">
            <v>JBG</v>
          </cell>
          <cell r="E2047" t="str">
            <v>P</v>
          </cell>
          <cell r="F2047">
            <v>-151789285.80289385</v>
          </cell>
          <cell r="G2047">
            <v>-151789285.80289385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M2047">
            <v>0.59419421435740905</v>
          </cell>
          <cell r="N2047">
            <v>-90192315.42552273</v>
          </cell>
          <cell r="O2047">
            <v>-61596970.377371117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108SP</v>
          </cell>
          <cell r="AE2047" t="str">
            <v>JBG</v>
          </cell>
          <cell r="AF2047" t="str">
            <v>108SP.JBG</v>
          </cell>
        </row>
        <row r="2048">
          <cell r="A2048">
            <v>2048</v>
          </cell>
          <cell r="F2048">
            <v>-168212192.80217132</v>
          </cell>
          <cell r="G2048">
            <v>-168212192.80217132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N2048">
            <v>-99950711.747423202</v>
          </cell>
          <cell r="O2048">
            <v>-68261481.054748118</v>
          </cell>
          <cell r="Q2048">
            <v>0</v>
          </cell>
          <cell r="R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108SP</v>
          </cell>
          <cell r="AE2048" t="str">
            <v>NA</v>
          </cell>
          <cell r="AF2048" t="str">
            <v>108SP.NA2</v>
          </cell>
        </row>
        <row r="2049">
          <cell r="A2049">
            <v>2049</v>
          </cell>
          <cell r="AD2049" t="str">
            <v>108SP</v>
          </cell>
          <cell r="AE2049" t="str">
            <v>NA</v>
          </cell>
          <cell r="AF2049" t="str">
            <v>108SP.NA3</v>
          </cell>
        </row>
        <row r="2050">
          <cell r="A2050">
            <v>2050</v>
          </cell>
          <cell r="B2050" t="str">
            <v>108NP</v>
          </cell>
          <cell r="C2050" t="str">
            <v>Nuclear Prod Plant Accumulated Depr</v>
          </cell>
          <cell r="AD2050" t="str">
            <v>108NP</v>
          </cell>
          <cell r="AE2050" t="str">
            <v>NA</v>
          </cell>
          <cell r="AF2050" t="str">
            <v>108NP.NA</v>
          </cell>
        </row>
        <row r="2051">
          <cell r="A2051">
            <v>2051</v>
          </cell>
          <cell r="D2051" t="str">
            <v>DGP</v>
          </cell>
          <cell r="E2051" t="str">
            <v>P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M2051">
            <v>0.59419421435740905</v>
          </cell>
          <cell r="N2051">
            <v>0</v>
          </cell>
          <cell r="O2051">
            <v>0</v>
          </cell>
          <cell r="Q2051">
            <v>0</v>
          </cell>
          <cell r="R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D2051" t="str">
            <v>108NP</v>
          </cell>
          <cell r="AE2051" t="str">
            <v>DGP</v>
          </cell>
          <cell r="AF2051" t="str">
            <v>108NP.DGP</v>
          </cell>
        </row>
        <row r="2052">
          <cell r="A2052">
            <v>2052</v>
          </cell>
          <cell r="D2052" t="str">
            <v>DGU</v>
          </cell>
          <cell r="E2052" t="str">
            <v>P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M2052">
            <v>0.59419421435740905</v>
          </cell>
          <cell r="N2052">
            <v>0</v>
          </cell>
          <cell r="O2052">
            <v>0</v>
          </cell>
          <cell r="Q2052">
            <v>0</v>
          </cell>
          <cell r="R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D2052" t="str">
            <v>108NP</v>
          </cell>
          <cell r="AE2052" t="str">
            <v>DGU</v>
          </cell>
          <cell r="AF2052" t="str">
            <v>108NP.DGU</v>
          </cell>
        </row>
        <row r="2053">
          <cell r="A2053">
            <v>2053</v>
          </cell>
          <cell r="D2053" t="str">
            <v>SG</v>
          </cell>
          <cell r="E2053" t="str">
            <v>P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M2053">
            <v>0.59419421435740905</v>
          </cell>
          <cell r="N2053">
            <v>0</v>
          </cell>
          <cell r="O2053">
            <v>0</v>
          </cell>
          <cell r="Q2053">
            <v>0</v>
          </cell>
          <cell r="R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 t="str">
            <v>108NP</v>
          </cell>
          <cell r="AE2053" t="str">
            <v>SG</v>
          </cell>
          <cell r="AF2053" t="str">
            <v>108NP.SG</v>
          </cell>
        </row>
        <row r="2054">
          <cell r="A2054">
            <v>2054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 t="str">
            <v>108NP</v>
          </cell>
          <cell r="AE2054" t="str">
            <v>NA</v>
          </cell>
          <cell r="AF2054" t="str">
            <v>108NP.NA1</v>
          </cell>
        </row>
        <row r="2055">
          <cell r="A2055">
            <v>2055</v>
          </cell>
          <cell r="AD2055" t="str">
            <v>108NP</v>
          </cell>
          <cell r="AE2055" t="str">
            <v>NA</v>
          </cell>
          <cell r="AF2055" t="str">
            <v>108NP.NA2</v>
          </cell>
        </row>
        <row r="2056">
          <cell r="A2056">
            <v>2056</v>
          </cell>
          <cell r="AD2056" t="str">
            <v>108NP</v>
          </cell>
          <cell r="AE2056" t="str">
            <v>NA</v>
          </cell>
          <cell r="AF2056" t="str">
            <v>108NP.NA3</v>
          </cell>
        </row>
        <row r="2057">
          <cell r="A2057">
            <v>2057</v>
          </cell>
          <cell r="B2057" t="str">
            <v>108HP</v>
          </cell>
          <cell r="C2057" t="str">
            <v>Hydraulic Prod Plant Accum Depr</v>
          </cell>
          <cell r="AD2057" t="str">
            <v>108HP</v>
          </cell>
          <cell r="AE2057" t="str">
            <v>NA</v>
          </cell>
          <cell r="AF2057" t="str">
            <v>108HP.NA</v>
          </cell>
        </row>
        <row r="2058">
          <cell r="A2058">
            <v>2058</v>
          </cell>
          <cell r="D2058" t="str">
            <v>SG</v>
          </cell>
          <cell r="E2058" t="str">
            <v>P</v>
          </cell>
          <cell r="F2058">
            <v>-30964535.473304197</v>
          </cell>
          <cell r="G2058">
            <v>-30964535.473304197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M2058">
            <v>0.59419421435740905</v>
          </cell>
          <cell r="N2058">
            <v>-18398947.828502111</v>
          </cell>
          <cell r="O2058">
            <v>-12565587.644802086</v>
          </cell>
          <cell r="Q2058">
            <v>0</v>
          </cell>
          <cell r="R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 t="str">
            <v>108HP</v>
          </cell>
          <cell r="AE2058" t="str">
            <v>SG</v>
          </cell>
          <cell r="AF2058" t="str">
            <v>108HP.SG</v>
          </cell>
        </row>
        <row r="2059">
          <cell r="A2059">
            <v>2059</v>
          </cell>
          <cell r="D2059" t="str">
            <v>DGU/DGP</v>
          </cell>
          <cell r="E2059" t="str">
            <v>P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M2059">
            <v>0.59419421435740905</v>
          </cell>
          <cell r="N2059">
            <v>0</v>
          </cell>
          <cell r="O2059">
            <v>0</v>
          </cell>
          <cell r="Q2059">
            <v>0</v>
          </cell>
          <cell r="R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D2059" t="str">
            <v>108HP</v>
          </cell>
          <cell r="AE2059" t="str">
            <v>DGU/DGP</v>
          </cell>
          <cell r="AF2059" t="str">
            <v>108HP.DGU/DGP</v>
          </cell>
        </row>
        <row r="2060">
          <cell r="A2060">
            <v>2060</v>
          </cell>
          <cell r="D2060" t="str">
            <v>CAGW</v>
          </cell>
          <cell r="E2060" t="str">
            <v>P</v>
          </cell>
          <cell r="F2060">
            <v>-20296016.789145097</v>
          </cell>
          <cell r="G2060">
            <v>-20296016.789145097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M2060">
            <v>0.59419421435740905</v>
          </cell>
          <cell r="N2060">
            <v>-12059775.750610854</v>
          </cell>
          <cell r="O2060">
            <v>-8236241.0385342427</v>
          </cell>
          <cell r="Q2060">
            <v>0</v>
          </cell>
          <cell r="R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D2060" t="str">
            <v>108HP</v>
          </cell>
          <cell r="AE2060" t="str">
            <v>CAGW</v>
          </cell>
          <cell r="AF2060" t="str">
            <v>108HP.CAGW</v>
          </cell>
        </row>
        <row r="2061">
          <cell r="A2061">
            <v>2061</v>
          </cell>
          <cell r="D2061" t="str">
            <v>SG/CAGE/CAGW</v>
          </cell>
          <cell r="E2061" t="str">
            <v>P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M2061">
            <v>0.59419421435740905</v>
          </cell>
          <cell r="N2061">
            <v>0</v>
          </cell>
          <cell r="O2061">
            <v>0</v>
          </cell>
          <cell r="Q2061">
            <v>0</v>
          </cell>
          <cell r="R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 t="str">
            <v>108HP</v>
          </cell>
          <cell r="AE2061" t="str">
            <v>SG/CAGE/CAGW</v>
          </cell>
          <cell r="AF2061" t="str">
            <v>108HP.SG/CAGE/CAGW</v>
          </cell>
        </row>
        <row r="2062">
          <cell r="A2062">
            <v>2062</v>
          </cell>
          <cell r="F2062">
            <v>-51260552.262449294</v>
          </cell>
          <cell r="G2062">
            <v>-51260552.262449294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N2062">
            <v>-30458723.579112966</v>
          </cell>
          <cell r="O2062">
            <v>-20801828.683336329</v>
          </cell>
          <cell r="Q2062">
            <v>0</v>
          </cell>
          <cell r="R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 t="str">
            <v>108HP</v>
          </cell>
          <cell r="AE2062" t="str">
            <v>NA</v>
          </cell>
          <cell r="AF2062" t="str">
            <v>108HP.NA1</v>
          </cell>
        </row>
        <row r="2063">
          <cell r="A2063">
            <v>2063</v>
          </cell>
          <cell r="AD2063" t="str">
            <v>108HP</v>
          </cell>
          <cell r="AE2063" t="str">
            <v>NA</v>
          </cell>
          <cell r="AF2063" t="str">
            <v>108HP.NA2</v>
          </cell>
        </row>
        <row r="2064">
          <cell r="A2064">
            <v>2064</v>
          </cell>
          <cell r="B2064" t="str">
            <v>108OP</v>
          </cell>
          <cell r="C2064" t="str">
            <v>Other Generation Plant - Accum Depr</v>
          </cell>
          <cell r="AD2064" t="str">
            <v>108OP</v>
          </cell>
          <cell r="AE2064" t="str">
            <v>NA</v>
          </cell>
          <cell r="AF2064" t="str">
            <v>108OP.NA</v>
          </cell>
        </row>
        <row r="2065">
          <cell r="A2065">
            <v>2065</v>
          </cell>
          <cell r="D2065" t="str">
            <v>S</v>
          </cell>
          <cell r="E2065" t="str">
            <v>P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M2065">
            <v>0.59419421435740905</v>
          </cell>
          <cell r="N2065">
            <v>0</v>
          </cell>
          <cell r="O2065">
            <v>0</v>
          </cell>
          <cell r="Q2065">
            <v>0</v>
          </cell>
          <cell r="R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 t="str">
            <v>108OP</v>
          </cell>
          <cell r="AE2065" t="str">
            <v>S</v>
          </cell>
          <cell r="AF2065" t="str">
            <v>108OP.S</v>
          </cell>
        </row>
        <row r="2066">
          <cell r="A2066">
            <v>2066</v>
          </cell>
          <cell r="D2066" t="str">
            <v>SGU</v>
          </cell>
          <cell r="E2066" t="str">
            <v>P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M2066">
            <v>0.59419421435740905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 t="str">
            <v>108OP</v>
          </cell>
          <cell r="AE2066" t="str">
            <v>SGU</v>
          </cell>
          <cell r="AF2066" t="str">
            <v>108OP.SGU</v>
          </cell>
        </row>
        <row r="2067">
          <cell r="A2067">
            <v>2067</v>
          </cell>
          <cell r="D2067" t="str">
            <v>SG-P</v>
          </cell>
          <cell r="E2067" t="str">
            <v>P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M2067">
            <v>0.59419421435740905</v>
          </cell>
          <cell r="N2067">
            <v>0</v>
          </cell>
          <cell r="O2067">
            <v>0</v>
          </cell>
          <cell r="Q2067">
            <v>0</v>
          </cell>
          <cell r="R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D2067" t="str">
            <v>108OP</v>
          </cell>
          <cell r="AE2067" t="str">
            <v>SG-P</v>
          </cell>
          <cell r="AF2067" t="str">
            <v>108OP.SG-P</v>
          </cell>
        </row>
        <row r="2068">
          <cell r="A2068">
            <v>2068</v>
          </cell>
          <cell r="D2068" t="str">
            <v>SG</v>
          </cell>
          <cell r="E2068" t="str">
            <v>P</v>
          </cell>
          <cell r="F2068">
            <v>25935761.323484868</v>
          </cell>
          <cell r="G2068">
            <v>25935761.323484868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M2068">
            <v>0.59419421435740905</v>
          </cell>
          <cell r="N2068">
            <v>15410879.323369367</v>
          </cell>
          <cell r="O2068">
            <v>10524882.000115501</v>
          </cell>
          <cell r="Q2068">
            <v>0</v>
          </cell>
          <cell r="R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D2068" t="str">
            <v>108OP</v>
          </cell>
          <cell r="AE2068" t="str">
            <v>SG</v>
          </cell>
          <cell r="AF2068" t="str">
            <v>108OP.SG</v>
          </cell>
        </row>
        <row r="2069">
          <cell r="A2069">
            <v>2069</v>
          </cell>
          <cell r="D2069" t="str">
            <v>CAGW</v>
          </cell>
          <cell r="E2069" t="str">
            <v>P</v>
          </cell>
          <cell r="F2069">
            <v>-46978665.272633523</v>
          </cell>
          <cell r="G2069">
            <v>-46978665.272633523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M2069">
            <v>0.59419421435740905</v>
          </cell>
          <cell r="N2069">
            <v>-27914451.103232171</v>
          </cell>
          <cell r="O2069">
            <v>-19064214.169401351</v>
          </cell>
          <cell r="Q2069">
            <v>0</v>
          </cell>
          <cell r="R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 t="str">
            <v>108OP</v>
          </cell>
          <cell r="AE2069" t="str">
            <v>CAGW</v>
          </cell>
          <cell r="AF2069" t="str">
            <v>108OP.CAGW</v>
          </cell>
        </row>
        <row r="2070">
          <cell r="A2070">
            <v>2070</v>
          </cell>
          <cell r="D2070" t="str">
            <v>CAGE</v>
          </cell>
          <cell r="E2070" t="str">
            <v>P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M2070">
            <v>0.59419421435740905</v>
          </cell>
          <cell r="N2070">
            <v>0</v>
          </cell>
          <cell r="O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 t="str">
            <v>108OP</v>
          </cell>
          <cell r="AE2070" t="str">
            <v>CAGE</v>
          </cell>
          <cell r="AF2070" t="str">
            <v>108OP.CAGE</v>
          </cell>
        </row>
        <row r="2071">
          <cell r="A2071">
            <v>2071</v>
          </cell>
          <cell r="F2071">
            <v>-21042903.949148655</v>
          </cell>
          <cell r="G2071">
            <v>-21042903.949148655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N2071">
            <v>-12503571.779862804</v>
          </cell>
          <cell r="O2071">
            <v>-8539332.1692858506</v>
          </cell>
          <cell r="Q2071">
            <v>0</v>
          </cell>
          <cell r="R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D2071" t="str">
            <v>108OP</v>
          </cell>
          <cell r="AE2071" t="str">
            <v>NA</v>
          </cell>
          <cell r="AF2071" t="str">
            <v>108OP.NA1</v>
          </cell>
        </row>
        <row r="2072">
          <cell r="A2072">
            <v>2072</v>
          </cell>
          <cell r="AD2072" t="str">
            <v>108OP</v>
          </cell>
          <cell r="AE2072" t="str">
            <v>NA</v>
          </cell>
          <cell r="AF2072" t="str">
            <v>108OP.NA2</v>
          </cell>
        </row>
        <row r="2073">
          <cell r="A2073">
            <v>2073</v>
          </cell>
          <cell r="B2073" t="str">
            <v>108EP</v>
          </cell>
          <cell r="C2073" t="str">
            <v>Experimental Plant - Accum Depr</v>
          </cell>
          <cell r="AD2073" t="str">
            <v>108EP</v>
          </cell>
          <cell r="AE2073" t="str">
            <v>NA</v>
          </cell>
          <cell r="AF2073" t="str">
            <v>108EP.NA</v>
          </cell>
        </row>
        <row r="2074">
          <cell r="A2074">
            <v>2074</v>
          </cell>
          <cell r="D2074" t="str">
            <v>DGP</v>
          </cell>
          <cell r="E2074" t="str">
            <v>P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M2074">
            <v>0.59419421435740905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 t="str">
            <v>108EP</v>
          </cell>
          <cell r="AE2074" t="str">
            <v>DGP</v>
          </cell>
          <cell r="AF2074" t="str">
            <v>108EP.DGP</v>
          </cell>
        </row>
        <row r="2075">
          <cell r="A2075">
            <v>2075</v>
          </cell>
          <cell r="D2075" t="str">
            <v>SG</v>
          </cell>
          <cell r="E2075" t="str">
            <v>P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M2075">
            <v>0.59419421435740905</v>
          </cell>
          <cell r="N2075">
            <v>0</v>
          </cell>
          <cell r="O2075">
            <v>0</v>
          </cell>
          <cell r="Q2075">
            <v>0</v>
          </cell>
          <cell r="R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D2075" t="str">
            <v>108EP</v>
          </cell>
          <cell r="AE2075" t="str">
            <v>SG</v>
          </cell>
          <cell r="AF2075" t="str">
            <v>108EP.SG</v>
          </cell>
        </row>
        <row r="2076">
          <cell r="A2076">
            <v>2076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N2076">
            <v>0</v>
          </cell>
          <cell r="O2076">
            <v>0</v>
          </cell>
          <cell r="Q2076">
            <v>0</v>
          </cell>
          <cell r="R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D2076" t="str">
            <v>108EP</v>
          </cell>
          <cell r="AE2076" t="str">
            <v>NA</v>
          </cell>
          <cell r="AF2076" t="str">
            <v>108EP.NA1</v>
          </cell>
        </row>
        <row r="2077">
          <cell r="A2077">
            <v>2077</v>
          </cell>
          <cell r="AD2077" t="str">
            <v>108EP</v>
          </cell>
          <cell r="AE2077" t="str">
            <v>NA</v>
          </cell>
          <cell r="AF2077" t="str">
            <v>108EP.NA2</v>
          </cell>
        </row>
        <row r="2078">
          <cell r="A2078">
            <v>2078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 t="str">
            <v>108EP</v>
          </cell>
          <cell r="AE2078" t="str">
            <v>NA</v>
          </cell>
          <cell r="AF2078" t="str">
            <v>108EP.NA3</v>
          </cell>
        </row>
        <row r="2079">
          <cell r="A2079">
            <v>2079</v>
          </cell>
          <cell r="AD2079" t="str">
            <v>108EP</v>
          </cell>
          <cell r="AE2079" t="str">
            <v>NA</v>
          </cell>
          <cell r="AF2079" t="str">
            <v>108EP.NA4</v>
          </cell>
        </row>
        <row r="2080">
          <cell r="A2080">
            <v>2080</v>
          </cell>
          <cell r="B2080" t="str">
            <v>TOTAL GENERATION PLANT DEPRECIATION</v>
          </cell>
          <cell r="F2080">
            <v>-240515649.01376927</v>
          </cell>
          <cell r="G2080">
            <v>-240515649.01376927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N2080">
            <v>-142913007.10639897</v>
          </cell>
          <cell r="O2080">
            <v>-97602641.907370299</v>
          </cell>
          <cell r="Q2080">
            <v>0</v>
          </cell>
          <cell r="R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D2080" t="str">
            <v>TOTAL GENERATION PLANT DEPRECIATION</v>
          </cell>
          <cell r="AE2080" t="str">
            <v>NA</v>
          </cell>
          <cell r="AF2080" t="str">
            <v>TOTAL GENERATION PLANT DEPRECIATION.NA</v>
          </cell>
        </row>
        <row r="2081">
          <cell r="A2081">
            <v>2081</v>
          </cell>
          <cell r="AD2081" t="str">
            <v>TOTAL GENERATION PLANT DEPRECIATION</v>
          </cell>
          <cell r="AE2081" t="str">
            <v>NA</v>
          </cell>
          <cell r="AF2081" t="str">
            <v>TOTAL GENERATION PLANT DEPRECIATION.NA1</v>
          </cell>
        </row>
        <row r="2082">
          <cell r="A2082">
            <v>2082</v>
          </cell>
          <cell r="B2082" t="str">
            <v>108TP</v>
          </cell>
          <cell r="C2082" t="str">
            <v>Transmission Plant Accumulated Depr</v>
          </cell>
          <cell r="AD2082" t="str">
            <v>108TP</v>
          </cell>
          <cell r="AE2082" t="str">
            <v>NA</v>
          </cell>
          <cell r="AF2082" t="str">
            <v>108TP.NA</v>
          </cell>
        </row>
        <row r="2083">
          <cell r="A2083">
            <v>2083</v>
          </cell>
          <cell r="D2083" t="str">
            <v>DGP</v>
          </cell>
          <cell r="E2083" t="str">
            <v>T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P2083">
            <v>1</v>
          </cell>
          <cell r="Q2083">
            <v>0</v>
          </cell>
          <cell r="R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D2083" t="str">
            <v>108TP</v>
          </cell>
          <cell r="AE2083" t="str">
            <v>DGP</v>
          </cell>
          <cell r="AF2083" t="str">
            <v>108TP.DGP</v>
          </cell>
        </row>
        <row r="2084">
          <cell r="A2084">
            <v>2084</v>
          </cell>
          <cell r="D2084" t="str">
            <v>SG</v>
          </cell>
          <cell r="E2084" t="str">
            <v>T</v>
          </cell>
          <cell r="F2084">
            <v>-153602962.65431464</v>
          </cell>
          <cell r="G2084">
            <v>0</v>
          </cell>
          <cell r="H2084">
            <v>-153602962.65431464</v>
          </cell>
          <cell r="I2084">
            <v>0</v>
          </cell>
          <cell r="J2084">
            <v>0</v>
          </cell>
          <cell r="K2084">
            <v>0</v>
          </cell>
          <cell r="P2084">
            <v>1</v>
          </cell>
          <cell r="Q2084">
            <v>-153602962.65431464</v>
          </cell>
          <cell r="R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D2084" t="str">
            <v>108TP</v>
          </cell>
          <cell r="AE2084" t="str">
            <v>SG</v>
          </cell>
          <cell r="AF2084" t="str">
            <v>108TP.SG</v>
          </cell>
        </row>
        <row r="2085">
          <cell r="A2085">
            <v>2085</v>
          </cell>
          <cell r="D2085" t="str">
            <v>JBG</v>
          </cell>
          <cell r="E2085" t="str">
            <v>T</v>
          </cell>
          <cell r="F2085">
            <v>-407990.59501318634</v>
          </cell>
          <cell r="G2085">
            <v>0</v>
          </cell>
          <cell r="H2085">
            <v>-407990.59501318634</v>
          </cell>
          <cell r="I2085">
            <v>0</v>
          </cell>
          <cell r="J2085">
            <v>0</v>
          </cell>
          <cell r="K2085">
            <v>0</v>
          </cell>
          <cell r="P2085">
            <v>1</v>
          </cell>
          <cell r="Q2085">
            <v>-407990.59501318634</v>
          </cell>
          <cell r="R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 t="str">
            <v>108TP</v>
          </cell>
          <cell r="AE2085" t="str">
            <v>JBG</v>
          </cell>
          <cell r="AF2085" t="str">
            <v>108TP.JBG</v>
          </cell>
        </row>
        <row r="2086">
          <cell r="A2086">
            <v>2086</v>
          </cell>
          <cell r="D2086" t="str">
            <v>CAGW</v>
          </cell>
          <cell r="E2086" t="str">
            <v>T</v>
          </cell>
          <cell r="F2086">
            <v>-47371.596052333713</v>
          </cell>
          <cell r="G2086">
            <v>0</v>
          </cell>
          <cell r="H2086">
            <v>-47371.596052333713</v>
          </cell>
          <cell r="I2086">
            <v>0</v>
          </cell>
          <cell r="J2086">
            <v>0</v>
          </cell>
          <cell r="K2086">
            <v>0</v>
          </cell>
          <cell r="P2086">
            <v>1</v>
          </cell>
          <cell r="Q2086">
            <v>-47371.596052333713</v>
          </cell>
          <cell r="R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 t="str">
            <v>108TP</v>
          </cell>
          <cell r="AE2086" t="str">
            <v>CAGW</v>
          </cell>
          <cell r="AF2086" t="str">
            <v>108TP.CAGW</v>
          </cell>
        </row>
        <row r="2087">
          <cell r="A2087">
            <v>2087</v>
          </cell>
          <cell r="B2087" t="str">
            <v>TOTAL TRANS PLANT ACCUM DEPR</v>
          </cell>
          <cell r="F2087">
            <v>-154058324.84538019</v>
          </cell>
          <cell r="G2087">
            <v>0</v>
          </cell>
          <cell r="H2087">
            <v>-154058324.84538019</v>
          </cell>
          <cell r="I2087">
            <v>0</v>
          </cell>
          <cell r="J2087">
            <v>0</v>
          </cell>
          <cell r="K2087">
            <v>0</v>
          </cell>
          <cell r="N2087">
            <v>0</v>
          </cell>
          <cell r="O2087">
            <v>0</v>
          </cell>
          <cell r="Q2087">
            <v>-154058324.84538019</v>
          </cell>
          <cell r="R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D2087" t="str">
            <v>TOTAL TRANS PLANT ACCUM DEPR</v>
          </cell>
          <cell r="AE2087" t="str">
            <v>NA</v>
          </cell>
          <cell r="AF2087" t="str">
            <v>TOTAL TRANS PLANT ACCUM DEPR.NA</v>
          </cell>
        </row>
        <row r="2088">
          <cell r="A2088">
            <v>2088</v>
          </cell>
          <cell r="AD2088" t="str">
            <v>TOTAL TRANS PLANT ACCUM DEPR</v>
          </cell>
          <cell r="AE2088" t="str">
            <v>NA</v>
          </cell>
          <cell r="AF2088" t="str">
            <v>TOTAL TRANS PLANT ACCUM DEPR.NA1</v>
          </cell>
        </row>
        <row r="2089">
          <cell r="A2089">
            <v>2089</v>
          </cell>
          <cell r="B2089">
            <v>108360</v>
          </cell>
          <cell r="C2089" t="str">
            <v>Land and Land Rights</v>
          </cell>
          <cell r="AD2089">
            <v>108360</v>
          </cell>
          <cell r="AE2089" t="str">
            <v>NA</v>
          </cell>
          <cell r="AF2089" t="str">
            <v>108360.NA</v>
          </cell>
        </row>
        <row r="2090">
          <cell r="A2090">
            <v>2090</v>
          </cell>
          <cell r="D2090" t="str">
            <v>S</v>
          </cell>
          <cell r="E2090" t="str">
            <v>DPW</v>
          </cell>
          <cell r="F2090">
            <v>-340137.93776479212</v>
          </cell>
          <cell r="G2090">
            <v>0</v>
          </cell>
          <cell r="H2090">
            <v>0</v>
          </cell>
          <cell r="I2090">
            <v>-340137.93776479212</v>
          </cell>
          <cell r="J2090">
            <v>0</v>
          </cell>
          <cell r="K2090">
            <v>0</v>
          </cell>
          <cell r="S2090" t="str">
            <v>PLNT2</v>
          </cell>
          <cell r="T2090">
            <v>-82264.76664958676</v>
          </cell>
          <cell r="U2090">
            <v>-257873.17111520539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108360</v>
          </cell>
          <cell r="AE2090" t="str">
            <v>S</v>
          </cell>
          <cell r="AF2090" t="str">
            <v>108360.S</v>
          </cell>
        </row>
        <row r="2091">
          <cell r="A2091">
            <v>2091</v>
          </cell>
          <cell r="F2091">
            <v>-340137.93776479212</v>
          </cell>
          <cell r="G2091">
            <v>0</v>
          </cell>
          <cell r="H2091">
            <v>0</v>
          </cell>
          <cell r="I2091">
            <v>-340137.93776479212</v>
          </cell>
          <cell r="J2091">
            <v>0</v>
          </cell>
          <cell r="K2091">
            <v>0</v>
          </cell>
          <cell r="N2091">
            <v>0</v>
          </cell>
          <cell r="O2091">
            <v>0</v>
          </cell>
          <cell r="Q2091">
            <v>0</v>
          </cell>
          <cell r="R2091">
            <v>0</v>
          </cell>
          <cell r="T2091">
            <v>-82264.76664958676</v>
          </cell>
          <cell r="U2091">
            <v>-257873.17111520539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D2091">
            <v>108360</v>
          </cell>
          <cell r="AE2091" t="str">
            <v>NA</v>
          </cell>
          <cell r="AF2091" t="str">
            <v>108360.NA1</v>
          </cell>
        </row>
        <row r="2092">
          <cell r="A2092">
            <v>2092</v>
          </cell>
          <cell r="AD2092">
            <v>108360</v>
          </cell>
          <cell r="AE2092" t="str">
            <v>NA</v>
          </cell>
          <cell r="AF2092" t="str">
            <v>108360.NA2</v>
          </cell>
        </row>
        <row r="2093">
          <cell r="A2093">
            <v>2093</v>
          </cell>
          <cell r="B2093">
            <v>108361</v>
          </cell>
          <cell r="C2093" t="str">
            <v>Structures and Improvements</v>
          </cell>
          <cell r="AD2093">
            <v>108361</v>
          </cell>
          <cell r="AE2093" t="str">
            <v>NA</v>
          </cell>
          <cell r="AF2093" t="str">
            <v>108361.NA</v>
          </cell>
        </row>
        <row r="2094">
          <cell r="A2094">
            <v>2094</v>
          </cell>
          <cell r="D2094" t="str">
            <v>S</v>
          </cell>
          <cell r="E2094" t="str">
            <v>DPW</v>
          </cell>
          <cell r="F2094">
            <v>-1499292.0224534813</v>
          </cell>
          <cell r="G2094">
            <v>0</v>
          </cell>
          <cell r="H2094">
            <v>0</v>
          </cell>
          <cell r="I2094">
            <v>-1499292.0224534813</v>
          </cell>
          <cell r="J2094">
            <v>0</v>
          </cell>
          <cell r="K2094">
            <v>0</v>
          </cell>
          <cell r="S2094" t="str">
            <v>PLNT2</v>
          </cell>
          <cell r="T2094">
            <v>-362614.38279199658</v>
          </cell>
          <cell r="U2094">
            <v>-1136677.6396614849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108361</v>
          </cell>
          <cell r="AE2094" t="str">
            <v>S</v>
          </cell>
          <cell r="AF2094" t="str">
            <v>108361.S</v>
          </cell>
        </row>
        <row r="2095">
          <cell r="A2095">
            <v>2095</v>
          </cell>
          <cell r="F2095">
            <v>-1499292.0224534813</v>
          </cell>
          <cell r="G2095">
            <v>0</v>
          </cell>
          <cell r="H2095">
            <v>0</v>
          </cell>
          <cell r="I2095">
            <v>-1499292.0224534813</v>
          </cell>
          <cell r="J2095">
            <v>0</v>
          </cell>
          <cell r="K2095">
            <v>0</v>
          </cell>
          <cell r="N2095">
            <v>0</v>
          </cell>
          <cell r="O2095">
            <v>0</v>
          </cell>
          <cell r="Q2095">
            <v>0</v>
          </cell>
          <cell r="R2095">
            <v>0</v>
          </cell>
          <cell r="T2095">
            <v>-362614.38279199658</v>
          </cell>
          <cell r="U2095">
            <v>-1136677.6396614849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D2095">
            <v>108361</v>
          </cell>
          <cell r="AE2095" t="str">
            <v>NA</v>
          </cell>
          <cell r="AF2095" t="str">
            <v>108361.NA1</v>
          </cell>
        </row>
        <row r="2096">
          <cell r="A2096">
            <v>2096</v>
          </cell>
          <cell r="AD2096">
            <v>108361</v>
          </cell>
          <cell r="AE2096" t="str">
            <v>NA</v>
          </cell>
          <cell r="AF2096" t="str">
            <v>108361.NA2</v>
          </cell>
        </row>
        <row r="2097">
          <cell r="A2097">
            <v>2097</v>
          </cell>
          <cell r="B2097">
            <v>108362</v>
          </cell>
          <cell r="C2097" t="str">
            <v>Station Equipment</v>
          </cell>
          <cell r="AD2097">
            <v>108362</v>
          </cell>
          <cell r="AE2097" t="str">
            <v>NA</v>
          </cell>
          <cell r="AF2097" t="str">
            <v>108362.NA</v>
          </cell>
        </row>
        <row r="2098">
          <cell r="A2098">
            <v>2098</v>
          </cell>
          <cell r="D2098" t="str">
            <v>S</v>
          </cell>
          <cell r="E2098" t="str">
            <v>DPW</v>
          </cell>
          <cell r="F2098">
            <v>-25511466.445360575</v>
          </cell>
          <cell r="G2098">
            <v>0</v>
          </cell>
          <cell r="H2098">
            <v>0</v>
          </cell>
          <cell r="I2098">
            <v>-25511466.445360575</v>
          </cell>
          <cell r="J2098">
            <v>0</v>
          </cell>
          <cell r="K2098">
            <v>0</v>
          </cell>
          <cell r="S2098" t="str">
            <v>SUBS</v>
          </cell>
          <cell r="T2098">
            <v>-25511466.445360575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108362</v>
          </cell>
          <cell r="AE2098" t="str">
            <v>S</v>
          </cell>
          <cell r="AF2098" t="str">
            <v>108362.S</v>
          </cell>
        </row>
        <row r="2099">
          <cell r="A2099">
            <v>2099</v>
          </cell>
          <cell r="F2099">
            <v>-25511466.445360575</v>
          </cell>
          <cell r="G2099">
            <v>0</v>
          </cell>
          <cell r="H2099">
            <v>0</v>
          </cell>
          <cell r="I2099">
            <v>-25511466.445360575</v>
          </cell>
          <cell r="J2099">
            <v>0</v>
          </cell>
          <cell r="K2099">
            <v>0</v>
          </cell>
          <cell r="N2099">
            <v>0</v>
          </cell>
          <cell r="O2099">
            <v>0</v>
          </cell>
          <cell r="Q2099">
            <v>0</v>
          </cell>
          <cell r="R2099">
            <v>0</v>
          </cell>
          <cell r="T2099">
            <v>-25511466.445360575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D2099">
            <v>108362</v>
          </cell>
          <cell r="AE2099" t="str">
            <v>NA</v>
          </cell>
          <cell r="AF2099" t="str">
            <v>108362.NA1</v>
          </cell>
        </row>
        <row r="2100">
          <cell r="A2100">
            <v>2100</v>
          </cell>
          <cell r="AD2100">
            <v>108362</v>
          </cell>
          <cell r="AE2100" t="str">
            <v>NA</v>
          </cell>
          <cell r="AF2100" t="str">
            <v>108362.NA2</v>
          </cell>
        </row>
        <row r="2101">
          <cell r="A2101">
            <v>2101</v>
          </cell>
          <cell r="B2101">
            <v>108364</v>
          </cell>
          <cell r="C2101" t="str">
            <v>Poles, Towers &amp; Fixtures</v>
          </cell>
          <cell r="AD2101">
            <v>108364</v>
          </cell>
          <cell r="AE2101" t="str">
            <v>NA</v>
          </cell>
          <cell r="AF2101" t="str">
            <v>108364.NA</v>
          </cell>
        </row>
        <row r="2102">
          <cell r="A2102">
            <v>2102</v>
          </cell>
          <cell r="D2102" t="str">
            <v>S</v>
          </cell>
          <cell r="E2102" t="str">
            <v>DPW</v>
          </cell>
          <cell r="F2102">
            <v>-74342788.67411077</v>
          </cell>
          <cell r="G2102">
            <v>0</v>
          </cell>
          <cell r="H2102">
            <v>0</v>
          </cell>
          <cell r="I2102">
            <v>-74342788.67411077</v>
          </cell>
          <cell r="J2102">
            <v>0</v>
          </cell>
          <cell r="K2102">
            <v>0</v>
          </cell>
          <cell r="S2102" t="str">
            <v>PC</v>
          </cell>
          <cell r="T2102">
            <v>0</v>
          </cell>
          <cell r="U2102">
            <v>-74342788.67411077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108364</v>
          </cell>
          <cell r="AE2102" t="str">
            <v>S</v>
          </cell>
          <cell r="AF2102" t="str">
            <v>108364.S</v>
          </cell>
        </row>
        <row r="2103">
          <cell r="A2103">
            <v>2103</v>
          </cell>
          <cell r="F2103">
            <v>-74342788.67411077</v>
          </cell>
          <cell r="G2103">
            <v>0</v>
          </cell>
          <cell r="H2103">
            <v>0</v>
          </cell>
          <cell r="I2103">
            <v>-74342788.67411077</v>
          </cell>
          <cell r="J2103">
            <v>0</v>
          </cell>
          <cell r="K2103">
            <v>0</v>
          </cell>
          <cell r="N2103">
            <v>0</v>
          </cell>
          <cell r="O2103">
            <v>0</v>
          </cell>
          <cell r="Q2103">
            <v>0</v>
          </cell>
          <cell r="R2103">
            <v>0</v>
          </cell>
          <cell r="T2103">
            <v>0</v>
          </cell>
          <cell r="U2103">
            <v>-74342788.67411077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D2103">
            <v>108364</v>
          </cell>
          <cell r="AE2103" t="str">
            <v>NA</v>
          </cell>
          <cell r="AF2103" t="str">
            <v>108364.NA1</v>
          </cell>
        </row>
        <row r="2104">
          <cell r="A2104">
            <v>2104</v>
          </cell>
          <cell r="AD2104">
            <v>108364</v>
          </cell>
          <cell r="AE2104" t="str">
            <v>NA</v>
          </cell>
          <cell r="AF2104" t="str">
            <v>108364.NA2</v>
          </cell>
        </row>
        <row r="2105">
          <cell r="A2105">
            <v>2105</v>
          </cell>
          <cell r="B2105">
            <v>108365</v>
          </cell>
          <cell r="C2105" t="str">
            <v>Overhead Conductors</v>
          </cell>
          <cell r="AD2105">
            <v>108365</v>
          </cell>
          <cell r="AE2105" t="str">
            <v>NA</v>
          </cell>
          <cell r="AF2105" t="str">
            <v>108365.NA</v>
          </cell>
        </row>
        <row r="2106">
          <cell r="A2106">
            <v>2106</v>
          </cell>
          <cell r="D2106" t="str">
            <v>S</v>
          </cell>
          <cell r="E2106" t="str">
            <v>DPW</v>
          </cell>
          <cell r="F2106">
            <v>-36334315.766321488</v>
          </cell>
          <cell r="G2106">
            <v>0</v>
          </cell>
          <cell r="H2106">
            <v>0</v>
          </cell>
          <cell r="I2106">
            <v>-36334315.766321488</v>
          </cell>
          <cell r="J2106">
            <v>0</v>
          </cell>
          <cell r="K2106">
            <v>0</v>
          </cell>
          <cell r="S2106" t="str">
            <v>PC</v>
          </cell>
          <cell r="T2106">
            <v>0</v>
          </cell>
          <cell r="U2106">
            <v>-36334315.766321488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>
            <v>108365</v>
          </cell>
          <cell r="AE2106" t="str">
            <v>S</v>
          </cell>
          <cell r="AF2106" t="str">
            <v>108365.S</v>
          </cell>
        </row>
        <row r="2107">
          <cell r="A2107">
            <v>2107</v>
          </cell>
          <cell r="F2107">
            <v>-36334315.766321488</v>
          </cell>
          <cell r="G2107">
            <v>0</v>
          </cell>
          <cell r="H2107">
            <v>0</v>
          </cell>
          <cell r="I2107">
            <v>-36334315.766321488</v>
          </cell>
          <cell r="J2107">
            <v>0</v>
          </cell>
          <cell r="K2107">
            <v>0</v>
          </cell>
          <cell r="N2107">
            <v>0</v>
          </cell>
          <cell r="O2107">
            <v>0</v>
          </cell>
          <cell r="Q2107">
            <v>0</v>
          </cell>
          <cell r="R2107">
            <v>0</v>
          </cell>
          <cell r="T2107">
            <v>0</v>
          </cell>
          <cell r="U2107">
            <v>-36334315.766321488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D2107">
            <v>108365</v>
          </cell>
          <cell r="AE2107" t="str">
            <v>NA</v>
          </cell>
          <cell r="AF2107" t="str">
            <v>108365.NA1</v>
          </cell>
        </row>
        <row r="2108">
          <cell r="A2108">
            <v>2108</v>
          </cell>
          <cell r="AD2108">
            <v>108365</v>
          </cell>
          <cell r="AE2108" t="str">
            <v>NA</v>
          </cell>
          <cell r="AF2108" t="str">
            <v>108365.NA2</v>
          </cell>
        </row>
        <row r="2109">
          <cell r="A2109">
            <v>2109</v>
          </cell>
          <cell r="B2109">
            <v>108366</v>
          </cell>
          <cell r="C2109" t="str">
            <v>Underground Conduit</v>
          </cell>
          <cell r="AD2109">
            <v>108366</v>
          </cell>
          <cell r="AE2109" t="str">
            <v>NA</v>
          </cell>
          <cell r="AF2109" t="str">
            <v>108366.NA</v>
          </cell>
        </row>
        <row r="2110">
          <cell r="A2110">
            <v>2110</v>
          </cell>
          <cell r="D2110" t="str">
            <v>S</v>
          </cell>
          <cell r="E2110" t="str">
            <v>DPW</v>
          </cell>
          <cell r="F2110">
            <v>-12252024.424455926</v>
          </cell>
          <cell r="G2110">
            <v>0</v>
          </cell>
          <cell r="H2110">
            <v>0</v>
          </cell>
          <cell r="I2110">
            <v>-12252024.424455926</v>
          </cell>
          <cell r="J2110">
            <v>0</v>
          </cell>
          <cell r="K2110">
            <v>0</v>
          </cell>
          <cell r="S2110" t="str">
            <v>PC</v>
          </cell>
          <cell r="T2110">
            <v>0</v>
          </cell>
          <cell r="U2110">
            <v>-12252024.424455926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>
            <v>108366</v>
          </cell>
          <cell r="AE2110" t="str">
            <v>S</v>
          </cell>
          <cell r="AF2110" t="str">
            <v>108366.S</v>
          </cell>
        </row>
        <row r="2111">
          <cell r="A2111">
            <v>2111</v>
          </cell>
          <cell r="F2111">
            <v>-12252024.424455926</v>
          </cell>
          <cell r="G2111">
            <v>0</v>
          </cell>
          <cell r="H2111">
            <v>0</v>
          </cell>
          <cell r="I2111">
            <v>-12252024.424455926</v>
          </cell>
          <cell r="J2111">
            <v>0</v>
          </cell>
          <cell r="K2111">
            <v>0</v>
          </cell>
          <cell r="N2111">
            <v>0</v>
          </cell>
          <cell r="O2111">
            <v>0</v>
          </cell>
          <cell r="Q2111">
            <v>0</v>
          </cell>
          <cell r="R2111">
            <v>0</v>
          </cell>
          <cell r="T2111">
            <v>0</v>
          </cell>
          <cell r="U2111">
            <v>-12252024.424455926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D2111">
            <v>108366</v>
          </cell>
          <cell r="AE2111" t="str">
            <v>NA</v>
          </cell>
          <cell r="AF2111" t="str">
            <v>108366.NA1</v>
          </cell>
        </row>
        <row r="2112">
          <cell r="A2112">
            <v>2112</v>
          </cell>
          <cell r="AD2112">
            <v>108366</v>
          </cell>
          <cell r="AE2112" t="str">
            <v>NA</v>
          </cell>
          <cell r="AF2112" t="str">
            <v>108366.NA2</v>
          </cell>
        </row>
        <row r="2113">
          <cell r="A2113">
            <v>2113</v>
          </cell>
          <cell r="B2113">
            <v>108367</v>
          </cell>
          <cell r="C2113" t="str">
            <v xml:space="preserve">Underground Conductors </v>
          </cell>
          <cell r="AD2113">
            <v>108367</v>
          </cell>
          <cell r="AE2113" t="str">
            <v>NA</v>
          </cell>
          <cell r="AF2113" t="str">
            <v>108367.NA</v>
          </cell>
        </row>
        <row r="2114">
          <cell r="A2114">
            <v>2114</v>
          </cell>
          <cell r="D2114" t="str">
            <v>S</v>
          </cell>
          <cell r="E2114" t="str">
            <v>DPW</v>
          </cell>
          <cell r="F2114">
            <v>-15899562.431960732</v>
          </cell>
          <cell r="G2114">
            <v>0</v>
          </cell>
          <cell r="H2114">
            <v>0</v>
          </cell>
          <cell r="I2114">
            <v>-15899562.431960732</v>
          </cell>
          <cell r="J2114">
            <v>0</v>
          </cell>
          <cell r="K2114">
            <v>0</v>
          </cell>
          <cell r="S2114" t="str">
            <v>PC</v>
          </cell>
          <cell r="T2114">
            <v>0</v>
          </cell>
          <cell r="U2114">
            <v>-15899562.431960732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>
            <v>108367</v>
          </cell>
          <cell r="AE2114" t="str">
            <v>S</v>
          </cell>
          <cell r="AF2114" t="str">
            <v>108367.S</v>
          </cell>
        </row>
        <row r="2115">
          <cell r="A2115">
            <v>2115</v>
          </cell>
          <cell r="F2115">
            <v>-15899562.431960732</v>
          </cell>
          <cell r="G2115">
            <v>0</v>
          </cell>
          <cell r="H2115">
            <v>0</v>
          </cell>
          <cell r="I2115">
            <v>-15899562.431960732</v>
          </cell>
          <cell r="J2115">
            <v>0</v>
          </cell>
          <cell r="K2115">
            <v>0</v>
          </cell>
          <cell r="N2115">
            <v>0</v>
          </cell>
          <cell r="O2115">
            <v>0</v>
          </cell>
          <cell r="Q2115">
            <v>0</v>
          </cell>
          <cell r="R2115">
            <v>0</v>
          </cell>
          <cell r="T2115">
            <v>0</v>
          </cell>
          <cell r="U2115">
            <v>-15899562.431960732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D2115">
            <v>108367</v>
          </cell>
          <cell r="AE2115" t="str">
            <v>NA</v>
          </cell>
          <cell r="AF2115" t="str">
            <v>108367.NA1</v>
          </cell>
        </row>
        <row r="2116">
          <cell r="A2116">
            <v>2116</v>
          </cell>
          <cell r="AD2116">
            <v>108367</v>
          </cell>
          <cell r="AE2116" t="str">
            <v>NA</v>
          </cell>
          <cell r="AF2116" t="str">
            <v>108367.NA2</v>
          </cell>
        </row>
        <row r="2117">
          <cell r="A2117">
            <v>2117</v>
          </cell>
          <cell r="B2117">
            <v>108368</v>
          </cell>
          <cell r="C2117" t="str">
            <v>Line Transformers</v>
          </cell>
          <cell r="AD2117">
            <v>108368</v>
          </cell>
          <cell r="AE2117" t="str">
            <v>NA</v>
          </cell>
          <cell r="AF2117" t="str">
            <v>108368.NA</v>
          </cell>
        </row>
        <row r="2118">
          <cell r="A2118">
            <v>2118</v>
          </cell>
          <cell r="D2118" t="str">
            <v>S</v>
          </cell>
          <cell r="E2118" t="str">
            <v>DPW</v>
          </cell>
          <cell r="F2118">
            <v>-64568972.76185485</v>
          </cell>
          <cell r="G2118">
            <v>0</v>
          </cell>
          <cell r="H2118">
            <v>0</v>
          </cell>
          <cell r="I2118">
            <v>-64568972.76185485</v>
          </cell>
          <cell r="J2118">
            <v>0</v>
          </cell>
          <cell r="K2118">
            <v>0</v>
          </cell>
          <cell r="S2118" t="str">
            <v>XFMR</v>
          </cell>
          <cell r="T2118">
            <v>0</v>
          </cell>
          <cell r="U2118">
            <v>0</v>
          </cell>
          <cell r="V2118">
            <v>-64568972.76185485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D2118">
            <v>108368</v>
          </cell>
          <cell r="AE2118" t="str">
            <v>S</v>
          </cell>
          <cell r="AF2118" t="str">
            <v>108368.S</v>
          </cell>
        </row>
        <row r="2119">
          <cell r="A2119">
            <v>2119</v>
          </cell>
          <cell r="F2119">
            <v>-64568972.76185485</v>
          </cell>
          <cell r="G2119">
            <v>0</v>
          </cell>
          <cell r="H2119">
            <v>0</v>
          </cell>
          <cell r="I2119">
            <v>-64568972.76185485</v>
          </cell>
          <cell r="J2119">
            <v>0</v>
          </cell>
          <cell r="K2119">
            <v>0</v>
          </cell>
          <cell r="N2119">
            <v>0</v>
          </cell>
          <cell r="O2119">
            <v>0</v>
          </cell>
          <cell r="Q2119">
            <v>0</v>
          </cell>
          <cell r="R2119">
            <v>0</v>
          </cell>
          <cell r="T2119">
            <v>0</v>
          </cell>
          <cell r="U2119">
            <v>0</v>
          </cell>
          <cell r="V2119">
            <v>-64568972.76185485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D2119">
            <v>108368</v>
          </cell>
          <cell r="AE2119" t="str">
            <v>NA</v>
          </cell>
          <cell r="AF2119" t="str">
            <v>108368.NA1</v>
          </cell>
        </row>
        <row r="2120">
          <cell r="A2120">
            <v>2120</v>
          </cell>
          <cell r="AD2120">
            <v>108368</v>
          </cell>
          <cell r="AE2120" t="str">
            <v>NA</v>
          </cell>
          <cell r="AF2120" t="str">
            <v>108368.NA2</v>
          </cell>
        </row>
        <row r="2121">
          <cell r="A2121">
            <v>2121</v>
          </cell>
          <cell r="B2121">
            <v>108369</v>
          </cell>
          <cell r="C2121" t="str">
            <v>Services</v>
          </cell>
          <cell r="AD2121">
            <v>108369</v>
          </cell>
          <cell r="AE2121" t="str">
            <v>NA</v>
          </cell>
          <cell r="AF2121" t="str">
            <v>108369.NA</v>
          </cell>
        </row>
        <row r="2122">
          <cell r="A2122">
            <v>2122</v>
          </cell>
          <cell r="D2122" t="str">
            <v>S</v>
          </cell>
          <cell r="E2122" t="str">
            <v>DPW</v>
          </cell>
          <cell r="F2122">
            <v>-31461451.897854395</v>
          </cell>
          <cell r="G2122">
            <v>0</v>
          </cell>
          <cell r="H2122">
            <v>0</v>
          </cell>
          <cell r="I2122">
            <v>-31461451.897854395</v>
          </cell>
          <cell r="J2122">
            <v>0</v>
          </cell>
          <cell r="K2122">
            <v>0</v>
          </cell>
          <cell r="S2122" t="str">
            <v>SERV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-31461451.897854395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>
            <v>108369</v>
          </cell>
          <cell r="AE2122" t="str">
            <v>S</v>
          </cell>
          <cell r="AF2122" t="str">
            <v>108369.S</v>
          </cell>
        </row>
        <row r="2123">
          <cell r="A2123">
            <v>2123</v>
          </cell>
          <cell r="F2123">
            <v>-31461451.897854395</v>
          </cell>
          <cell r="G2123">
            <v>0</v>
          </cell>
          <cell r="H2123">
            <v>0</v>
          </cell>
          <cell r="I2123">
            <v>-31461451.897854395</v>
          </cell>
          <cell r="J2123">
            <v>0</v>
          </cell>
          <cell r="K2123">
            <v>0</v>
          </cell>
          <cell r="N2123">
            <v>0</v>
          </cell>
          <cell r="O2123">
            <v>0</v>
          </cell>
          <cell r="Q2123">
            <v>0</v>
          </cell>
          <cell r="R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-31461451.897854395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>
            <v>108369</v>
          </cell>
          <cell r="AE2123" t="str">
            <v>NA</v>
          </cell>
          <cell r="AF2123" t="str">
            <v>108369.NA1</v>
          </cell>
        </row>
        <row r="2124">
          <cell r="A2124">
            <v>2124</v>
          </cell>
          <cell r="AD2124">
            <v>108369</v>
          </cell>
          <cell r="AE2124" t="str">
            <v>NA</v>
          </cell>
          <cell r="AF2124" t="str">
            <v>108369.NA2</v>
          </cell>
        </row>
        <row r="2125">
          <cell r="A2125">
            <v>2125</v>
          </cell>
          <cell r="B2125">
            <v>108370</v>
          </cell>
          <cell r="C2125" t="str">
            <v>Meters</v>
          </cell>
          <cell r="AD2125">
            <v>108370</v>
          </cell>
          <cell r="AE2125" t="str">
            <v>NA</v>
          </cell>
          <cell r="AF2125" t="str">
            <v>108370.NA</v>
          </cell>
        </row>
        <row r="2126">
          <cell r="A2126">
            <v>2126</v>
          </cell>
          <cell r="D2126" t="str">
            <v>S</v>
          </cell>
          <cell r="E2126" t="str">
            <v>DPW</v>
          </cell>
          <cell r="F2126">
            <v>-6004966.2802861473</v>
          </cell>
          <cell r="G2126">
            <v>0</v>
          </cell>
          <cell r="H2126">
            <v>0</v>
          </cell>
          <cell r="I2126">
            <v>-6004966.2802861473</v>
          </cell>
          <cell r="J2126">
            <v>0</v>
          </cell>
          <cell r="K2126">
            <v>0</v>
          </cell>
          <cell r="S2126" t="str">
            <v>METR</v>
          </cell>
          <cell r="T2126">
            <v>0</v>
          </cell>
          <cell r="U2126">
            <v>0</v>
          </cell>
          <cell r="V2126">
            <v>0</v>
          </cell>
          <cell r="W2126">
            <v>-6004966.2802861473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>
            <v>108370</v>
          </cell>
          <cell r="AE2126" t="str">
            <v>S</v>
          </cell>
          <cell r="AF2126" t="str">
            <v>108370.S</v>
          </cell>
        </row>
        <row r="2127">
          <cell r="A2127">
            <v>2127</v>
          </cell>
          <cell r="F2127">
            <v>-6004966.2802861473</v>
          </cell>
          <cell r="G2127">
            <v>0</v>
          </cell>
          <cell r="H2127">
            <v>0</v>
          </cell>
          <cell r="I2127">
            <v>-6004966.2802861473</v>
          </cell>
          <cell r="J2127">
            <v>0</v>
          </cell>
          <cell r="K2127">
            <v>0</v>
          </cell>
          <cell r="N2127">
            <v>0</v>
          </cell>
          <cell r="O2127">
            <v>0</v>
          </cell>
          <cell r="Q2127">
            <v>0</v>
          </cell>
          <cell r="R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-6004966.2802861473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>
            <v>108370</v>
          </cell>
          <cell r="AE2127" t="str">
            <v>NA</v>
          </cell>
          <cell r="AF2127" t="str">
            <v>108370.NA1</v>
          </cell>
        </row>
        <row r="2128">
          <cell r="A2128">
            <v>2128</v>
          </cell>
          <cell r="AD2128">
            <v>108370</v>
          </cell>
          <cell r="AE2128" t="str">
            <v>NA</v>
          </cell>
          <cell r="AF2128" t="str">
            <v>108370.NA2</v>
          </cell>
        </row>
        <row r="2129">
          <cell r="A2129">
            <v>2129</v>
          </cell>
          <cell r="B2129">
            <v>108371</v>
          </cell>
          <cell r="C2129" t="str">
            <v>Installations on Customers' Premises</v>
          </cell>
          <cell r="AD2129">
            <v>108371</v>
          </cell>
          <cell r="AE2129" t="str">
            <v>NA</v>
          </cell>
          <cell r="AF2129" t="str">
            <v>108371.NA</v>
          </cell>
        </row>
        <row r="2130">
          <cell r="A2130">
            <v>2130</v>
          </cell>
          <cell r="D2130" t="str">
            <v>S</v>
          </cell>
          <cell r="E2130" t="str">
            <v>DPW</v>
          </cell>
          <cell r="F2130">
            <v>-381179.30636343086</v>
          </cell>
          <cell r="G2130">
            <v>0</v>
          </cell>
          <cell r="H2130">
            <v>0</v>
          </cell>
          <cell r="I2130">
            <v>-381179.30636343086</v>
          </cell>
          <cell r="J2130">
            <v>0</v>
          </cell>
          <cell r="K2130">
            <v>0</v>
          </cell>
          <cell r="S2130" t="str">
            <v>PC</v>
          </cell>
          <cell r="T2130">
            <v>0</v>
          </cell>
          <cell r="U2130">
            <v>-381179.30636343086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D2130">
            <v>108371</v>
          </cell>
          <cell r="AE2130" t="str">
            <v>S</v>
          </cell>
          <cell r="AF2130" t="str">
            <v>108371.S</v>
          </cell>
        </row>
        <row r="2131">
          <cell r="A2131">
            <v>2131</v>
          </cell>
          <cell r="F2131">
            <v>-381179.30636343086</v>
          </cell>
          <cell r="G2131">
            <v>0</v>
          </cell>
          <cell r="H2131">
            <v>0</v>
          </cell>
          <cell r="I2131">
            <v>-381179.30636343086</v>
          </cell>
          <cell r="J2131">
            <v>0</v>
          </cell>
          <cell r="K2131">
            <v>0</v>
          </cell>
          <cell r="N2131">
            <v>0</v>
          </cell>
          <cell r="O2131">
            <v>0</v>
          </cell>
          <cell r="Q2131">
            <v>0</v>
          </cell>
          <cell r="R2131">
            <v>0</v>
          </cell>
          <cell r="T2131">
            <v>0</v>
          </cell>
          <cell r="U2131">
            <v>-381179.30636343086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D2131">
            <v>108371</v>
          </cell>
          <cell r="AE2131" t="str">
            <v>NA</v>
          </cell>
          <cell r="AF2131" t="str">
            <v>108371.NA1</v>
          </cell>
        </row>
        <row r="2132">
          <cell r="A2132">
            <v>2132</v>
          </cell>
          <cell r="AD2132">
            <v>108371</v>
          </cell>
          <cell r="AE2132" t="str">
            <v>NA</v>
          </cell>
          <cell r="AF2132" t="str">
            <v>108371.NA2</v>
          </cell>
        </row>
        <row r="2133">
          <cell r="A2133">
            <v>2133</v>
          </cell>
          <cell r="B2133">
            <v>108372</v>
          </cell>
          <cell r="C2133" t="str">
            <v>Leased Property</v>
          </cell>
          <cell r="AD2133">
            <v>108372</v>
          </cell>
          <cell r="AE2133" t="str">
            <v>NA</v>
          </cell>
          <cell r="AF2133" t="str">
            <v>108372.NA</v>
          </cell>
        </row>
        <row r="2134">
          <cell r="A2134">
            <v>2134</v>
          </cell>
          <cell r="D2134" t="str">
            <v>S</v>
          </cell>
          <cell r="E2134" t="str">
            <v>DPW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S2134" t="str">
            <v>PLNT2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>
            <v>108372</v>
          </cell>
          <cell r="AE2134" t="str">
            <v>S</v>
          </cell>
          <cell r="AF2134" t="str">
            <v>108372.S</v>
          </cell>
        </row>
        <row r="2135">
          <cell r="A2135">
            <v>2135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N2135">
            <v>0</v>
          </cell>
          <cell r="O2135">
            <v>0</v>
          </cell>
          <cell r="Q2135">
            <v>0</v>
          </cell>
          <cell r="R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>
            <v>108372</v>
          </cell>
          <cell r="AE2135" t="str">
            <v>NA</v>
          </cell>
          <cell r="AF2135" t="str">
            <v>108372.NA1</v>
          </cell>
        </row>
        <row r="2136">
          <cell r="A2136">
            <v>2136</v>
          </cell>
          <cell r="AD2136">
            <v>108372</v>
          </cell>
          <cell r="AE2136" t="str">
            <v>NA</v>
          </cell>
          <cell r="AF2136" t="str">
            <v>108372.NA2</v>
          </cell>
        </row>
        <row r="2137">
          <cell r="A2137">
            <v>2137</v>
          </cell>
          <cell r="B2137">
            <v>108373</v>
          </cell>
          <cell r="C2137" t="str">
            <v>Street Lights</v>
          </cell>
          <cell r="AD2137">
            <v>108373</v>
          </cell>
          <cell r="AE2137" t="str">
            <v>NA</v>
          </cell>
          <cell r="AF2137" t="str">
            <v>108373.NA</v>
          </cell>
        </row>
        <row r="2138">
          <cell r="A2138">
            <v>2138</v>
          </cell>
          <cell r="D2138" t="str">
            <v>S</v>
          </cell>
          <cell r="E2138" t="str">
            <v>DPW</v>
          </cell>
          <cell r="F2138">
            <v>-2362957.0242237644</v>
          </cell>
          <cell r="G2138">
            <v>0</v>
          </cell>
          <cell r="H2138">
            <v>0</v>
          </cell>
          <cell r="I2138">
            <v>-2362957.0242237644</v>
          </cell>
          <cell r="J2138">
            <v>0</v>
          </cell>
          <cell r="K2138">
            <v>0</v>
          </cell>
          <cell r="S2138" t="str">
            <v>PC</v>
          </cell>
          <cell r="T2138">
            <v>0</v>
          </cell>
          <cell r="U2138">
            <v>-2362957.0242237644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D2138">
            <v>108373</v>
          </cell>
          <cell r="AE2138" t="str">
            <v>S</v>
          </cell>
          <cell r="AF2138" t="str">
            <v>108373.S</v>
          </cell>
        </row>
        <row r="2139">
          <cell r="A2139">
            <v>2139</v>
          </cell>
          <cell r="F2139">
            <v>-2362957.0242237644</v>
          </cell>
          <cell r="G2139">
            <v>0</v>
          </cell>
          <cell r="H2139">
            <v>0</v>
          </cell>
          <cell r="I2139">
            <v>-2362957.0242237644</v>
          </cell>
          <cell r="J2139">
            <v>0</v>
          </cell>
          <cell r="K2139">
            <v>0</v>
          </cell>
          <cell r="N2139">
            <v>0</v>
          </cell>
          <cell r="O2139">
            <v>0</v>
          </cell>
          <cell r="Q2139">
            <v>0</v>
          </cell>
          <cell r="R2139">
            <v>0</v>
          </cell>
          <cell r="T2139">
            <v>0</v>
          </cell>
          <cell r="U2139">
            <v>-2362957.0242237644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>
            <v>108373</v>
          </cell>
          <cell r="AE2139" t="str">
            <v>NA</v>
          </cell>
          <cell r="AF2139" t="str">
            <v>108373.NA1</v>
          </cell>
        </row>
        <row r="2140">
          <cell r="A2140">
            <v>2140</v>
          </cell>
          <cell r="AD2140">
            <v>108373</v>
          </cell>
          <cell r="AE2140" t="str">
            <v>NA</v>
          </cell>
          <cell r="AF2140" t="str">
            <v>108373.NA2</v>
          </cell>
        </row>
        <row r="2141">
          <cell r="A2141">
            <v>2141</v>
          </cell>
          <cell r="B2141" t="str">
            <v>108D00</v>
          </cell>
          <cell r="C2141" t="str">
            <v>Unclassified Dist Plant - Acct 300</v>
          </cell>
          <cell r="AD2141" t="str">
            <v>108D00</v>
          </cell>
          <cell r="AE2141" t="str">
            <v>NA</v>
          </cell>
          <cell r="AF2141" t="str">
            <v>108D00.NA</v>
          </cell>
        </row>
        <row r="2142">
          <cell r="A2142">
            <v>2142</v>
          </cell>
          <cell r="D2142" t="str">
            <v>S</v>
          </cell>
          <cell r="E2142" t="str">
            <v>DPW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S2142" t="str">
            <v>PLNT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D2142" t="str">
            <v>108D00</v>
          </cell>
          <cell r="AE2142" t="str">
            <v>S</v>
          </cell>
          <cell r="AF2142" t="str">
            <v>108D00.S</v>
          </cell>
        </row>
        <row r="2143">
          <cell r="A2143">
            <v>2143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N2143">
            <v>0</v>
          </cell>
          <cell r="O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 t="str">
            <v>108D00</v>
          </cell>
          <cell r="AE2143" t="str">
            <v>NA</v>
          </cell>
          <cell r="AF2143" t="str">
            <v>108D00.NA1</v>
          </cell>
        </row>
        <row r="2144">
          <cell r="A2144">
            <v>2144</v>
          </cell>
          <cell r="AD2144" t="str">
            <v>108D00</v>
          </cell>
          <cell r="AE2144" t="str">
            <v>NA</v>
          </cell>
          <cell r="AF2144" t="str">
            <v>108D00.NA2</v>
          </cell>
        </row>
        <row r="2145">
          <cell r="A2145">
            <v>2145</v>
          </cell>
          <cell r="B2145" t="str">
            <v>108DS</v>
          </cell>
          <cell r="C2145" t="str">
            <v>Unclassified Dist Sub Plant - Acct 300</v>
          </cell>
          <cell r="AD2145" t="str">
            <v>108DS</v>
          </cell>
          <cell r="AE2145" t="str">
            <v>NA</v>
          </cell>
          <cell r="AF2145" t="str">
            <v>108DS.NA</v>
          </cell>
        </row>
        <row r="2146">
          <cell r="A2146">
            <v>2146</v>
          </cell>
          <cell r="D2146" t="str">
            <v>S</v>
          </cell>
          <cell r="E2146" t="str">
            <v>DPW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S2146" t="str">
            <v>PLNT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 t="str">
            <v>108DS</v>
          </cell>
          <cell r="AE2146" t="str">
            <v>S</v>
          </cell>
          <cell r="AF2146" t="str">
            <v>108DS.S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 t="str">
            <v>108DS</v>
          </cell>
          <cell r="AE2147" t="str">
            <v>NA</v>
          </cell>
          <cell r="AF2147" t="str">
            <v>108DS.NA1</v>
          </cell>
        </row>
        <row r="2148">
          <cell r="A2148">
            <v>2148</v>
          </cell>
          <cell r="AD2148" t="str">
            <v>108DS</v>
          </cell>
          <cell r="AE2148" t="str">
            <v>NA</v>
          </cell>
          <cell r="AF2148" t="str">
            <v>108DS.NA2</v>
          </cell>
        </row>
        <row r="2149">
          <cell r="A2149">
            <v>2149</v>
          </cell>
          <cell r="B2149" t="str">
            <v>108DP</v>
          </cell>
          <cell r="C2149" t="str">
            <v>Unclassified Dist Sub Plant - Acct 300</v>
          </cell>
          <cell r="AD2149" t="str">
            <v>108DP</v>
          </cell>
          <cell r="AE2149" t="str">
            <v>NA</v>
          </cell>
          <cell r="AF2149" t="str">
            <v>108DP.NA</v>
          </cell>
        </row>
        <row r="2150">
          <cell r="A2150">
            <v>2150</v>
          </cell>
          <cell r="D2150" t="str">
            <v>S</v>
          </cell>
          <cell r="E2150" t="str">
            <v>DPW</v>
          </cell>
          <cell r="F2150">
            <v>352743</v>
          </cell>
          <cell r="G2150">
            <v>0</v>
          </cell>
          <cell r="H2150">
            <v>0</v>
          </cell>
          <cell r="I2150">
            <v>352743</v>
          </cell>
          <cell r="J2150">
            <v>0</v>
          </cell>
          <cell r="K2150">
            <v>0</v>
          </cell>
          <cell r="S2150" t="str">
            <v>PLNT</v>
          </cell>
          <cell r="T2150">
            <v>52706.247808510976</v>
          </cell>
          <cell r="U2150">
            <v>165216.87003451609</v>
          </cell>
          <cell r="V2150">
            <v>79525.699069123439</v>
          </cell>
          <cell r="W2150">
            <v>9318.3206589933161</v>
          </cell>
          <cell r="X2150">
            <v>45975.86242885617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 t="str">
            <v>108DP</v>
          </cell>
          <cell r="AE2150" t="str">
            <v>S</v>
          </cell>
          <cell r="AF2150" t="str">
            <v>108DP.S</v>
          </cell>
        </row>
        <row r="2151">
          <cell r="A2151">
            <v>2151</v>
          </cell>
          <cell r="F2151">
            <v>352743</v>
          </cell>
          <cell r="G2151">
            <v>0</v>
          </cell>
          <cell r="H2151">
            <v>0</v>
          </cell>
          <cell r="I2151">
            <v>352743</v>
          </cell>
          <cell r="J2151">
            <v>0</v>
          </cell>
          <cell r="K2151">
            <v>0</v>
          </cell>
          <cell r="N2151">
            <v>0</v>
          </cell>
          <cell r="O2151">
            <v>0</v>
          </cell>
          <cell r="Q2151">
            <v>0</v>
          </cell>
          <cell r="R2151">
            <v>0</v>
          </cell>
          <cell r="T2151">
            <v>52706.247808510976</v>
          </cell>
          <cell r="U2151">
            <v>165216.87003451609</v>
          </cell>
          <cell r="V2151">
            <v>79525.699069123439</v>
          </cell>
          <cell r="W2151">
            <v>9318.3206589933161</v>
          </cell>
          <cell r="X2151">
            <v>45975.86242885617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 t="str">
            <v>108DP</v>
          </cell>
          <cell r="AE2151" t="str">
            <v>NA</v>
          </cell>
          <cell r="AF2151" t="str">
            <v>108DP.NA1</v>
          </cell>
        </row>
        <row r="2152">
          <cell r="A2152">
            <v>2152</v>
          </cell>
          <cell r="AD2152" t="str">
            <v>108DP</v>
          </cell>
          <cell r="AE2152" t="str">
            <v>NA</v>
          </cell>
          <cell r="AF2152" t="str">
            <v>108DP.NA2</v>
          </cell>
        </row>
        <row r="2153">
          <cell r="A2153">
            <v>2153</v>
          </cell>
          <cell r="AD2153" t="str">
            <v>108DP</v>
          </cell>
          <cell r="AE2153" t="str">
            <v>NA</v>
          </cell>
          <cell r="AF2153" t="str">
            <v>108DP.NA3</v>
          </cell>
        </row>
        <row r="2154">
          <cell r="A2154">
            <v>2154</v>
          </cell>
          <cell r="B2154" t="str">
            <v>TOTAL DISTRIBUTION PLANT DEPR</v>
          </cell>
          <cell r="F2154">
            <v>-270606371.97301036</v>
          </cell>
          <cell r="G2154">
            <v>0</v>
          </cell>
          <cell r="H2154">
            <v>0</v>
          </cell>
          <cell r="I2154">
            <v>-270606371.97301036</v>
          </cell>
          <cell r="J2154">
            <v>0</v>
          </cell>
          <cell r="K2154">
            <v>0</v>
          </cell>
          <cell r="N2154">
            <v>0</v>
          </cell>
          <cell r="O2154">
            <v>0</v>
          </cell>
          <cell r="Q2154">
            <v>0</v>
          </cell>
          <cell r="R2154">
            <v>0</v>
          </cell>
          <cell r="T2154">
            <v>-25903639.346993644</v>
          </cell>
          <cell r="U2154">
            <v>-142802161.5681783</v>
          </cell>
          <cell r="V2154">
            <v>-64489447.06278573</v>
          </cell>
          <cell r="W2154">
            <v>-5995647.9596271543</v>
          </cell>
          <cell r="X2154">
            <v>-31415476.03542554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 t="str">
            <v>TOTAL DISTRIBUTION PLANT DEPR</v>
          </cell>
          <cell r="AE2154" t="str">
            <v>NA</v>
          </cell>
          <cell r="AF2154" t="str">
            <v>TOTAL DISTRIBUTION PLANT DEPR.NA</v>
          </cell>
        </row>
        <row r="2155">
          <cell r="A2155">
            <v>2155</v>
          </cell>
          <cell r="AD2155" t="str">
            <v>TOTAL DISTRIBUTION PLANT DEPR</v>
          </cell>
          <cell r="AE2155" t="str">
            <v>NA</v>
          </cell>
          <cell r="AF2155" t="str">
            <v>TOTAL DISTRIBUTION PLANT DEPR.NA1</v>
          </cell>
        </row>
        <row r="2156">
          <cell r="A2156">
            <v>2156</v>
          </cell>
          <cell r="B2156" t="str">
            <v>108GP</v>
          </cell>
          <cell r="C2156" t="str">
            <v>General Plant Accumulated Depr</v>
          </cell>
          <cell r="AD2156" t="str">
            <v>108GP</v>
          </cell>
          <cell r="AE2156" t="str">
            <v>NA</v>
          </cell>
          <cell r="AF2156" t="str">
            <v>108GP.NA</v>
          </cell>
        </row>
        <row r="2157">
          <cell r="A2157">
            <v>2157</v>
          </cell>
          <cell r="D2157" t="str">
            <v>S</v>
          </cell>
          <cell r="E2157" t="str">
            <v>G-SITUS</v>
          </cell>
          <cell r="F2157">
            <v>-25429456.711387705</v>
          </cell>
          <cell r="G2157">
            <v>0</v>
          </cell>
          <cell r="H2157">
            <v>-7777394.1271517845</v>
          </cell>
          <cell r="I2157">
            <v>-17652062.584235925</v>
          </cell>
          <cell r="J2157">
            <v>0</v>
          </cell>
          <cell r="K2157">
            <v>0</v>
          </cell>
          <cell r="M2157">
            <v>0.59419421435740905</v>
          </cell>
          <cell r="N2157">
            <v>0</v>
          </cell>
          <cell r="O2157">
            <v>0</v>
          </cell>
          <cell r="P2157">
            <v>1</v>
          </cell>
          <cell r="Q2157">
            <v>-7777394.1271517845</v>
          </cell>
          <cell r="R2157">
            <v>0</v>
          </cell>
          <cell r="S2157" t="str">
            <v>PLNT</v>
          </cell>
          <cell r="T2157">
            <v>-2637540.6029207762</v>
          </cell>
          <cell r="U2157">
            <v>-8267828.2200379623</v>
          </cell>
          <cell r="V2157">
            <v>-3979646.9866823144</v>
          </cell>
          <cell r="W2157">
            <v>-466309.97483303299</v>
          </cell>
          <cell r="X2157">
            <v>-2300736.7997618387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D2157" t="str">
            <v>108GP</v>
          </cell>
          <cell r="AE2157" t="str">
            <v>S</v>
          </cell>
          <cell r="AF2157" t="str">
            <v>108GP.S</v>
          </cell>
        </row>
        <row r="2158">
          <cell r="A2158">
            <v>2158</v>
          </cell>
          <cell r="D2158" t="str">
            <v>SG</v>
          </cell>
          <cell r="E2158" t="str">
            <v>G-SG</v>
          </cell>
          <cell r="F2158">
            <v>1931.598069928471</v>
          </cell>
          <cell r="G2158">
            <v>802.01337623311997</v>
          </cell>
          <cell r="H2158">
            <v>1129.584693695351</v>
          </cell>
          <cell r="I2158">
            <v>0</v>
          </cell>
          <cell r="J2158">
            <v>0</v>
          </cell>
          <cell r="K2158">
            <v>0</v>
          </cell>
          <cell r="M2158">
            <v>0.59419421435740905</v>
          </cell>
          <cell r="N2158">
            <v>476.55170799497182</v>
          </cell>
          <cell r="O2158">
            <v>325.46166823814815</v>
          </cell>
          <cell r="P2158">
            <v>1</v>
          </cell>
          <cell r="Q2158">
            <v>1129.584693695351</v>
          </cell>
          <cell r="R2158">
            <v>0</v>
          </cell>
          <cell r="S2158" t="str">
            <v>PLNT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108GP</v>
          </cell>
          <cell r="AE2158" t="str">
            <v>SG</v>
          </cell>
          <cell r="AF2158" t="str">
            <v>108GP.SG</v>
          </cell>
        </row>
        <row r="2159">
          <cell r="A2159">
            <v>2159</v>
          </cell>
          <cell r="D2159" t="str">
            <v>SG-U</v>
          </cell>
          <cell r="E2159" t="str">
            <v>G-DGU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M2159">
            <v>0.59419421435740905</v>
          </cell>
          <cell r="N2159">
            <v>0</v>
          </cell>
          <cell r="O2159">
            <v>0</v>
          </cell>
          <cell r="P2159">
            <v>1</v>
          </cell>
          <cell r="Q2159">
            <v>0</v>
          </cell>
          <cell r="R2159">
            <v>0</v>
          </cell>
          <cell r="S2159" t="str">
            <v>PLNT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D2159" t="str">
            <v>108GP</v>
          </cell>
          <cell r="AE2159" t="str">
            <v>SG-U</v>
          </cell>
          <cell r="AF2159" t="str">
            <v>108GP.SG-U</v>
          </cell>
        </row>
        <row r="2160">
          <cell r="A2160">
            <v>2160</v>
          </cell>
          <cell r="D2160" t="str">
            <v>CAGW</v>
          </cell>
          <cell r="E2160" t="str">
            <v>G-SG</v>
          </cell>
          <cell r="F2160">
            <v>-7791522.7139448579</v>
          </cell>
          <cell r="G2160">
            <v>-3235096.128481512</v>
          </cell>
          <cell r="H2160">
            <v>-4556426.585463346</v>
          </cell>
          <cell r="I2160">
            <v>0</v>
          </cell>
          <cell r="J2160">
            <v>0</v>
          </cell>
          <cell r="K2160">
            <v>0</v>
          </cell>
          <cell r="M2160">
            <v>0.59419421435740905</v>
          </cell>
          <cell r="N2160">
            <v>-1922275.4024337677</v>
          </cell>
          <cell r="O2160">
            <v>-1312820.7260477443</v>
          </cell>
          <cell r="P2160">
            <v>1</v>
          </cell>
          <cell r="Q2160">
            <v>-4556426.585463346</v>
          </cell>
          <cell r="R2160">
            <v>0</v>
          </cell>
          <cell r="S2160" t="str">
            <v>PLNT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D2160" t="str">
            <v>108GP</v>
          </cell>
          <cell r="AE2160" t="str">
            <v>CAGW</v>
          </cell>
          <cell r="AF2160" t="str">
            <v>108GP.CAGW</v>
          </cell>
        </row>
        <row r="2161">
          <cell r="A2161">
            <v>2161</v>
          </cell>
          <cell r="D2161" t="str">
            <v>CN</v>
          </cell>
          <cell r="E2161" t="str">
            <v>CUST</v>
          </cell>
          <cell r="F2161">
            <v>-332175.91108839225</v>
          </cell>
          <cell r="G2161">
            <v>0</v>
          </cell>
          <cell r="H2161">
            <v>0</v>
          </cell>
          <cell r="I2161">
            <v>0</v>
          </cell>
          <cell r="J2161">
            <v>-332175.91108839225</v>
          </cell>
          <cell r="K2161">
            <v>0</v>
          </cell>
          <cell r="M2161">
            <v>0.59419421435740905</v>
          </cell>
          <cell r="N2161">
            <v>0</v>
          </cell>
          <cell r="O2161">
            <v>0</v>
          </cell>
          <cell r="P2161">
            <v>1</v>
          </cell>
          <cell r="Q2161">
            <v>0</v>
          </cell>
          <cell r="R2161">
            <v>0</v>
          </cell>
          <cell r="S2161" t="str">
            <v>CUST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108GP</v>
          </cell>
          <cell r="AE2161" t="str">
            <v>CN</v>
          </cell>
          <cell r="AF2161" t="str">
            <v>108GP.CN</v>
          </cell>
        </row>
        <row r="2162">
          <cell r="A2162">
            <v>2162</v>
          </cell>
          <cell r="D2162" t="str">
            <v>SO</v>
          </cell>
          <cell r="E2162" t="str">
            <v>PTD</v>
          </cell>
          <cell r="F2162">
            <v>-7130526.3291732334</v>
          </cell>
          <cell r="G2162">
            <v>-3491470.3254268123</v>
          </cell>
          <cell r="H2162">
            <v>-1450390.0200062308</v>
          </cell>
          <cell r="I2162">
            <v>-2188665.983740191</v>
          </cell>
          <cell r="J2162">
            <v>0</v>
          </cell>
          <cell r="K2162">
            <v>0</v>
          </cell>
          <cell r="M2162">
            <v>0.59419421435740905</v>
          </cell>
          <cell r="N2162">
            <v>-2074611.466969192</v>
          </cell>
          <cell r="O2162">
            <v>-1416858.8584576203</v>
          </cell>
          <cell r="P2162">
            <v>1</v>
          </cell>
          <cell r="Q2162">
            <v>-1450390.0200062308</v>
          </cell>
          <cell r="R2162">
            <v>0</v>
          </cell>
          <cell r="S2162" t="str">
            <v>PLNT</v>
          </cell>
          <cell r="T2162">
            <v>-327026.6786557606</v>
          </cell>
          <cell r="U2162">
            <v>-1025121.8121538043</v>
          </cell>
          <cell r="V2162">
            <v>-493433.44130358205</v>
          </cell>
          <cell r="W2162">
            <v>-57817.423597129207</v>
          </cell>
          <cell r="X2162">
            <v>-285266.62802991463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D2162" t="str">
            <v>108GP</v>
          </cell>
          <cell r="AE2162" t="str">
            <v>SO</v>
          </cell>
          <cell r="AF2162" t="str">
            <v>108GP.SO</v>
          </cell>
        </row>
        <row r="2163">
          <cell r="A2163">
            <v>2163</v>
          </cell>
          <cell r="D2163" t="str">
            <v>SE</v>
          </cell>
          <cell r="E2163" t="str">
            <v>P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M2163">
            <v>0.59419421435740905</v>
          </cell>
          <cell r="N2163">
            <v>0</v>
          </cell>
          <cell r="O2163">
            <v>0</v>
          </cell>
          <cell r="P2163">
            <v>1</v>
          </cell>
          <cell r="Q2163">
            <v>0</v>
          </cell>
          <cell r="R2163">
            <v>0</v>
          </cell>
          <cell r="S2163" t="str">
            <v>PLNT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D2163" t="str">
            <v>108GP</v>
          </cell>
          <cell r="AE2163" t="str">
            <v>SE</v>
          </cell>
          <cell r="AF2163" t="str">
            <v>108GP.SE</v>
          </cell>
        </row>
        <row r="2164">
          <cell r="A2164">
            <v>2164</v>
          </cell>
          <cell r="D2164" t="str">
            <v>JBG</v>
          </cell>
          <cell r="E2164" t="str">
            <v>G-SG</v>
          </cell>
          <cell r="F2164">
            <v>-1312646.2266117241</v>
          </cell>
          <cell r="G2164">
            <v>-545020.13042678114</v>
          </cell>
          <cell r="H2164">
            <v>-767626.0961849431</v>
          </cell>
          <cell r="I2164">
            <v>0</v>
          </cell>
          <cell r="J2164">
            <v>0</v>
          </cell>
          <cell r="K2164">
            <v>0</v>
          </cell>
          <cell r="M2164">
            <v>0.59419421435740905</v>
          </cell>
          <cell r="N2164">
            <v>-323847.80820791383</v>
          </cell>
          <cell r="O2164">
            <v>-221172.32221886731</v>
          </cell>
          <cell r="P2164">
            <v>1</v>
          </cell>
          <cell r="Q2164">
            <v>-767626.0961849431</v>
          </cell>
          <cell r="R2164">
            <v>0</v>
          </cell>
          <cell r="S2164" t="str">
            <v>PLNT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D2164" t="str">
            <v>108GP</v>
          </cell>
          <cell r="AE2164" t="str">
            <v>JBG</v>
          </cell>
          <cell r="AF2164" t="str">
            <v>108GP.JBG</v>
          </cell>
        </row>
        <row r="2165">
          <cell r="A2165">
            <v>2165</v>
          </cell>
          <cell r="D2165" t="str">
            <v>JBE</v>
          </cell>
          <cell r="E2165" t="str">
            <v>P</v>
          </cell>
          <cell r="F2165">
            <v>72.497943240430459</v>
          </cell>
          <cell r="G2165">
            <v>72.497943240430459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0.59419421435740905</v>
          </cell>
          <cell r="N2165">
            <v>43.077858426275611</v>
          </cell>
          <cell r="O2165">
            <v>29.420084814154848</v>
          </cell>
          <cell r="P2165">
            <v>1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108GP</v>
          </cell>
          <cell r="AE2165" t="str">
            <v>JBE</v>
          </cell>
          <cell r="AF2165" t="str">
            <v>108GP.JBE</v>
          </cell>
        </row>
        <row r="2166">
          <cell r="A2166">
            <v>2166</v>
          </cell>
          <cell r="D2166" t="str">
            <v>CAGE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0.59419421435740905</v>
          </cell>
          <cell r="N2166">
            <v>0</v>
          </cell>
          <cell r="O2166">
            <v>0</v>
          </cell>
          <cell r="P2166">
            <v>1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108GP</v>
          </cell>
          <cell r="AE2166" t="str">
            <v>CAGE</v>
          </cell>
          <cell r="AF2166" t="str">
            <v>108GP.CAGE</v>
          </cell>
        </row>
        <row r="2167">
          <cell r="A2167">
            <v>2167</v>
          </cell>
          <cell r="F2167">
            <v>-41994323.796192743</v>
          </cell>
          <cell r="G2167">
            <v>-7270712.0730156321</v>
          </cell>
          <cell r="H2167">
            <v>-14550707.244112609</v>
          </cell>
          <cell r="I2167">
            <v>-19840728.567976117</v>
          </cell>
          <cell r="J2167">
            <v>-332175.91108839225</v>
          </cell>
          <cell r="K2167">
            <v>0</v>
          </cell>
          <cell r="N2167">
            <v>-4320215.0480444524</v>
          </cell>
          <cell r="O2167">
            <v>-2950497.0249711797</v>
          </cell>
          <cell r="Q2167">
            <v>-14550707.244112609</v>
          </cell>
          <cell r="R2167">
            <v>0</v>
          </cell>
          <cell r="T2167">
            <v>-2964567.2815765366</v>
          </cell>
          <cell r="U2167">
            <v>-9292950.0321917664</v>
          </cell>
          <cell r="V2167">
            <v>-4473080.4279858964</v>
          </cell>
          <cell r="W2167">
            <v>-524127.39843016223</v>
          </cell>
          <cell r="X2167">
            <v>-2586003.4277917533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108GP</v>
          </cell>
          <cell r="AE2167" t="str">
            <v>NA</v>
          </cell>
          <cell r="AF2167" t="str">
            <v>108GP.NA1</v>
          </cell>
        </row>
        <row r="2168">
          <cell r="A2168">
            <v>2168</v>
          </cell>
          <cell r="AD2168" t="str">
            <v>108GP</v>
          </cell>
          <cell r="AE2168" t="str">
            <v>NA</v>
          </cell>
          <cell r="AF2168" t="str">
            <v>108GP.NA2</v>
          </cell>
        </row>
        <row r="2169">
          <cell r="A2169">
            <v>2169</v>
          </cell>
          <cell r="AD2169" t="str">
            <v>108GP</v>
          </cell>
          <cell r="AE2169" t="str">
            <v>NA</v>
          </cell>
          <cell r="AF2169" t="str">
            <v>108GP.NA3</v>
          </cell>
        </row>
        <row r="2170">
          <cell r="A2170">
            <v>2170</v>
          </cell>
          <cell r="B2170" t="str">
            <v>108MP</v>
          </cell>
          <cell r="C2170" t="str">
            <v>Mining Plant Accumulated Depr.</v>
          </cell>
          <cell r="AD2170" t="str">
            <v>108MP</v>
          </cell>
          <cell r="AE2170" t="str">
            <v>NA</v>
          </cell>
          <cell r="AF2170" t="str">
            <v>108MP.NA</v>
          </cell>
        </row>
        <row r="2171">
          <cell r="A2171">
            <v>2171</v>
          </cell>
          <cell r="D2171" t="str">
            <v>JBE</v>
          </cell>
          <cell r="E2171" t="str">
            <v>P</v>
          </cell>
          <cell r="F2171">
            <v>-57337030.203123763</v>
          </cell>
          <cell r="G2171">
            <v>-57337030.203123763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M2171">
            <v>0.59419421435740905</v>
          </cell>
          <cell r="N2171">
            <v>-34069331.61513216</v>
          </cell>
          <cell r="O2171">
            <v>-23267698.587991606</v>
          </cell>
          <cell r="P2171">
            <v>1</v>
          </cell>
          <cell r="Q2171">
            <v>0</v>
          </cell>
          <cell r="R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108MP</v>
          </cell>
          <cell r="AE2171" t="str">
            <v>JBE</v>
          </cell>
          <cell r="AF2171" t="str">
            <v>108MP.JBE</v>
          </cell>
        </row>
        <row r="2172">
          <cell r="A2172">
            <v>2172</v>
          </cell>
          <cell r="D2172" t="str">
            <v>SE</v>
          </cell>
          <cell r="E2172" t="str">
            <v>P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M2172">
            <v>0.59419421435740905</v>
          </cell>
          <cell r="N2172">
            <v>0</v>
          </cell>
          <cell r="O2172">
            <v>0</v>
          </cell>
          <cell r="P2172">
            <v>1</v>
          </cell>
          <cell r="Q2172">
            <v>0</v>
          </cell>
          <cell r="R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108MP</v>
          </cell>
          <cell r="AE2172" t="str">
            <v>SE</v>
          </cell>
          <cell r="AF2172" t="str">
            <v>108MP.SE</v>
          </cell>
        </row>
        <row r="2173">
          <cell r="A2173">
            <v>2173</v>
          </cell>
          <cell r="F2173">
            <v>-57337030.203123763</v>
          </cell>
          <cell r="G2173">
            <v>-57337030.203123763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N2173">
            <v>-34069331.61513216</v>
          </cell>
          <cell r="O2173">
            <v>-23267698.587991606</v>
          </cell>
          <cell r="Q2173">
            <v>0</v>
          </cell>
          <cell r="R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AD2173" t="str">
            <v>108MP</v>
          </cell>
          <cell r="AE2173" t="str">
            <v>NA</v>
          </cell>
          <cell r="AF2173" t="str">
            <v>108MP.NA1</v>
          </cell>
        </row>
        <row r="2174">
          <cell r="A2174">
            <v>2174</v>
          </cell>
          <cell r="AD2174" t="str">
            <v>108MP</v>
          </cell>
          <cell r="AE2174" t="str">
            <v>NA</v>
          </cell>
          <cell r="AF2174" t="str">
            <v>108MP.NA2</v>
          </cell>
        </row>
        <row r="2175">
          <cell r="A2175">
            <v>2175</v>
          </cell>
          <cell r="B2175" t="str">
            <v>108MP</v>
          </cell>
          <cell r="C2175" t="str">
            <v>Less Centralia Situs Depreciation</v>
          </cell>
          <cell r="AD2175" t="str">
            <v>108MP</v>
          </cell>
          <cell r="AE2175" t="str">
            <v>NA</v>
          </cell>
          <cell r="AF2175" t="str">
            <v>108MP.NA3</v>
          </cell>
        </row>
        <row r="2176">
          <cell r="A2176">
            <v>2176</v>
          </cell>
          <cell r="D2176" t="str">
            <v>DOTH</v>
          </cell>
          <cell r="E2176" t="str">
            <v>P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M2176">
            <v>0.59419421435740905</v>
          </cell>
          <cell r="N2176">
            <v>0</v>
          </cell>
          <cell r="O2176">
            <v>0</v>
          </cell>
          <cell r="P2176">
            <v>1</v>
          </cell>
          <cell r="Q2176">
            <v>0</v>
          </cell>
          <cell r="R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108MP</v>
          </cell>
          <cell r="AE2176" t="str">
            <v>DOTH</v>
          </cell>
          <cell r="AF2176" t="str">
            <v>108MP.DOTH</v>
          </cell>
        </row>
        <row r="2177">
          <cell r="A2177">
            <v>2177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N2177">
            <v>0</v>
          </cell>
          <cell r="O2177">
            <v>0</v>
          </cell>
          <cell r="Q2177">
            <v>0</v>
          </cell>
          <cell r="R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D2177" t="str">
            <v>108MP</v>
          </cell>
          <cell r="AE2177" t="str">
            <v>NA</v>
          </cell>
          <cell r="AF2177" t="str">
            <v>108MP.NA4</v>
          </cell>
        </row>
        <row r="2178">
          <cell r="A2178">
            <v>2178</v>
          </cell>
          <cell r="AD2178" t="str">
            <v>108MP</v>
          </cell>
          <cell r="AE2178" t="str">
            <v>NA</v>
          </cell>
          <cell r="AF2178" t="str">
            <v>108MP.NA5</v>
          </cell>
        </row>
        <row r="2179">
          <cell r="A2179">
            <v>2179</v>
          </cell>
          <cell r="B2179">
            <v>1081390</v>
          </cell>
          <cell r="C2179" t="str">
            <v>Accum Depr - Capital Lease</v>
          </cell>
          <cell r="AD2179">
            <v>1081390</v>
          </cell>
          <cell r="AE2179" t="str">
            <v>NA</v>
          </cell>
          <cell r="AF2179" t="str">
            <v>1081390.NA</v>
          </cell>
        </row>
        <row r="2180">
          <cell r="A2180">
            <v>2180</v>
          </cell>
          <cell r="D2180" t="str">
            <v>SO</v>
          </cell>
          <cell r="E2180" t="str">
            <v>PTD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0.59419421435740905</v>
          </cell>
          <cell r="N2180">
            <v>0</v>
          </cell>
          <cell r="O2180">
            <v>0</v>
          </cell>
          <cell r="P2180">
            <v>1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>
            <v>1081390</v>
          </cell>
          <cell r="AE2180" t="str">
            <v>SO</v>
          </cell>
          <cell r="AF2180" t="str">
            <v>1081390.SO</v>
          </cell>
        </row>
        <row r="2181">
          <cell r="A2181">
            <v>2181</v>
          </cell>
          <cell r="AD2181">
            <v>1081390</v>
          </cell>
          <cell r="AE2181" t="str">
            <v>NA</v>
          </cell>
          <cell r="AF2181" t="str">
            <v>1081390.NA1</v>
          </cell>
        </row>
        <row r="2182">
          <cell r="A2182">
            <v>2182</v>
          </cell>
          <cell r="AD2182">
            <v>1081390</v>
          </cell>
          <cell r="AE2182" t="str">
            <v>NA</v>
          </cell>
          <cell r="AF2182" t="str">
            <v>1081390.NA2</v>
          </cell>
        </row>
        <row r="2183">
          <cell r="A2183">
            <v>2183</v>
          </cell>
          <cell r="C2183" t="str">
            <v>Remove Capital Leases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0.59419421435740905</v>
          </cell>
          <cell r="N2183">
            <v>0</v>
          </cell>
          <cell r="O2183">
            <v>0</v>
          </cell>
          <cell r="P2183">
            <v>1</v>
          </cell>
          <cell r="Q2183">
            <v>0</v>
          </cell>
          <cell r="R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>
            <v>1081390</v>
          </cell>
          <cell r="AE2183" t="str">
            <v>NA</v>
          </cell>
          <cell r="AF2183" t="str">
            <v>1081390.NA3</v>
          </cell>
        </row>
        <row r="2184">
          <cell r="A2184">
            <v>2184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0</v>
          </cell>
          <cell r="O2184">
            <v>0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>
            <v>1081390</v>
          </cell>
          <cell r="AE2184" t="str">
            <v>NA</v>
          </cell>
          <cell r="AF2184" t="str">
            <v>1081390.NA4</v>
          </cell>
        </row>
        <row r="2185">
          <cell r="A2185">
            <v>2185</v>
          </cell>
          <cell r="AD2185">
            <v>1081390</v>
          </cell>
          <cell r="AE2185" t="str">
            <v>NA</v>
          </cell>
          <cell r="AF2185" t="str">
            <v>1081390.NA5</v>
          </cell>
        </row>
        <row r="2186">
          <cell r="A2186">
            <v>2186</v>
          </cell>
          <cell r="B2186">
            <v>1081399</v>
          </cell>
          <cell r="C2186" t="str">
            <v>Accum Depr - Capital Lease</v>
          </cell>
          <cell r="AD2186">
            <v>1081399</v>
          </cell>
          <cell r="AE2186" t="str">
            <v>NA</v>
          </cell>
          <cell r="AF2186" t="str">
            <v>1081399.NA</v>
          </cell>
        </row>
        <row r="2187">
          <cell r="A2187">
            <v>2187</v>
          </cell>
          <cell r="D2187" t="str">
            <v>S</v>
          </cell>
          <cell r="E2187" t="str">
            <v>P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M2187">
            <v>0.59419421435740905</v>
          </cell>
          <cell r="N2187">
            <v>0</v>
          </cell>
          <cell r="O2187">
            <v>0</v>
          </cell>
          <cell r="P2187">
            <v>1</v>
          </cell>
          <cell r="Q2187">
            <v>0</v>
          </cell>
          <cell r="R2187">
            <v>0</v>
          </cell>
          <cell r="S2187" t="str">
            <v>PLNT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D2187">
            <v>1081399</v>
          </cell>
          <cell r="AE2187" t="str">
            <v>S</v>
          </cell>
          <cell r="AF2187" t="str">
            <v>1081399.S</v>
          </cell>
        </row>
        <row r="2188">
          <cell r="A2188">
            <v>2188</v>
          </cell>
          <cell r="D2188" t="str">
            <v>SE</v>
          </cell>
          <cell r="E2188" t="str">
            <v>P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M2188">
            <v>0.59419421435740905</v>
          </cell>
          <cell r="N2188">
            <v>0</v>
          </cell>
          <cell r="O2188">
            <v>0</v>
          </cell>
          <cell r="P2188">
            <v>1</v>
          </cell>
          <cell r="Q2188">
            <v>0</v>
          </cell>
          <cell r="R2188">
            <v>0</v>
          </cell>
          <cell r="S2188" t="str">
            <v>PLNT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>
            <v>1081399</v>
          </cell>
          <cell r="AE2188" t="str">
            <v>SE</v>
          </cell>
          <cell r="AF2188" t="str">
            <v>1081399.SE</v>
          </cell>
        </row>
        <row r="2189">
          <cell r="A2189">
            <v>2189</v>
          </cell>
          <cell r="AD2189">
            <v>1081399</v>
          </cell>
          <cell r="AE2189" t="str">
            <v>NA</v>
          </cell>
          <cell r="AF2189" t="str">
            <v>1081399.NA1</v>
          </cell>
        </row>
        <row r="2190">
          <cell r="A2190">
            <v>2190</v>
          </cell>
          <cell r="AD2190">
            <v>1081399</v>
          </cell>
          <cell r="AE2190" t="str">
            <v>NA</v>
          </cell>
          <cell r="AF2190" t="str">
            <v>1081399.NA2</v>
          </cell>
        </row>
        <row r="2191">
          <cell r="A2191">
            <v>2191</v>
          </cell>
          <cell r="C2191" t="str">
            <v>Remove Capital Leases</v>
          </cell>
          <cell r="E2191" t="str">
            <v>P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0.59419421435740905</v>
          </cell>
          <cell r="N2191">
            <v>0</v>
          </cell>
          <cell r="O2191">
            <v>0</v>
          </cell>
          <cell r="P2191">
            <v>1</v>
          </cell>
          <cell r="Q2191">
            <v>0</v>
          </cell>
          <cell r="R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>
            <v>1081399</v>
          </cell>
          <cell r="AE2191" t="str">
            <v>NA</v>
          </cell>
          <cell r="AF2191" t="str">
            <v>1081399.NA3</v>
          </cell>
        </row>
        <row r="2192">
          <cell r="A2192">
            <v>2192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N2192">
            <v>0</v>
          </cell>
          <cell r="O2192">
            <v>0</v>
          </cell>
          <cell r="Q2192">
            <v>0</v>
          </cell>
          <cell r="R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>
            <v>1081399</v>
          </cell>
          <cell r="AE2192" t="str">
            <v>NA</v>
          </cell>
          <cell r="AF2192" t="str">
            <v>1081399.NA4</v>
          </cell>
        </row>
        <row r="2193">
          <cell r="A2193">
            <v>2193</v>
          </cell>
          <cell r="AD2193">
            <v>1081399</v>
          </cell>
          <cell r="AE2193" t="str">
            <v>NA</v>
          </cell>
          <cell r="AF2193" t="str">
            <v>1081399.NA5</v>
          </cell>
        </row>
        <row r="2194">
          <cell r="A2194">
            <v>2194</v>
          </cell>
          <cell r="AD2194">
            <v>1081399</v>
          </cell>
          <cell r="AE2194" t="str">
            <v>NA</v>
          </cell>
          <cell r="AF2194" t="str">
            <v>1081399.NA6</v>
          </cell>
        </row>
        <row r="2195">
          <cell r="A2195">
            <v>2195</v>
          </cell>
          <cell r="B2195" t="str">
            <v>TOTAL GENERAL PLANT ACCUM DEPR</v>
          </cell>
          <cell r="F2195">
            <v>-99331353.999316514</v>
          </cell>
          <cell r="G2195">
            <v>-64607742.276139393</v>
          </cell>
          <cell r="H2195">
            <v>-14550707.244112609</v>
          </cell>
          <cell r="I2195">
            <v>-19840728.567976117</v>
          </cell>
          <cell r="J2195">
            <v>-332175.91108839225</v>
          </cell>
          <cell r="K2195">
            <v>0</v>
          </cell>
          <cell r="N2195">
            <v>-38389546.663176611</v>
          </cell>
          <cell r="O2195">
            <v>-26218195.612962786</v>
          </cell>
          <cell r="Q2195">
            <v>-14550707.244112609</v>
          </cell>
          <cell r="R2195">
            <v>0</v>
          </cell>
          <cell r="T2195">
            <v>-2964567.2815765366</v>
          </cell>
          <cell r="U2195">
            <v>-9292950.0321917664</v>
          </cell>
          <cell r="V2195">
            <v>-4473080.4279858964</v>
          </cell>
          <cell r="W2195">
            <v>-524127.39843016223</v>
          </cell>
          <cell r="X2195">
            <v>-2586003.4277917533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TOTAL GENERAL PLANT ACCUM DEPR</v>
          </cell>
          <cell r="AE2195" t="str">
            <v>NA</v>
          </cell>
          <cell r="AF2195" t="str">
            <v>TOTAL GENERAL PLANT ACCUM DEPR.NA</v>
          </cell>
        </row>
        <row r="2196">
          <cell r="A2196">
            <v>2196</v>
          </cell>
          <cell r="AD2196" t="str">
            <v>TOTAL GENERAL PLANT ACCUM DEPR</v>
          </cell>
          <cell r="AE2196" t="str">
            <v>NA</v>
          </cell>
          <cell r="AF2196" t="str">
            <v>TOTAL GENERAL PLANT ACCUM DEPR.NA1</v>
          </cell>
        </row>
        <row r="2197">
          <cell r="A2197">
            <v>2197</v>
          </cell>
          <cell r="AD2197" t="str">
            <v>TOTAL GENERAL PLANT ACCUM DEPR</v>
          </cell>
          <cell r="AE2197" t="str">
            <v>NA</v>
          </cell>
          <cell r="AF2197" t="str">
            <v>TOTAL GENERAL PLANT ACCUM DEPR.NA2</v>
          </cell>
        </row>
        <row r="2198">
          <cell r="A2198">
            <v>2198</v>
          </cell>
          <cell r="B2198" t="str">
            <v>TOTAL ACCUM DEPR - PLANT IN SERVICE</v>
          </cell>
          <cell r="F2198">
            <v>-764511699.83147633</v>
          </cell>
          <cell r="G2198">
            <v>-305123391.28990865</v>
          </cell>
          <cell r="H2198">
            <v>-168609032.0894928</v>
          </cell>
          <cell r="I2198">
            <v>-290447100.54098648</v>
          </cell>
          <cell r="J2198">
            <v>-332175.91108839225</v>
          </cell>
          <cell r="K2198">
            <v>0</v>
          </cell>
          <cell r="N2198">
            <v>-181302553.7695756</v>
          </cell>
          <cell r="O2198">
            <v>-123820837.52033308</v>
          </cell>
          <cell r="Q2198">
            <v>-168609032.0894928</v>
          </cell>
          <cell r="R2198">
            <v>0</v>
          </cell>
          <cell r="T2198">
            <v>-28868206.62857018</v>
          </cell>
          <cell r="U2198">
            <v>-152095111.60037005</v>
          </cell>
          <cell r="V2198">
            <v>-68962527.490771621</v>
          </cell>
          <cell r="W2198">
            <v>-6519775.3580573164</v>
          </cell>
          <cell r="X2198">
            <v>-34001479.463217296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TOTAL ACCUM DEPR - PLANT IN SERVICE</v>
          </cell>
          <cell r="AE2198" t="str">
            <v>NA</v>
          </cell>
          <cell r="AF2198" t="str">
            <v>TOTAL ACCUM DEPR - PLANT IN SERVICE.NA</v>
          </cell>
        </row>
        <row r="2199">
          <cell r="A2199">
            <v>2199</v>
          </cell>
          <cell r="AD2199" t="str">
            <v>TOTAL ACCUM DEPR - PLANT IN SERVICE</v>
          </cell>
          <cell r="AE2199" t="str">
            <v>NA</v>
          </cell>
          <cell r="AF2199" t="str">
            <v>TOTAL ACCUM DEPR - PLANT IN SERVICE.NA1</v>
          </cell>
        </row>
        <row r="2200">
          <cell r="A2200">
            <v>2200</v>
          </cell>
          <cell r="AD2200" t="str">
            <v>TOTAL ACCUM DEPR - PLANT IN SERVICE</v>
          </cell>
          <cell r="AE2200" t="str">
            <v>NA</v>
          </cell>
          <cell r="AF2200" t="str">
            <v>TOTAL ACCUM DEPR - PLANT IN SERVICE.NA2</v>
          </cell>
        </row>
        <row r="2201">
          <cell r="A2201">
            <v>2201</v>
          </cell>
          <cell r="B2201" t="str">
            <v>111SP</v>
          </cell>
          <cell r="C2201" t="str">
            <v>Accum Prov for Amort-Steam</v>
          </cell>
          <cell r="AD2201" t="str">
            <v>111SP</v>
          </cell>
          <cell r="AE2201" t="str">
            <v>NA</v>
          </cell>
          <cell r="AF2201" t="str">
            <v>111SP.NA</v>
          </cell>
        </row>
        <row r="2202">
          <cell r="A2202">
            <v>2202</v>
          </cell>
          <cell r="D2202" t="str">
            <v>SG-P</v>
          </cell>
          <cell r="E2202" t="str">
            <v>P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M2202">
            <v>0.59419421435740905</v>
          </cell>
          <cell r="N2202">
            <v>0</v>
          </cell>
          <cell r="O2202">
            <v>0</v>
          </cell>
          <cell r="P2202">
            <v>1</v>
          </cell>
          <cell r="Q2202">
            <v>0</v>
          </cell>
          <cell r="R2202">
            <v>0</v>
          </cell>
          <cell r="S2202" t="str">
            <v>PLNT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111SP</v>
          </cell>
          <cell r="AE2202" t="str">
            <v>SG-P</v>
          </cell>
          <cell r="AF2202" t="str">
            <v>111SP.SG-P</v>
          </cell>
        </row>
        <row r="2203">
          <cell r="A2203">
            <v>2203</v>
          </cell>
          <cell r="D2203" t="str">
            <v>SG</v>
          </cell>
          <cell r="E2203" t="str">
            <v>P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M2203">
            <v>0.59419421435740905</v>
          </cell>
          <cell r="N2203">
            <v>0</v>
          </cell>
          <cell r="O2203">
            <v>0</v>
          </cell>
          <cell r="P2203">
            <v>1</v>
          </cell>
          <cell r="Q2203">
            <v>0</v>
          </cell>
          <cell r="R2203">
            <v>0</v>
          </cell>
          <cell r="S2203" t="str">
            <v>PLNT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D2203" t="str">
            <v>111SP</v>
          </cell>
          <cell r="AE2203" t="str">
            <v>SG</v>
          </cell>
          <cell r="AF2203" t="str">
            <v>111SP.SG</v>
          </cell>
        </row>
        <row r="2204">
          <cell r="A2204">
            <v>2204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N2204">
            <v>0</v>
          </cell>
          <cell r="O2204">
            <v>0</v>
          </cell>
          <cell r="Q2204">
            <v>0</v>
          </cell>
          <cell r="R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D2204" t="str">
            <v>111SP</v>
          </cell>
          <cell r="AE2204" t="str">
            <v>NA</v>
          </cell>
          <cell r="AF2204" t="str">
            <v>111SP.NA1</v>
          </cell>
        </row>
        <row r="2205">
          <cell r="A2205">
            <v>2205</v>
          </cell>
          <cell r="AD2205" t="str">
            <v>111SP</v>
          </cell>
          <cell r="AE2205" t="str">
            <v>NA</v>
          </cell>
          <cell r="AF2205" t="str">
            <v>111SP.NA2</v>
          </cell>
        </row>
        <row r="2206">
          <cell r="A2206">
            <v>2206</v>
          </cell>
          <cell r="AD2206" t="str">
            <v>111SP</v>
          </cell>
          <cell r="AE2206" t="str">
            <v>NA</v>
          </cell>
          <cell r="AF2206" t="str">
            <v>111SP.NA3</v>
          </cell>
        </row>
        <row r="2207">
          <cell r="A2207">
            <v>2207</v>
          </cell>
          <cell r="B2207" t="str">
            <v>111GP</v>
          </cell>
          <cell r="C2207" t="str">
            <v>Accum Prov for Amort-General</v>
          </cell>
          <cell r="AD2207" t="str">
            <v>111GP</v>
          </cell>
          <cell r="AE2207" t="str">
            <v>NA</v>
          </cell>
          <cell r="AF2207" t="str">
            <v>111GP.NA</v>
          </cell>
        </row>
        <row r="2208">
          <cell r="A2208">
            <v>2208</v>
          </cell>
          <cell r="D2208" t="str">
            <v>S</v>
          </cell>
          <cell r="E2208" t="str">
            <v>G-SITUS</v>
          </cell>
          <cell r="F2208">
            <v>-1811790.4050000003</v>
          </cell>
          <cell r="G2208">
            <v>0</v>
          </cell>
          <cell r="H2208">
            <v>-554121.4747685421</v>
          </cell>
          <cell r="I2208">
            <v>-1257668.9302314585</v>
          </cell>
          <cell r="J2208">
            <v>0</v>
          </cell>
          <cell r="K2208">
            <v>0</v>
          </cell>
          <cell r="M2208">
            <v>0.59419421435740905</v>
          </cell>
          <cell r="N2208">
            <v>0</v>
          </cell>
          <cell r="O2208">
            <v>0</v>
          </cell>
          <cell r="P2208">
            <v>1</v>
          </cell>
          <cell r="Q2208">
            <v>-554121.4747685421</v>
          </cell>
          <cell r="R2208">
            <v>0</v>
          </cell>
          <cell r="S2208" t="str">
            <v>PLNT</v>
          </cell>
          <cell r="T2208">
            <v>-187918.71220079251</v>
          </cell>
          <cell r="U2208">
            <v>-589063.77785668254</v>
          </cell>
          <cell r="V2208">
            <v>-283540.71058581851</v>
          </cell>
          <cell r="W2208">
            <v>-33223.51506550044</v>
          </cell>
          <cell r="X2208">
            <v>-163922.21452266452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D2208" t="str">
            <v>111GP</v>
          </cell>
          <cell r="AE2208" t="str">
            <v>S</v>
          </cell>
          <cell r="AF2208" t="str">
            <v>111GP.S</v>
          </cell>
        </row>
        <row r="2209">
          <cell r="A2209">
            <v>2209</v>
          </cell>
          <cell r="D2209" t="str">
            <v>CN</v>
          </cell>
          <cell r="E2209" t="str">
            <v>CUST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M2209">
            <v>0.59419421435740905</v>
          </cell>
          <cell r="N2209">
            <v>0</v>
          </cell>
          <cell r="O2209">
            <v>0</v>
          </cell>
          <cell r="P2209">
            <v>1</v>
          </cell>
          <cell r="Q2209">
            <v>0</v>
          </cell>
          <cell r="R2209">
            <v>0</v>
          </cell>
          <cell r="S2209" t="str">
            <v>CUST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D2209" t="str">
            <v>111GP</v>
          </cell>
          <cell r="AE2209" t="str">
            <v>CN</v>
          </cell>
          <cell r="AF2209" t="str">
            <v>111GP.CN</v>
          </cell>
        </row>
        <row r="2210">
          <cell r="A2210">
            <v>2210</v>
          </cell>
          <cell r="D2210" t="str">
            <v>CAGW</v>
          </cell>
          <cell r="E2210" t="str">
            <v>I-SG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M2210">
            <v>0.59419421435740905</v>
          </cell>
          <cell r="N2210">
            <v>0</v>
          </cell>
          <cell r="O2210">
            <v>0</v>
          </cell>
          <cell r="P2210">
            <v>1</v>
          </cell>
          <cell r="Q2210">
            <v>0</v>
          </cell>
          <cell r="R2210">
            <v>0</v>
          </cell>
          <cell r="S2210" t="str">
            <v>PLNT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D2210" t="str">
            <v>111GP</v>
          </cell>
          <cell r="AE2210" t="str">
            <v>CAGW</v>
          </cell>
          <cell r="AF2210" t="str">
            <v>111GP.CAGW</v>
          </cell>
        </row>
        <row r="2211">
          <cell r="A2211">
            <v>2211</v>
          </cell>
          <cell r="D2211" t="str">
            <v>SO</v>
          </cell>
          <cell r="E2211" t="str">
            <v>PTD</v>
          </cell>
          <cell r="F2211">
            <v>-259306.78856897121</v>
          </cell>
          <cell r="G2211">
            <v>-126969.86388875195</v>
          </cell>
          <cell r="H2211">
            <v>-52744.49050437894</v>
          </cell>
          <cell r="I2211">
            <v>-79592.434175840346</v>
          </cell>
          <cell r="J2211">
            <v>0</v>
          </cell>
          <cell r="K2211">
            <v>0</v>
          </cell>
          <cell r="M2211">
            <v>0.59419421435740905</v>
          </cell>
          <cell r="N2211">
            <v>-75444.758520444127</v>
          </cell>
          <cell r="O2211">
            <v>-51525.105368307821</v>
          </cell>
          <cell r="P2211">
            <v>1</v>
          </cell>
          <cell r="Q2211">
            <v>-52744.49050437894</v>
          </cell>
          <cell r="R2211">
            <v>0</v>
          </cell>
          <cell r="S2211" t="str">
            <v>PLNT</v>
          </cell>
          <cell r="T2211">
            <v>-11892.563592628172</v>
          </cell>
          <cell r="U2211">
            <v>-37279.302078171902</v>
          </cell>
          <cell r="V2211">
            <v>-17944.066837462105</v>
          </cell>
          <cell r="W2211">
            <v>-2102.5727616998743</v>
          </cell>
          <cell r="X2211">
            <v>-10373.928905878292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D2211" t="str">
            <v>111GP</v>
          </cell>
          <cell r="AE2211" t="str">
            <v>SO</v>
          </cell>
          <cell r="AF2211" t="str">
            <v>111GP.SO</v>
          </cell>
        </row>
        <row r="2212">
          <cell r="A2212">
            <v>2212</v>
          </cell>
          <cell r="D2212" t="str">
            <v>SE</v>
          </cell>
          <cell r="E2212" t="str">
            <v>P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M2212">
            <v>0.59419421435740905</v>
          </cell>
          <cell r="N2212">
            <v>0</v>
          </cell>
          <cell r="O2212">
            <v>0</v>
          </cell>
          <cell r="P2212">
            <v>1</v>
          </cell>
          <cell r="Q2212">
            <v>0</v>
          </cell>
          <cell r="R2212">
            <v>0</v>
          </cell>
          <cell r="S2212" t="str">
            <v>PLNT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111GP</v>
          </cell>
          <cell r="AE2212" t="str">
            <v>SE</v>
          </cell>
          <cell r="AF2212" t="str">
            <v>111GP.SE</v>
          </cell>
        </row>
        <row r="2213">
          <cell r="A2213">
            <v>2213</v>
          </cell>
          <cell r="F2213">
            <v>-2071097.1935689715</v>
          </cell>
          <cell r="G2213">
            <v>-126969.86388875195</v>
          </cell>
          <cell r="H2213">
            <v>-606865.96527292102</v>
          </cell>
          <cell r="I2213">
            <v>-1337261.3644072989</v>
          </cell>
          <cell r="J2213">
            <v>0</v>
          </cell>
          <cell r="K2213">
            <v>0</v>
          </cell>
          <cell r="N2213">
            <v>-75444.758520444127</v>
          </cell>
          <cell r="O2213">
            <v>-51525.105368307821</v>
          </cell>
          <cell r="Q2213">
            <v>-606865.96527292102</v>
          </cell>
          <cell r="R2213">
            <v>0</v>
          </cell>
          <cell r="T2213">
            <v>-199811.27579342067</v>
          </cell>
          <cell r="U2213">
            <v>-626343.07993485441</v>
          </cell>
          <cell r="V2213">
            <v>-301484.77742328064</v>
          </cell>
          <cell r="W2213">
            <v>-35326.087827200317</v>
          </cell>
          <cell r="X2213">
            <v>-174296.14342854283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D2213" t="str">
            <v>111GP</v>
          </cell>
          <cell r="AE2213" t="str">
            <v>NA</v>
          </cell>
          <cell r="AF2213" t="str">
            <v>111GP.NA1</v>
          </cell>
        </row>
        <row r="2214">
          <cell r="A2214">
            <v>2214</v>
          </cell>
          <cell r="AD2214" t="str">
            <v>111GP</v>
          </cell>
          <cell r="AE2214" t="str">
            <v>NA</v>
          </cell>
          <cell r="AF2214" t="str">
            <v>111GP.NA2</v>
          </cell>
        </row>
        <row r="2215">
          <cell r="A2215">
            <v>2215</v>
          </cell>
          <cell r="AD2215" t="str">
            <v>111GP</v>
          </cell>
          <cell r="AE2215" t="str">
            <v>NA</v>
          </cell>
          <cell r="AF2215" t="str">
            <v>111GP.NA3</v>
          </cell>
        </row>
        <row r="2216">
          <cell r="A2216">
            <v>2216</v>
          </cell>
          <cell r="B2216" t="str">
            <v>111HP</v>
          </cell>
          <cell r="C2216" t="str">
            <v>Accum Prov for Amort-Hydro</v>
          </cell>
          <cell r="AD2216" t="str">
            <v>111HP</v>
          </cell>
          <cell r="AE2216" t="str">
            <v>NA</v>
          </cell>
          <cell r="AF2216" t="str">
            <v>111HP.NA</v>
          </cell>
        </row>
        <row r="2217">
          <cell r="A2217">
            <v>2217</v>
          </cell>
          <cell r="D2217" t="str">
            <v>DGP/DGU</v>
          </cell>
          <cell r="E2217" t="str">
            <v>P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M2217">
            <v>0.59419421435740905</v>
          </cell>
          <cell r="N2217">
            <v>0</v>
          </cell>
          <cell r="O2217">
            <v>0</v>
          </cell>
          <cell r="P2217">
            <v>1</v>
          </cell>
          <cell r="Q2217">
            <v>0</v>
          </cell>
          <cell r="R2217">
            <v>0</v>
          </cell>
          <cell r="S2217" t="str">
            <v>PLNT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D2217" t="str">
            <v>111HP</v>
          </cell>
          <cell r="AE2217" t="str">
            <v>DGP/DGU</v>
          </cell>
          <cell r="AF2217" t="str">
            <v>111HP.DGP/DGU</v>
          </cell>
        </row>
        <row r="2218">
          <cell r="A2218">
            <v>2218</v>
          </cell>
          <cell r="D2218" t="str">
            <v>CAGW</v>
          </cell>
          <cell r="E2218" t="str">
            <v>P</v>
          </cell>
          <cell r="F2218">
            <v>-643731.16798202484</v>
          </cell>
          <cell r="G2218">
            <v>-643731.16798202484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M2218">
            <v>0.59419421435740905</v>
          </cell>
          <cell r="N2218">
            <v>-382501.33561645658</v>
          </cell>
          <cell r="O2218">
            <v>-261229.83236556829</v>
          </cell>
          <cell r="P2218">
            <v>1</v>
          </cell>
          <cell r="Q2218">
            <v>0</v>
          </cell>
          <cell r="R2218">
            <v>0</v>
          </cell>
          <cell r="S2218" t="str">
            <v>PLNT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D2218" t="str">
            <v>111HP</v>
          </cell>
          <cell r="AE2218" t="str">
            <v>CAGW</v>
          </cell>
          <cell r="AF2218" t="str">
            <v>111HP.CAGW</v>
          </cell>
        </row>
        <row r="2219">
          <cell r="A2219">
            <v>2219</v>
          </cell>
          <cell r="F2219">
            <v>-643731.16798202484</v>
          </cell>
          <cell r="G2219">
            <v>-643731.16798202484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N2219">
            <v>-382501.33561645658</v>
          </cell>
          <cell r="O2219">
            <v>-261229.83236556829</v>
          </cell>
          <cell r="Q2219">
            <v>0</v>
          </cell>
          <cell r="R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D2219" t="str">
            <v>111HP</v>
          </cell>
          <cell r="AE2219" t="str">
            <v>NA</v>
          </cell>
          <cell r="AF2219" t="str">
            <v>111HP.NA1</v>
          </cell>
        </row>
        <row r="2220">
          <cell r="A2220">
            <v>2220</v>
          </cell>
          <cell r="AD2220" t="str">
            <v>111HP</v>
          </cell>
          <cell r="AE2220" t="str">
            <v>NA</v>
          </cell>
          <cell r="AF2220" t="str">
            <v>111HP.NA2</v>
          </cell>
        </row>
        <row r="2221">
          <cell r="A2221">
            <v>2221</v>
          </cell>
          <cell r="AD2221" t="str">
            <v>111HP</v>
          </cell>
          <cell r="AE2221" t="str">
            <v>NA</v>
          </cell>
          <cell r="AF2221" t="str">
            <v>111HP.NA3</v>
          </cell>
        </row>
        <row r="2222">
          <cell r="A2222">
            <v>2222</v>
          </cell>
          <cell r="B2222" t="str">
            <v>111IP</v>
          </cell>
          <cell r="C2222" t="str">
            <v>Accum Prov for Amort-Intangible Plant</v>
          </cell>
          <cell r="AD2222" t="str">
            <v>111IP</v>
          </cell>
          <cell r="AE2222" t="str">
            <v>NA</v>
          </cell>
          <cell r="AF2222" t="str">
            <v>111IP.NA</v>
          </cell>
        </row>
        <row r="2223">
          <cell r="A2223">
            <v>2223</v>
          </cell>
          <cell r="D2223" t="str">
            <v>S</v>
          </cell>
          <cell r="E2223" t="str">
            <v>I-SITUS</v>
          </cell>
          <cell r="F2223">
            <v>-9070.8000000000084</v>
          </cell>
          <cell r="G2223">
            <v>-29023.541494096098</v>
          </cell>
          <cell r="H2223">
            <v>11951.581857809613</v>
          </cell>
          <cell r="I2223">
            <v>8001.1596362864748</v>
          </cell>
          <cell r="J2223">
            <v>0</v>
          </cell>
          <cell r="K2223">
            <v>0</v>
          </cell>
          <cell r="M2223">
            <v>0.59419421435740905</v>
          </cell>
          <cell r="N2223">
            <v>-17245.620435954093</v>
          </cell>
          <cell r="O2223">
            <v>-11777.921058142005</v>
          </cell>
          <cell r="P2223">
            <v>1</v>
          </cell>
          <cell r="Q2223">
            <v>11951.581857809613</v>
          </cell>
          <cell r="R2223">
            <v>0</v>
          </cell>
          <cell r="S2223" t="str">
            <v>PLNT</v>
          </cell>
          <cell r="T2223">
            <v>1195.5194080267233</v>
          </cell>
          <cell r="U2223">
            <v>3747.5628198256477</v>
          </cell>
          <cell r="V2223">
            <v>1803.8566702651374</v>
          </cell>
          <cell r="W2223">
            <v>211.36456608554016</v>
          </cell>
          <cell r="X2223">
            <v>1042.8561720834257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D2223" t="str">
            <v>111IP</v>
          </cell>
          <cell r="AE2223" t="str">
            <v>S</v>
          </cell>
          <cell r="AF2223" t="str">
            <v>111IP.S</v>
          </cell>
        </row>
        <row r="2224">
          <cell r="A2224">
            <v>2224</v>
          </cell>
          <cell r="D2224" t="str">
            <v>DGP</v>
          </cell>
          <cell r="E2224" t="str">
            <v>I-DGP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M2224">
            <v>0.59419421435740905</v>
          </cell>
          <cell r="N2224">
            <v>0</v>
          </cell>
          <cell r="O2224">
            <v>0</v>
          </cell>
          <cell r="P2224">
            <v>1</v>
          </cell>
          <cell r="Q2224">
            <v>0</v>
          </cell>
          <cell r="R2224">
            <v>0</v>
          </cell>
          <cell r="S2224" t="str">
            <v>PLNT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D2224" t="str">
            <v>111IP</v>
          </cell>
          <cell r="AE2224" t="str">
            <v>DGP</v>
          </cell>
          <cell r="AF2224" t="str">
            <v>111IP.DGP</v>
          </cell>
        </row>
        <row r="2225">
          <cell r="A2225">
            <v>2225</v>
          </cell>
          <cell r="D2225" t="str">
            <v>DGU</v>
          </cell>
          <cell r="E2225" t="str">
            <v>I-DGU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M2225">
            <v>0.59419421435740905</v>
          </cell>
          <cell r="N2225">
            <v>0</v>
          </cell>
          <cell r="O2225">
            <v>0</v>
          </cell>
          <cell r="P2225">
            <v>1</v>
          </cell>
          <cell r="Q2225">
            <v>0</v>
          </cell>
          <cell r="R2225">
            <v>0</v>
          </cell>
          <cell r="S2225" t="str">
            <v>PLNT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D2225" t="str">
            <v>111IP</v>
          </cell>
          <cell r="AE2225" t="str">
            <v>DGU</v>
          </cell>
          <cell r="AF2225" t="str">
            <v>111IP.DGU</v>
          </cell>
        </row>
        <row r="2226">
          <cell r="A2226">
            <v>2226</v>
          </cell>
          <cell r="D2226" t="str">
            <v>SE</v>
          </cell>
          <cell r="E2226" t="str">
            <v>P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M2226">
            <v>0.59419421435740905</v>
          </cell>
          <cell r="N2226">
            <v>0</v>
          </cell>
          <cell r="O2226">
            <v>0</v>
          </cell>
          <cell r="P2226">
            <v>1</v>
          </cell>
          <cell r="Q2226">
            <v>0</v>
          </cell>
          <cell r="R2226">
            <v>0</v>
          </cell>
          <cell r="S2226" t="str">
            <v>PLNT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D2226" t="str">
            <v>111IP</v>
          </cell>
          <cell r="AE2226" t="str">
            <v>SE</v>
          </cell>
          <cell r="AF2226" t="str">
            <v>111IP.SE</v>
          </cell>
        </row>
        <row r="2227">
          <cell r="A2227">
            <v>2227</v>
          </cell>
          <cell r="D2227" t="str">
            <v>SG</v>
          </cell>
          <cell r="E2227" t="str">
            <v>I-SG</v>
          </cell>
          <cell r="F2227">
            <v>-5677951.4320653491</v>
          </cell>
          <cell r="G2227">
            <v>-4732147.73396088</v>
          </cell>
          <cell r="H2227">
            <v>-945803.69810446945</v>
          </cell>
          <cell r="I2227">
            <v>0</v>
          </cell>
          <cell r="J2227">
            <v>0</v>
          </cell>
          <cell r="K2227">
            <v>0</v>
          </cell>
          <cell r="M2227">
            <v>0.59419421435740905</v>
          </cell>
          <cell r="N2227">
            <v>-2811814.8050040784</v>
          </cell>
          <cell r="O2227">
            <v>-1920332.9289568013</v>
          </cell>
          <cell r="P2227">
            <v>1</v>
          </cell>
          <cell r="Q2227">
            <v>-945803.69810446945</v>
          </cell>
          <cell r="R2227">
            <v>0</v>
          </cell>
          <cell r="S2227" t="str">
            <v>PLNT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D2227" t="str">
            <v>111IP</v>
          </cell>
          <cell r="AE2227" t="str">
            <v>SG</v>
          </cell>
          <cell r="AF2227" t="str">
            <v>111IP.SG</v>
          </cell>
        </row>
        <row r="2228">
          <cell r="A2228">
            <v>2228</v>
          </cell>
          <cell r="D2228" t="str">
            <v>CN</v>
          </cell>
          <cell r="E2228" t="str">
            <v>CUST</v>
          </cell>
          <cell r="F2228">
            <v>-10574359.873286717</v>
          </cell>
          <cell r="G2228">
            <v>0</v>
          </cell>
          <cell r="H2228">
            <v>0</v>
          </cell>
          <cell r="I2228">
            <v>0</v>
          </cell>
          <cell r="J2228">
            <v>-10574359.873286717</v>
          </cell>
          <cell r="K2228">
            <v>0</v>
          </cell>
          <cell r="M2228">
            <v>0.59419421435740905</v>
          </cell>
          <cell r="N2228">
            <v>0</v>
          </cell>
          <cell r="O2228">
            <v>0</v>
          </cell>
          <cell r="P2228">
            <v>1</v>
          </cell>
          <cell r="Q2228">
            <v>0</v>
          </cell>
          <cell r="R2228">
            <v>0</v>
          </cell>
          <cell r="S2228" t="str">
            <v>CUST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D2228" t="str">
            <v>111IP</v>
          </cell>
          <cell r="AE2228" t="str">
            <v>CN</v>
          </cell>
          <cell r="AF2228" t="str">
            <v>111IP.CN</v>
          </cell>
        </row>
        <row r="2229">
          <cell r="A2229">
            <v>2229</v>
          </cell>
          <cell r="D2229" t="str">
            <v>JBG</v>
          </cell>
          <cell r="E2229" t="str">
            <v>I-SG</v>
          </cell>
          <cell r="F2229">
            <v>-356466.20281539264</v>
          </cell>
          <cell r="G2229">
            <v>-297087.9117352558</v>
          </cell>
          <cell r="H2229">
            <v>-59378.291080136856</v>
          </cell>
          <cell r="I2229">
            <v>0</v>
          </cell>
          <cell r="J2229">
            <v>0</v>
          </cell>
          <cell r="K2229">
            <v>0</v>
          </cell>
          <cell r="M2229">
            <v>0.59419421435740905</v>
          </cell>
          <cell r="N2229">
            <v>-176527.91830861359</v>
          </cell>
          <cell r="O2229">
            <v>-120559.99342664219</v>
          </cell>
          <cell r="P2229">
            <v>1</v>
          </cell>
          <cell r="Q2229">
            <v>-59378.291080136856</v>
          </cell>
          <cell r="R2229">
            <v>0</v>
          </cell>
          <cell r="S2229" t="str">
            <v>PLNT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D2229" t="str">
            <v>111IP</v>
          </cell>
          <cell r="AE2229" t="str">
            <v>JBG</v>
          </cell>
          <cell r="AF2229" t="str">
            <v>111IP.JBG</v>
          </cell>
        </row>
        <row r="2230">
          <cell r="A2230">
            <v>2230</v>
          </cell>
          <cell r="D2230" t="str">
            <v>CAGW1</v>
          </cell>
          <cell r="E2230" t="str">
            <v>I-SG</v>
          </cell>
          <cell r="F2230">
            <v>-22784835.882376481</v>
          </cell>
          <cell r="G2230">
            <v>-18989456.105692428</v>
          </cell>
          <cell r="H2230">
            <v>-3795379.7766840537</v>
          </cell>
          <cell r="I2230">
            <v>0</v>
          </cell>
          <cell r="J2230">
            <v>0</v>
          </cell>
          <cell r="K2230">
            <v>0</v>
          </cell>
          <cell r="M2230">
            <v>0.59419421435740905</v>
          </cell>
          <cell r="N2230">
            <v>-11283424.951796416</v>
          </cell>
          <cell r="O2230">
            <v>-7706031.1538960114</v>
          </cell>
          <cell r="P2230">
            <v>1</v>
          </cell>
          <cell r="Q2230">
            <v>-3795379.7766840537</v>
          </cell>
          <cell r="R2230">
            <v>0</v>
          </cell>
          <cell r="S2230" t="str">
            <v>PLNT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D2230" t="str">
            <v>111IP</v>
          </cell>
          <cell r="AE2230" t="str">
            <v>CAGW1</v>
          </cell>
          <cell r="AF2230" t="str">
            <v>111IP.CAGW1</v>
          </cell>
        </row>
        <row r="2231">
          <cell r="A2231">
            <v>2231</v>
          </cell>
          <cell r="D2231" t="str">
            <v>CAGE</v>
          </cell>
          <cell r="E2231" t="str">
            <v>P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M2231">
            <v>0.59419421435740905</v>
          </cell>
          <cell r="N2231">
            <v>0</v>
          </cell>
          <cell r="O2231">
            <v>0</v>
          </cell>
          <cell r="P2231">
            <v>1</v>
          </cell>
          <cell r="Q2231">
            <v>0</v>
          </cell>
          <cell r="R2231">
            <v>0</v>
          </cell>
          <cell r="S2231" t="str">
            <v>PLNT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D2231" t="str">
            <v>111IP</v>
          </cell>
          <cell r="AE2231" t="str">
            <v>CAGE</v>
          </cell>
          <cell r="AF2231" t="str">
            <v>111IP.CAGE</v>
          </cell>
        </row>
        <row r="2232">
          <cell r="A2232">
            <v>2232</v>
          </cell>
          <cell r="D2232" t="str">
            <v>SO</v>
          </cell>
          <cell r="E2232" t="str">
            <v>PTD</v>
          </cell>
          <cell r="F2232">
            <v>-19756284.061505537</v>
          </cell>
          <cell r="G2232">
            <v>-9673686.9562119916</v>
          </cell>
          <cell r="H2232">
            <v>-4018541.6773488289</v>
          </cell>
          <cell r="I2232">
            <v>-6064055.4279447179</v>
          </cell>
          <cell r="J2232">
            <v>0</v>
          </cell>
          <cell r="K2232">
            <v>0</v>
          </cell>
          <cell r="M2232">
            <v>0.59419421435740905</v>
          </cell>
          <cell r="N2232">
            <v>-5748048.8208859004</v>
          </cell>
          <cell r="O2232">
            <v>-3925638.1353260917</v>
          </cell>
          <cell r="P2232">
            <v>1</v>
          </cell>
          <cell r="Q2232">
            <v>-4018541.6773488289</v>
          </cell>
          <cell r="R2232">
            <v>0</v>
          </cell>
          <cell r="S2232" t="str">
            <v>PLNT</v>
          </cell>
          <cell r="T2232">
            <v>-906080.65393161704</v>
          </cell>
          <cell r="U2232">
            <v>-2840266.8728248165</v>
          </cell>
          <cell r="V2232">
            <v>-1367137.6812614743</v>
          </cell>
          <cell r="W2232">
            <v>-160192.58488899231</v>
          </cell>
          <cell r="X2232">
            <v>-790377.63503781764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D2232" t="str">
            <v>111IP</v>
          </cell>
          <cell r="AE2232" t="str">
            <v>SO</v>
          </cell>
          <cell r="AF2232" t="str">
            <v>111IP.SO</v>
          </cell>
        </row>
        <row r="2233">
          <cell r="A2233">
            <v>2233</v>
          </cell>
          <cell r="F2233">
            <v>-59158968.252049476</v>
          </cell>
          <cell r="G2233">
            <v>-33721402.24909465</v>
          </cell>
          <cell r="H2233">
            <v>-8807151.8613596782</v>
          </cell>
          <cell r="I2233">
            <v>-6056054.2683084318</v>
          </cell>
          <cell r="J2233">
            <v>-10574359.873286717</v>
          </cell>
          <cell r="K2233">
            <v>0</v>
          </cell>
          <cell r="N2233">
            <v>-20037062.116430961</v>
          </cell>
          <cell r="O2233">
            <v>-13684340.132663688</v>
          </cell>
          <cell r="Q2233">
            <v>-8807151.8613596782</v>
          </cell>
          <cell r="R2233">
            <v>0</v>
          </cell>
          <cell r="T2233">
            <v>-904885.13452359033</v>
          </cell>
          <cell r="U2233">
            <v>-2836519.310004991</v>
          </cell>
          <cell r="V2233">
            <v>-1365333.8245912092</v>
          </cell>
          <cell r="W2233">
            <v>-159981.22032290677</v>
          </cell>
          <cell r="X2233">
            <v>-789334.77886573423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D2233" t="str">
            <v>111IP</v>
          </cell>
          <cell r="AE2233" t="str">
            <v>NA</v>
          </cell>
          <cell r="AF2233" t="str">
            <v>111IP.NA1</v>
          </cell>
        </row>
        <row r="2234">
          <cell r="A2234">
            <v>2234</v>
          </cell>
          <cell r="B2234" t="str">
            <v>111IP</v>
          </cell>
          <cell r="C2234" t="str">
            <v>Less Non-Utility Plant</v>
          </cell>
          <cell r="AD2234" t="str">
            <v>111IP</v>
          </cell>
          <cell r="AE2234" t="str">
            <v>NA</v>
          </cell>
          <cell r="AF2234" t="str">
            <v>111IP.NA2</v>
          </cell>
        </row>
        <row r="2235">
          <cell r="A2235">
            <v>2235</v>
          </cell>
          <cell r="D2235" t="str">
            <v>DOTH</v>
          </cell>
          <cell r="E2235" t="str">
            <v>NUTIL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M2235">
            <v>0.59419421435740905</v>
          </cell>
          <cell r="N2235">
            <v>0</v>
          </cell>
          <cell r="O2235">
            <v>0</v>
          </cell>
          <cell r="P2235">
            <v>1</v>
          </cell>
          <cell r="Q2235">
            <v>0</v>
          </cell>
          <cell r="R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D2235" t="str">
            <v>111IP</v>
          </cell>
          <cell r="AE2235" t="str">
            <v>DOTH</v>
          </cell>
          <cell r="AF2235" t="str">
            <v>111IP.DOTH</v>
          </cell>
        </row>
        <row r="2236">
          <cell r="A2236">
            <v>2236</v>
          </cell>
          <cell r="F2236">
            <v>-59158968.252049476</v>
          </cell>
          <cell r="G2236">
            <v>-33721402.24909465</v>
          </cell>
          <cell r="H2236">
            <v>-8807151.8613596782</v>
          </cell>
          <cell r="I2236">
            <v>-6056054.2683084318</v>
          </cell>
          <cell r="J2236">
            <v>-10574359.873286717</v>
          </cell>
          <cell r="K2236">
            <v>0</v>
          </cell>
          <cell r="N2236">
            <v>-20037062.116430961</v>
          </cell>
          <cell r="O2236">
            <v>-13684340.132663688</v>
          </cell>
          <cell r="Q2236">
            <v>-8807151.8613596782</v>
          </cell>
          <cell r="R2236">
            <v>0</v>
          </cell>
          <cell r="T2236">
            <v>-904885.13452359033</v>
          </cell>
          <cell r="U2236">
            <v>-2836519.310004991</v>
          </cell>
          <cell r="V2236">
            <v>-1365333.8245912092</v>
          </cell>
          <cell r="W2236">
            <v>-159981.22032290677</v>
          </cell>
          <cell r="X2236">
            <v>-789334.77886573423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D2236" t="str">
            <v>111IP</v>
          </cell>
          <cell r="AE2236" t="str">
            <v>NA</v>
          </cell>
          <cell r="AF2236" t="str">
            <v>111IP.NA3</v>
          </cell>
        </row>
        <row r="2237">
          <cell r="A2237">
            <v>2237</v>
          </cell>
          <cell r="AD2237" t="str">
            <v>111IP</v>
          </cell>
          <cell r="AE2237" t="str">
            <v>NA</v>
          </cell>
          <cell r="AF2237" t="str">
            <v>111IP.NA4</v>
          </cell>
        </row>
        <row r="2238">
          <cell r="A2238">
            <v>2238</v>
          </cell>
          <cell r="B2238">
            <v>111390</v>
          </cell>
          <cell r="C2238" t="str">
            <v>Accum-Prov for Amort-Mining</v>
          </cell>
          <cell r="AD2238">
            <v>111390</v>
          </cell>
          <cell r="AE2238" t="str">
            <v>NA</v>
          </cell>
          <cell r="AF2238" t="str">
            <v>111390.NA</v>
          </cell>
        </row>
        <row r="2239">
          <cell r="A2239">
            <v>2239</v>
          </cell>
          <cell r="D2239" t="str">
            <v>CAGW</v>
          </cell>
          <cell r="E2239" t="str">
            <v>PTD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M2239">
            <v>0.59419421435740905</v>
          </cell>
          <cell r="N2239">
            <v>0</v>
          </cell>
          <cell r="O2239">
            <v>0</v>
          </cell>
          <cell r="P2239">
            <v>1</v>
          </cell>
          <cell r="Q2239">
            <v>0</v>
          </cell>
          <cell r="R2239">
            <v>0</v>
          </cell>
          <cell r="S2239" t="str">
            <v>PLNT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D2239">
            <v>111390</v>
          </cell>
          <cell r="AE2239" t="str">
            <v>CAGW</v>
          </cell>
          <cell r="AF2239" t="str">
            <v>111390.CAGW</v>
          </cell>
        </row>
        <row r="2240">
          <cell r="A2240">
            <v>2240</v>
          </cell>
          <cell r="D2240" t="str">
            <v>SG</v>
          </cell>
          <cell r="E2240" t="str">
            <v>G-SITUS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M2240">
            <v>0.59419421435740905</v>
          </cell>
          <cell r="N2240">
            <v>0</v>
          </cell>
          <cell r="O2240">
            <v>0</v>
          </cell>
          <cell r="P2240">
            <v>1</v>
          </cell>
          <cell r="Q2240">
            <v>0</v>
          </cell>
          <cell r="R2240">
            <v>0</v>
          </cell>
          <cell r="S2240" t="str">
            <v>PLNT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D2240">
            <v>111390</v>
          </cell>
          <cell r="AE2240" t="str">
            <v>SG</v>
          </cell>
          <cell r="AF2240" t="str">
            <v>111390.SG</v>
          </cell>
        </row>
        <row r="2241">
          <cell r="A2241">
            <v>2241</v>
          </cell>
          <cell r="D2241" t="str">
            <v>SO</v>
          </cell>
          <cell r="E2241" t="str">
            <v>PTD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M2241">
            <v>0.59419421435740905</v>
          </cell>
          <cell r="N2241">
            <v>0</v>
          </cell>
          <cell r="O2241">
            <v>0</v>
          </cell>
          <cell r="P2241">
            <v>1</v>
          </cell>
          <cell r="Q2241">
            <v>0</v>
          </cell>
          <cell r="R2241">
            <v>0</v>
          </cell>
          <cell r="S2241" t="str">
            <v>PLNT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D2241">
            <v>111390</v>
          </cell>
          <cell r="AE2241" t="str">
            <v>SO</v>
          </cell>
          <cell r="AF2241" t="str">
            <v>111390.SO</v>
          </cell>
        </row>
        <row r="2242">
          <cell r="A2242">
            <v>2242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N2242">
            <v>1706815.8729305216</v>
          </cell>
          <cell r="O2242">
            <v>568938.62431017391</v>
          </cell>
          <cell r="Q2242">
            <v>649588.76228873781</v>
          </cell>
          <cell r="R2242">
            <v>216529.58742957929</v>
          </cell>
          <cell r="T2242">
            <v>176625.26130960239</v>
          </cell>
          <cell r="U2242">
            <v>495163.79512505233</v>
          </cell>
          <cell r="V2242">
            <v>181583.46247910985</v>
          </cell>
          <cell r="W2242">
            <v>29648.636498985263</v>
          </cell>
          <cell r="X2242">
            <v>98891.773661979852</v>
          </cell>
          <cell r="AD2242">
            <v>111390</v>
          </cell>
          <cell r="AE2242" t="str">
            <v>NA</v>
          </cell>
          <cell r="AF2242" t="str">
            <v>111390.NA1</v>
          </cell>
        </row>
        <row r="2243">
          <cell r="A2243">
            <v>2243</v>
          </cell>
          <cell r="AD2243">
            <v>111390</v>
          </cell>
          <cell r="AE2243" t="str">
            <v>NA</v>
          </cell>
          <cell r="AF2243" t="str">
            <v>111390.NA2</v>
          </cell>
        </row>
        <row r="2244">
          <cell r="A2244">
            <v>2244</v>
          </cell>
          <cell r="B2244">
            <v>111390</v>
          </cell>
          <cell r="C2244" t="str">
            <v>Less Capital Lease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N2244">
            <v>-1706815.8729305216</v>
          </cell>
          <cell r="O2244">
            <v>-568938.62431017391</v>
          </cell>
          <cell r="Q2244">
            <v>-649588.76228873781</v>
          </cell>
          <cell r="R2244">
            <v>-216529.58742957929</v>
          </cell>
          <cell r="T2244">
            <v>-176625.26130960239</v>
          </cell>
          <cell r="U2244">
            <v>-495163.79512505233</v>
          </cell>
          <cell r="V2244">
            <v>-181583.46247910985</v>
          </cell>
          <cell r="W2244">
            <v>-29648.636498985263</v>
          </cell>
          <cell r="X2244">
            <v>-98891.773661979852</v>
          </cell>
          <cell r="AD2244">
            <v>111390</v>
          </cell>
          <cell r="AE2244" t="str">
            <v>NA</v>
          </cell>
          <cell r="AF2244" t="str">
            <v>111390.NA3</v>
          </cell>
        </row>
        <row r="2245">
          <cell r="A2245">
            <v>2245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N2245">
            <v>0</v>
          </cell>
          <cell r="O2245">
            <v>0</v>
          </cell>
          <cell r="Q2245">
            <v>0</v>
          </cell>
          <cell r="R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AD2245">
            <v>111390</v>
          </cell>
          <cell r="AE2245" t="str">
            <v>NA</v>
          </cell>
          <cell r="AF2245" t="str">
            <v>111390.NA4</v>
          </cell>
        </row>
        <row r="2246">
          <cell r="B2246" t="str">
            <v>TOTAL ACCUM PROV FOR AMORTIZATION</v>
          </cell>
          <cell r="F2246">
            <v>-61873796.613600478</v>
          </cell>
          <cell r="G2246">
            <v>-34492103.280965433</v>
          </cell>
          <cell r="H2246">
            <v>-9414017.8266325984</v>
          </cell>
          <cell r="I2246">
            <v>-7393315.6327157309</v>
          </cell>
          <cell r="J2246">
            <v>-10574359.873286717</v>
          </cell>
          <cell r="K2246">
            <v>0</v>
          </cell>
          <cell r="N2246">
            <v>-20495008.210567862</v>
          </cell>
          <cell r="O2246">
            <v>-13997095.070397565</v>
          </cell>
          <cell r="Q2246">
            <v>-9414017.8266325984</v>
          </cell>
          <cell r="R2246">
            <v>0</v>
          </cell>
          <cell r="T2246">
            <v>-1104696.4103170109</v>
          </cell>
          <cell r="U2246">
            <v>-3462862.3899398455</v>
          </cell>
          <cell r="V2246">
            <v>-1666818.6020144899</v>
          </cell>
          <cell r="W2246">
            <v>-195307.3081501071</v>
          </cell>
          <cell r="X2246">
            <v>-963630.922294277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D2246" t="str">
            <v>TOTAL ACCUM PROV FOR AMORTIZATION</v>
          </cell>
          <cell r="AE2246" t="str">
            <v>NA</v>
          </cell>
          <cell r="AF2246" t="str">
            <v>TOTAL ACCUM PROV FOR AMORTIZATION.NA</v>
          </cell>
        </row>
        <row r="2251">
          <cell r="Y2251" t="str">
            <v>Function</v>
          </cell>
          <cell r="Z2251" t="str">
            <v>Generation</v>
          </cell>
          <cell r="AA2251" t="str">
            <v>Transmission</v>
          </cell>
          <cell r="AB2251" t="str">
            <v>Distribution</v>
          </cell>
        </row>
        <row r="2252">
          <cell r="Y2252" t="str">
            <v>Check</v>
          </cell>
          <cell r="Z2252" t="str">
            <v>Check</v>
          </cell>
          <cell r="AA2252" t="str">
            <v>Check</v>
          </cell>
          <cell r="AB2252" t="str">
            <v>Check</v>
          </cell>
        </row>
        <row r="2254">
          <cell r="Y2254">
            <v>0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Y2255">
            <v>0</v>
          </cell>
          <cell r="Z2255">
            <v>0</v>
          </cell>
          <cell r="AA2255">
            <v>0</v>
          </cell>
          <cell r="AB2255">
            <v>0</v>
          </cell>
        </row>
      </sheetData>
      <sheetData sheetId="32">
        <row r="6">
          <cell r="Q6" t="str">
            <v>440.NA</v>
          </cell>
          <cell r="R6">
            <v>0</v>
          </cell>
        </row>
        <row r="7">
          <cell r="Q7" t="str">
            <v>440.S</v>
          </cell>
          <cell r="R7">
            <v>157899167.6216839</v>
          </cell>
        </row>
        <row r="8">
          <cell r="Q8" t="str">
            <v>440.NA1</v>
          </cell>
          <cell r="R8">
            <v>0</v>
          </cell>
        </row>
        <row r="9">
          <cell r="Q9" t="str">
            <v>440.NA2</v>
          </cell>
          <cell r="R9">
            <v>157899167.6216839</v>
          </cell>
        </row>
        <row r="10">
          <cell r="Q10" t="str">
            <v>440.NA3</v>
          </cell>
          <cell r="R10">
            <v>0</v>
          </cell>
        </row>
        <row r="11">
          <cell r="Q11" t="str">
            <v>442.NA</v>
          </cell>
          <cell r="R11">
            <v>0</v>
          </cell>
        </row>
        <row r="12">
          <cell r="Q12" t="str">
            <v>442.S</v>
          </cell>
          <cell r="R12">
            <v>207318638.29031616</v>
          </cell>
        </row>
        <row r="13">
          <cell r="Q13" t="str">
            <v>442.SE</v>
          </cell>
          <cell r="R13">
            <v>0</v>
          </cell>
        </row>
        <row r="14">
          <cell r="Q14" t="str">
            <v>442.SG</v>
          </cell>
          <cell r="R14">
            <v>0</v>
          </cell>
        </row>
        <row r="15">
          <cell r="Q15" t="str">
            <v>442.NA1</v>
          </cell>
          <cell r="R15">
            <v>0</v>
          </cell>
        </row>
        <row r="16">
          <cell r="Q16" t="str">
            <v>442.NA2</v>
          </cell>
          <cell r="R16">
            <v>0</v>
          </cell>
        </row>
        <row r="17">
          <cell r="Q17" t="str">
            <v>442.NA3</v>
          </cell>
          <cell r="R17">
            <v>207318638.29031616</v>
          </cell>
        </row>
        <row r="18">
          <cell r="Q18" t="str">
            <v>442.NA4</v>
          </cell>
          <cell r="R18">
            <v>0</v>
          </cell>
        </row>
        <row r="19">
          <cell r="Q19" t="str">
            <v>444.NA</v>
          </cell>
          <cell r="R19">
            <v>0</v>
          </cell>
        </row>
        <row r="20">
          <cell r="Q20" t="str">
            <v>444.S</v>
          </cell>
          <cell r="R20">
            <v>1354705.2587733048</v>
          </cell>
        </row>
        <row r="21">
          <cell r="Q21" t="str">
            <v>444.SO</v>
          </cell>
          <cell r="R21">
            <v>0</v>
          </cell>
        </row>
        <row r="22">
          <cell r="Q22" t="str">
            <v>444.NA1</v>
          </cell>
          <cell r="R22">
            <v>1354705.2587733048</v>
          </cell>
        </row>
        <row r="23">
          <cell r="Q23" t="str">
            <v>444.NA2</v>
          </cell>
          <cell r="R23">
            <v>0</v>
          </cell>
        </row>
        <row r="24">
          <cell r="Q24" t="str">
            <v>445.NA</v>
          </cell>
          <cell r="R24">
            <v>0</v>
          </cell>
        </row>
        <row r="25">
          <cell r="Q25" t="str">
            <v>445.S</v>
          </cell>
          <cell r="R25">
            <v>0</v>
          </cell>
        </row>
        <row r="26">
          <cell r="Q26" t="str">
            <v>445.NA1</v>
          </cell>
          <cell r="R26">
            <v>0</v>
          </cell>
        </row>
        <row r="27">
          <cell r="Q27" t="str">
            <v>445.NA2</v>
          </cell>
          <cell r="R27">
            <v>0</v>
          </cell>
        </row>
        <row r="28">
          <cell r="Q28" t="str">
            <v>445.NA3</v>
          </cell>
          <cell r="R28">
            <v>0</v>
          </cell>
        </row>
        <row r="29">
          <cell r="Q29" t="str">
            <v>448.NA</v>
          </cell>
          <cell r="R29">
            <v>0</v>
          </cell>
        </row>
        <row r="30">
          <cell r="Q30" t="str">
            <v>448.S</v>
          </cell>
          <cell r="R30">
            <v>0</v>
          </cell>
        </row>
        <row r="31">
          <cell r="Q31" t="str">
            <v>448.SO</v>
          </cell>
          <cell r="R31">
            <v>0</v>
          </cell>
        </row>
        <row r="32">
          <cell r="Q32" t="str">
            <v>448.NA1</v>
          </cell>
          <cell r="R32">
            <v>0</v>
          </cell>
        </row>
        <row r="33">
          <cell r="Q33" t="str">
            <v>448.NA2</v>
          </cell>
          <cell r="R33">
            <v>0</v>
          </cell>
        </row>
        <row r="34">
          <cell r="Q34" t="str">
            <v>Total Sales to Ultimate Customers.NA</v>
          </cell>
          <cell r="R34">
            <v>366572511.17077339</v>
          </cell>
        </row>
        <row r="35">
          <cell r="Q35" t="str">
            <v>Total Sales to Ultimate Customers.NA1</v>
          </cell>
          <cell r="R35">
            <v>0</v>
          </cell>
        </row>
        <row r="36">
          <cell r="Q36" t="str">
            <v>Total Sales to Ultimate Customers.NA2</v>
          </cell>
          <cell r="R36">
            <v>0</v>
          </cell>
        </row>
        <row r="37">
          <cell r="Q37" t="str">
            <v>Total Sales to Ultimate Customers.NA3</v>
          </cell>
          <cell r="R37">
            <v>0</v>
          </cell>
        </row>
        <row r="38">
          <cell r="Q38" t="str">
            <v>447.NA</v>
          </cell>
          <cell r="R38">
            <v>0</v>
          </cell>
        </row>
        <row r="39">
          <cell r="Q39" t="str">
            <v>447.S</v>
          </cell>
          <cell r="R39">
            <v>0</v>
          </cell>
        </row>
        <row r="40">
          <cell r="Q40" t="str">
            <v>447.SG</v>
          </cell>
          <cell r="R40">
            <v>0</v>
          </cell>
        </row>
        <row r="41">
          <cell r="Q41" t="str">
            <v>447.CAGW</v>
          </cell>
          <cell r="R41">
            <v>0</v>
          </cell>
        </row>
        <row r="42">
          <cell r="Q42" t="str">
            <v>447.NA1</v>
          </cell>
          <cell r="R42">
            <v>0</v>
          </cell>
        </row>
        <row r="43">
          <cell r="Q43" t="str">
            <v>447.NA2</v>
          </cell>
          <cell r="R43">
            <v>0</v>
          </cell>
        </row>
        <row r="44">
          <cell r="Q44" t="str">
            <v>447NPC.NA</v>
          </cell>
          <cell r="R44">
            <v>0</v>
          </cell>
        </row>
        <row r="45">
          <cell r="Q45" t="str">
            <v>447NPC.S</v>
          </cell>
          <cell r="R45">
            <v>-14476811.784625905</v>
          </cell>
        </row>
        <row r="46">
          <cell r="Q46" t="str">
            <v>447NPC.SG</v>
          </cell>
          <cell r="R46">
            <v>0</v>
          </cell>
        </row>
        <row r="47">
          <cell r="Q47" t="str">
            <v>447NPC.SE</v>
          </cell>
          <cell r="R47">
            <v>0</v>
          </cell>
        </row>
        <row r="48">
          <cell r="Q48" t="str">
            <v>447NPC.CAGW</v>
          </cell>
          <cell r="R48">
            <v>16646446.703794034</v>
          </cell>
        </row>
        <row r="49">
          <cell r="Q49" t="str">
            <v>447NPC.CAGE</v>
          </cell>
          <cell r="R49">
            <v>0</v>
          </cell>
        </row>
        <row r="50">
          <cell r="Q50" t="str">
            <v>447NPC.CAEW</v>
          </cell>
          <cell r="R50">
            <v>0</v>
          </cell>
        </row>
        <row r="51">
          <cell r="Q51" t="str">
            <v>447NPC.CAEE</v>
          </cell>
          <cell r="R51">
            <v>0</v>
          </cell>
        </row>
        <row r="52">
          <cell r="Q52" t="str">
            <v>447NPC.NA1</v>
          </cell>
          <cell r="R52">
            <v>2169634.9191681296</v>
          </cell>
        </row>
        <row r="53">
          <cell r="Q53" t="str">
            <v>447NPC.NA2</v>
          </cell>
          <cell r="R53">
            <v>0</v>
          </cell>
        </row>
        <row r="54">
          <cell r="Q54" t="str">
            <v>447NPC.NA3</v>
          </cell>
          <cell r="R54">
            <v>2169634.9191681296</v>
          </cell>
        </row>
        <row r="55">
          <cell r="Q55" t="str">
            <v>447NPC.NA4</v>
          </cell>
          <cell r="R55">
            <v>0</v>
          </cell>
        </row>
        <row r="56">
          <cell r="Q56" t="str">
            <v>449.NA</v>
          </cell>
          <cell r="R56">
            <v>0</v>
          </cell>
        </row>
        <row r="57">
          <cell r="Q57" t="str">
            <v>449.S</v>
          </cell>
          <cell r="R57">
            <v>0</v>
          </cell>
        </row>
        <row r="58">
          <cell r="Q58" t="str">
            <v>449.SG</v>
          </cell>
          <cell r="R58">
            <v>0</v>
          </cell>
        </row>
        <row r="59">
          <cell r="Q59" t="str">
            <v>449.NA1</v>
          </cell>
          <cell r="R59">
            <v>0</v>
          </cell>
        </row>
        <row r="60">
          <cell r="Q60" t="str">
            <v>449.NA2</v>
          </cell>
          <cell r="R60">
            <v>0</v>
          </cell>
        </row>
        <row r="61">
          <cell r="Q61" t="str">
            <v>449.NA3</v>
          </cell>
          <cell r="R61">
            <v>0</v>
          </cell>
        </row>
        <row r="62">
          <cell r="Q62" t="str">
            <v>449.NA4</v>
          </cell>
          <cell r="R62">
            <v>0</v>
          </cell>
        </row>
        <row r="63">
          <cell r="Q63" t="str">
            <v>Total Sales from Electricity.NA</v>
          </cell>
          <cell r="R63">
            <v>368742146.0899415</v>
          </cell>
        </row>
        <row r="64">
          <cell r="Q64" t="str">
            <v>450.NA</v>
          </cell>
          <cell r="R64">
            <v>0</v>
          </cell>
        </row>
        <row r="65">
          <cell r="Q65" t="str">
            <v>450.S</v>
          </cell>
          <cell r="R65">
            <v>742400.88</v>
          </cell>
        </row>
        <row r="66">
          <cell r="Q66" t="str">
            <v>450.SO</v>
          </cell>
          <cell r="R66">
            <v>0</v>
          </cell>
        </row>
        <row r="67">
          <cell r="Q67" t="str">
            <v>450.NA1</v>
          </cell>
          <cell r="R67">
            <v>742400.88</v>
          </cell>
        </row>
        <row r="68">
          <cell r="Q68" t="str">
            <v>450.NA2</v>
          </cell>
          <cell r="R68">
            <v>0</v>
          </cell>
        </row>
        <row r="69">
          <cell r="Q69" t="str">
            <v>451.NA</v>
          </cell>
          <cell r="R69">
            <v>0</v>
          </cell>
        </row>
        <row r="70">
          <cell r="Q70" t="str">
            <v>451.S</v>
          </cell>
          <cell r="R70">
            <v>-267855.57158807386</v>
          </cell>
        </row>
        <row r="71">
          <cell r="Q71" t="str">
            <v>451.SG</v>
          </cell>
          <cell r="R71">
            <v>0</v>
          </cell>
        </row>
        <row r="72">
          <cell r="Q72" t="str">
            <v>451.SO</v>
          </cell>
          <cell r="R72">
            <v>2341.080980829036</v>
          </cell>
        </row>
        <row r="73">
          <cell r="Q73" t="str">
            <v>451.NA1</v>
          </cell>
          <cell r="R73">
            <v>-265514.49060724484</v>
          </cell>
        </row>
        <row r="74">
          <cell r="Q74" t="str">
            <v>451.NA2</v>
          </cell>
          <cell r="R74">
            <v>0</v>
          </cell>
        </row>
        <row r="75">
          <cell r="Q75" t="str">
            <v>453.NA</v>
          </cell>
          <cell r="R75">
            <v>0</v>
          </cell>
        </row>
        <row r="76">
          <cell r="Q76" t="str">
            <v>453.CAGW</v>
          </cell>
          <cell r="R76">
            <v>0</v>
          </cell>
        </row>
        <row r="77">
          <cell r="Q77" t="str">
            <v>453.CAGE</v>
          </cell>
          <cell r="R77">
            <v>0</v>
          </cell>
        </row>
        <row r="78">
          <cell r="Q78" t="str">
            <v>453.JBG</v>
          </cell>
          <cell r="R78">
            <v>2851.8230431369025</v>
          </cell>
        </row>
        <row r="79">
          <cell r="Q79" t="str">
            <v>453.SG</v>
          </cell>
          <cell r="R79">
            <v>0</v>
          </cell>
        </row>
        <row r="80">
          <cell r="Q80" t="str">
            <v>453.NA1</v>
          </cell>
          <cell r="R80">
            <v>2851.8230431369025</v>
          </cell>
        </row>
        <row r="81">
          <cell r="Q81" t="str">
            <v>453.NA2</v>
          </cell>
          <cell r="R81">
            <v>0</v>
          </cell>
        </row>
        <row r="82">
          <cell r="Q82" t="str">
            <v>454.NA</v>
          </cell>
          <cell r="R82">
            <v>0</v>
          </cell>
        </row>
        <row r="83">
          <cell r="Q83" t="str">
            <v>454.S</v>
          </cell>
          <cell r="R83">
            <v>728890.5</v>
          </cell>
        </row>
        <row r="84">
          <cell r="Q84" t="str">
            <v>454.CAGW</v>
          </cell>
          <cell r="R84">
            <v>99382.929389914934</v>
          </cell>
        </row>
        <row r="85">
          <cell r="Q85" t="str">
            <v>454.CAGE</v>
          </cell>
          <cell r="R85">
            <v>0</v>
          </cell>
        </row>
        <row r="86">
          <cell r="Q86" t="str">
            <v>454.JBG</v>
          </cell>
          <cell r="R86">
            <v>2206.0349256848262</v>
          </cell>
        </row>
        <row r="87">
          <cell r="Q87" t="str">
            <v>454.SG</v>
          </cell>
          <cell r="R87">
            <v>109170.14341943202</v>
          </cell>
        </row>
        <row r="88">
          <cell r="Q88" t="str">
            <v>454.SO</v>
          </cell>
          <cell r="R88">
            <v>113926.31388550381</v>
          </cell>
        </row>
        <row r="89">
          <cell r="Q89" t="str">
            <v>454.NA1</v>
          </cell>
          <cell r="R89">
            <v>1053575.9216205357</v>
          </cell>
        </row>
        <row r="90">
          <cell r="Q90" t="str">
            <v>454.NA2</v>
          </cell>
          <cell r="R90">
            <v>0</v>
          </cell>
        </row>
        <row r="91">
          <cell r="Q91" t="str">
            <v>454.NA3</v>
          </cell>
          <cell r="R91">
            <v>0</v>
          </cell>
        </row>
        <row r="92">
          <cell r="Q92" t="str">
            <v>454.NA4</v>
          </cell>
          <cell r="R92">
            <v>0</v>
          </cell>
        </row>
        <row r="93">
          <cell r="Q93" t="str">
            <v>456.NA</v>
          </cell>
          <cell r="R93">
            <v>0</v>
          </cell>
        </row>
        <row r="94">
          <cell r="Q94" t="str">
            <v>456.S</v>
          </cell>
          <cell r="R94">
            <v>-4378.7399999999907</v>
          </cell>
        </row>
        <row r="95">
          <cell r="Q95" t="str">
            <v>456.CAGE</v>
          </cell>
          <cell r="R95">
            <v>0</v>
          </cell>
        </row>
        <row r="96">
          <cell r="Q96" t="str">
            <v>456.CAGW</v>
          </cell>
          <cell r="R96">
            <v>2314755.6314009451</v>
          </cell>
        </row>
        <row r="97">
          <cell r="Q97" t="str">
            <v>456.SO</v>
          </cell>
          <cell r="R97">
            <v>274227.50725612795</v>
          </cell>
        </row>
        <row r="98">
          <cell r="Q98" t="str">
            <v>456.SG</v>
          </cell>
          <cell r="R98">
            <v>9229248.0952149648</v>
          </cell>
        </row>
        <row r="99">
          <cell r="Q99" t="str">
            <v>456.JBG</v>
          </cell>
          <cell r="R99">
            <v>502043.64708063431</v>
          </cell>
        </row>
        <row r="100">
          <cell r="Q100" t="str">
            <v>456.WRG</v>
          </cell>
          <cell r="R100">
            <v>0</v>
          </cell>
        </row>
        <row r="101">
          <cell r="Q101" t="str">
            <v>456.WRE</v>
          </cell>
          <cell r="R101">
            <v>0</v>
          </cell>
        </row>
        <row r="102">
          <cell r="Q102" t="str">
            <v>456.CN</v>
          </cell>
          <cell r="R102">
            <v>0</v>
          </cell>
        </row>
        <row r="103">
          <cell r="Q103" t="str">
            <v>456.SE</v>
          </cell>
          <cell r="R103">
            <v>0</v>
          </cell>
        </row>
        <row r="104">
          <cell r="Q104" t="str">
            <v>456.NA1</v>
          </cell>
          <cell r="R104">
            <v>12315896.140952673</v>
          </cell>
        </row>
        <row r="105">
          <cell r="Q105" t="str">
            <v>456.NA2</v>
          </cell>
          <cell r="R105">
            <v>0</v>
          </cell>
        </row>
        <row r="106">
          <cell r="Q106" t="str">
            <v>456.NA3</v>
          </cell>
          <cell r="R106">
            <v>13849210.275009099</v>
          </cell>
        </row>
        <row r="107">
          <cell r="Q107" t="str">
            <v>456.NA4</v>
          </cell>
          <cell r="R107">
            <v>0</v>
          </cell>
        </row>
        <row r="108">
          <cell r="Q108" t="str">
            <v>Total Electric Operating Revenues.NA</v>
          </cell>
          <cell r="R108">
            <v>382591356.3649506</v>
          </cell>
        </row>
        <row r="109">
          <cell r="Q109" t="str">
            <v>Total Electric Operating Revenues.NA1</v>
          </cell>
          <cell r="R109">
            <v>0</v>
          </cell>
        </row>
        <row r="110">
          <cell r="Q110" t="str">
            <v>Summary of Revenues by Factor.NA</v>
          </cell>
          <cell r="R110">
            <v>0</v>
          </cell>
        </row>
        <row r="111">
          <cell r="Q111" t="str">
            <v>Summary of Revenues by Factor.NA1</v>
          </cell>
          <cell r="R111">
            <v>353294756.45455939</v>
          </cell>
        </row>
        <row r="112">
          <cell r="Q112" t="str">
            <v>Summary of Revenues by Factor.NA2</v>
          </cell>
          <cell r="R112">
            <v>507101.50504945603</v>
          </cell>
        </row>
        <row r="113">
          <cell r="Q113" t="str">
            <v>Summary of Revenues by Factor.NA3</v>
          </cell>
          <cell r="R113">
            <v>0</v>
          </cell>
        </row>
        <row r="114">
          <cell r="Q114" t="str">
            <v>Summary of Revenues by Factor.NA4</v>
          </cell>
          <cell r="R114">
            <v>390494.90212246077</v>
          </cell>
        </row>
        <row r="115">
          <cell r="Q115" t="str">
            <v>Summary of Revenues by Factor.NA5</v>
          </cell>
          <cell r="R115">
            <v>9338418.2386343963</v>
          </cell>
        </row>
        <row r="116">
          <cell r="Q116" t="str">
            <v>Summary of Revenues by Factor.NA6</v>
          </cell>
          <cell r="R116">
            <v>0</v>
          </cell>
        </row>
        <row r="117">
          <cell r="Q117" t="str">
            <v>Summary of Revenues by Factor.NA7</v>
          </cell>
          <cell r="R117">
            <v>0</v>
          </cell>
        </row>
        <row r="118">
          <cell r="Q118" t="str">
            <v>Summary of Revenues by Factor.NA8</v>
          </cell>
          <cell r="R118">
            <v>19060585.264584895</v>
          </cell>
        </row>
        <row r="119">
          <cell r="Q119" t="str">
            <v>Summary of Revenues by Factor.NA9</v>
          </cell>
          <cell r="R119">
            <v>0</v>
          </cell>
        </row>
        <row r="120">
          <cell r="Q120" t="str">
            <v>Summary of Revenues by Factor.NA10</v>
          </cell>
          <cell r="R120">
            <v>0</v>
          </cell>
        </row>
        <row r="121">
          <cell r="Q121" t="str">
            <v>Summary of Revenues by Factor.NA11</v>
          </cell>
          <cell r="R121">
            <v>0</v>
          </cell>
        </row>
        <row r="122">
          <cell r="Q122" t="str">
            <v>Total Electric Operating Revenues.NA2</v>
          </cell>
          <cell r="R122">
            <v>382591356.3649506</v>
          </cell>
        </row>
        <row r="123">
          <cell r="Q123" t="str">
            <v>Miscellaneous Revenues.NA</v>
          </cell>
          <cell r="R123">
            <v>0</v>
          </cell>
        </row>
        <row r="124">
          <cell r="Q124" t="str">
            <v>41160.NA</v>
          </cell>
          <cell r="R124">
            <v>0</v>
          </cell>
        </row>
        <row r="125">
          <cell r="Q125" t="str">
            <v>41160.S</v>
          </cell>
          <cell r="R125">
            <v>0</v>
          </cell>
        </row>
        <row r="126">
          <cell r="Q126" t="str">
            <v>41160.SG</v>
          </cell>
          <cell r="R126">
            <v>0</v>
          </cell>
        </row>
        <row r="127">
          <cell r="Q127" t="str">
            <v>41160.SO</v>
          </cell>
          <cell r="R127">
            <v>0</v>
          </cell>
        </row>
        <row r="128">
          <cell r="Q128" t="str">
            <v>41160.DGU</v>
          </cell>
          <cell r="R128">
            <v>0</v>
          </cell>
        </row>
        <row r="129">
          <cell r="Q129" t="str">
            <v>41160.DGP</v>
          </cell>
          <cell r="R129">
            <v>0</v>
          </cell>
        </row>
        <row r="130">
          <cell r="Q130" t="str">
            <v>41160.NA1</v>
          </cell>
          <cell r="R130">
            <v>0</v>
          </cell>
        </row>
        <row r="131">
          <cell r="Q131" t="str">
            <v>41160.NA2</v>
          </cell>
          <cell r="R131">
            <v>0</v>
          </cell>
        </row>
        <row r="132">
          <cell r="Q132" t="str">
            <v>41170.NA</v>
          </cell>
          <cell r="R132">
            <v>0</v>
          </cell>
        </row>
        <row r="133">
          <cell r="Q133" t="str">
            <v>41170.S</v>
          </cell>
          <cell r="R133">
            <v>0</v>
          </cell>
        </row>
        <row r="134">
          <cell r="Q134" t="str">
            <v>41170.CAGW</v>
          </cell>
          <cell r="R134">
            <v>0</v>
          </cell>
        </row>
        <row r="135">
          <cell r="Q135" t="str">
            <v>41170.CAGE</v>
          </cell>
          <cell r="R135">
            <v>0</v>
          </cell>
        </row>
        <row r="136">
          <cell r="Q136" t="str">
            <v>41170.SG</v>
          </cell>
          <cell r="R136">
            <v>0</v>
          </cell>
        </row>
        <row r="137">
          <cell r="Q137" t="str">
            <v>41170.NA1</v>
          </cell>
          <cell r="R137">
            <v>0</v>
          </cell>
        </row>
        <row r="138">
          <cell r="Q138" t="str">
            <v>41170.NA2</v>
          </cell>
          <cell r="R138">
            <v>0</v>
          </cell>
        </row>
        <row r="139">
          <cell r="Q139" t="str">
            <v>4118.NA</v>
          </cell>
          <cell r="R139">
            <v>0</v>
          </cell>
        </row>
        <row r="140">
          <cell r="Q140" t="str">
            <v>4118.S</v>
          </cell>
          <cell r="R140">
            <v>0</v>
          </cell>
        </row>
        <row r="141">
          <cell r="Q141" t="str">
            <v>4118.CAEW</v>
          </cell>
          <cell r="R141">
            <v>0</v>
          </cell>
        </row>
        <row r="142">
          <cell r="Q142" t="str">
            <v>4118.CAEE</v>
          </cell>
          <cell r="R142">
            <v>0</v>
          </cell>
        </row>
        <row r="143">
          <cell r="Q143" t="str">
            <v>4118.SE</v>
          </cell>
          <cell r="R143">
            <v>-12.892102979296286</v>
          </cell>
        </row>
        <row r="144">
          <cell r="Q144" t="str">
            <v>4118.NA1</v>
          </cell>
          <cell r="R144">
            <v>-12.892102979296286</v>
          </cell>
        </row>
        <row r="145">
          <cell r="Q145" t="str">
            <v>4118.NA2</v>
          </cell>
          <cell r="R145">
            <v>0</v>
          </cell>
        </row>
        <row r="146">
          <cell r="Q146" t="str">
            <v>41181.NA</v>
          </cell>
          <cell r="R146">
            <v>0</v>
          </cell>
        </row>
        <row r="147">
          <cell r="Q147" t="str">
            <v>41181.SE</v>
          </cell>
          <cell r="R147">
            <v>0</v>
          </cell>
        </row>
        <row r="148">
          <cell r="Q148" t="str">
            <v>41181.NA1</v>
          </cell>
          <cell r="R148">
            <v>0</v>
          </cell>
        </row>
        <row r="149">
          <cell r="Q149" t="str">
            <v>41181.NA2</v>
          </cell>
          <cell r="R149">
            <v>0</v>
          </cell>
        </row>
        <row r="150">
          <cell r="Q150" t="str">
            <v>4194.NA</v>
          </cell>
          <cell r="R150">
            <v>0</v>
          </cell>
        </row>
        <row r="151">
          <cell r="Q151" t="str">
            <v>4194.DGU</v>
          </cell>
          <cell r="R151">
            <v>0</v>
          </cell>
        </row>
        <row r="152">
          <cell r="Q152" t="str">
            <v>4194.NA1</v>
          </cell>
          <cell r="R152">
            <v>0</v>
          </cell>
        </row>
        <row r="153">
          <cell r="Q153" t="str">
            <v>4194.NA2</v>
          </cell>
          <cell r="R153">
            <v>0</v>
          </cell>
        </row>
        <row r="154">
          <cell r="Q154" t="str">
            <v>421.NA</v>
          </cell>
          <cell r="R154">
            <v>0</v>
          </cell>
        </row>
        <row r="155">
          <cell r="Q155" t="str">
            <v>421.S</v>
          </cell>
          <cell r="R155">
            <v>-1134.9000000000001</v>
          </cell>
        </row>
        <row r="156">
          <cell r="Q156" t="str">
            <v>421.DGP</v>
          </cell>
          <cell r="R156">
            <v>0</v>
          </cell>
        </row>
        <row r="157">
          <cell r="Q157" t="str">
            <v>421.CAEE</v>
          </cell>
          <cell r="R157">
            <v>0</v>
          </cell>
        </row>
        <row r="158">
          <cell r="Q158" t="str">
            <v>421.CN</v>
          </cell>
          <cell r="R158">
            <v>0</v>
          </cell>
        </row>
        <row r="159">
          <cell r="Q159" t="str">
            <v>421.SO</v>
          </cell>
          <cell r="R159">
            <v>398.24752128997352</v>
          </cell>
        </row>
        <row r="160">
          <cell r="Q160" t="str">
            <v>421.CAGW</v>
          </cell>
          <cell r="R160">
            <v>5765.0461459821045</v>
          </cell>
        </row>
        <row r="161">
          <cell r="Q161" t="str">
            <v>421.CAGE</v>
          </cell>
          <cell r="R161">
            <v>0</v>
          </cell>
        </row>
        <row r="162">
          <cell r="Q162" t="str">
            <v>421.SG</v>
          </cell>
          <cell r="R162">
            <v>0</v>
          </cell>
        </row>
        <row r="163">
          <cell r="Q163" t="str">
            <v>421.NA1</v>
          </cell>
          <cell r="R163">
            <v>5028.3936672720774</v>
          </cell>
        </row>
        <row r="164">
          <cell r="Q164" t="str">
            <v>421.NA2</v>
          </cell>
          <cell r="R164">
            <v>0</v>
          </cell>
        </row>
        <row r="165">
          <cell r="Q165" t="str">
            <v>Total Miscellaneous Revenues.NA</v>
          </cell>
          <cell r="R165">
            <v>5015.501564292781</v>
          </cell>
        </row>
        <row r="166">
          <cell r="Q166" t="str">
            <v>Miscellaneous Expenses.NA</v>
          </cell>
          <cell r="R166">
            <v>0</v>
          </cell>
        </row>
        <row r="167">
          <cell r="Q167" t="str">
            <v>4311.NA</v>
          </cell>
          <cell r="R167">
            <v>0</v>
          </cell>
        </row>
        <row r="168">
          <cell r="Q168" t="str">
            <v>4311.S</v>
          </cell>
          <cell r="R168">
            <v>60419.600000000006</v>
          </cell>
        </row>
        <row r="169">
          <cell r="Q169" t="str">
            <v>4311.NA1</v>
          </cell>
          <cell r="R169">
            <v>60419.600000000006</v>
          </cell>
        </row>
        <row r="170">
          <cell r="Q170" t="str">
            <v>Total Miscellaneous Expenses.NA</v>
          </cell>
          <cell r="R170">
            <v>60419.600000000006</v>
          </cell>
        </row>
        <row r="171">
          <cell r="Q171" t="str">
            <v>Total Miscellaneous Expenses.NA1</v>
          </cell>
          <cell r="R171">
            <v>0</v>
          </cell>
        </row>
        <row r="172">
          <cell r="Q172" t="str">
            <v>Net Misc Revenue and Expense.NA</v>
          </cell>
          <cell r="R172">
            <v>65435.101564292789</v>
          </cell>
        </row>
        <row r="173">
          <cell r="Q173" t="str">
            <v>Net Misc Revenue and Expense.NA1</v>
          </cell>
          <cell r="R173">
            <v>0</v>
          </cell>
        </row>
        <row r="174">
          <cell r="Q174" t="str">
            <v>500.NA</v>
          </cell>
          <cell r="R174">
            <v>0</v>
          </cell>
        </row>
        <row r="175">
          <cell r="Q175" t="str">
            <v>500.SG</v>
          </cell>
          <cell r="R175">
            <v>38325.703398732665</v>
          </cell>
        </row>
        <row r="176">
          <cell r="Q176" t="str">
            <v>500.CAGW</v>
          </cell>
          <cell r="R176">
            <v>5168.3697811154125</v>
          </cell>
        </row>
        <row r="177">
          <cell r="Q177" t="str">
            <v>500.CAGE</v>
          </cell>
          <cell r="R177">
            <v>0</v>
          </cell>
        </row>
        <row r="178">
          <cell r="Q178" t="str">
            <v>500.JBG</v>
          </cell>
          <cell r="R178">
            <v>3052057.0813447139</v>
          </cell>
        </row>
        <row r="179">
          <cell r="Q179" t="str">
            <v>500.CAGE1</v>
          </cell>
          <cell r="R179">
            <v>0</v>
          </cell>
        </row>
        <row r="180">
          <cell r="Q180" t="str">
            <v>500.NA1</v>
          </cell>
          <cell r="R180">
            <v>3095551.1545245619</v>
          </cell>
        </row>
        <row r="181">
          <cell r="Q181" t="str">
            <v>500.NA2</v>
          </cell>
          <cell r="R181">
            <v>0</v>
          </cell>
        </row>
        <row r="182">
          <cell r="Q182" t="str">
            <v>501.NA</v>
          </cell>
          <cell r="R182">
            <v>0</v>
          </cell>
        </row>
        <row r="183">
          <cell r="Q183" t="str">
            <v>501.SE</v>
          </cell>
          <cell r="R183">
            <v>-13377.611575706778</v>
          </cell>
        </row>
        <row r="184">
          <cell r="Q184" t="str">
            <v>501.S</v>
          </cell>
          <cell r="R184">
            <v>0</v>
          </cell>
        </row>
        <row r="185">
          <cell r="Q185" t="str">
            <v>501.SE1</v>
          </cell>
          <cell r="R185">
            <v>0</v>
          </cell>
        </row>
        <row r="186">
          <cell r="Q186" t="str">
            <v>501.CAGW</v>
          </cell>
          <cell r="R186">
            <v>218323.3760474252</v>
          </cell>
        </row>
        <row r="187">
          <cell r="Q187" t="str">
            <v>501.CAGE</v>
          </cell>
          <cell r="R187">
            <v>0</v>
          </cell>
        </row>
        <row r="188">
          <cell r="Q188" t="str">
            <v>501.CAEW</v>
          </cell>
          <cell r="R188">
            <v>0</v>
          </cell>
        </row>
        <row r="189">
          <cell r="Q189" t="str">
            <v>501.CAEE</v>
          </cell>
          <cell r="R189">
            <v>0</v>
          </cell>
        </row>
        <row r="190">
          <cell r="Q190" t="str">
            <v>501.JBE</v>
          </cell>
          <cell r="R190">
            <v>661745.42520031659</v>
          </cell>
        </row>
        <row r="191">
          <cell r="Q191" t="str">
            <v>501.CAEE1</v>
          </cell>
          <cell r="R191">
            <v>0</v>
          </cell>
        </row>
        <row r="192">
          <cell r="Q192" t="str">
            <v>501.JBG</v>
          </cell>
          <cell r="R192">
            <v>2549407.9127013339</v>
          </cell>
        </row>
        <row r="193">
          <cell r="Q193" t="str">
            <v>501.NA1</v>
          </cell>
          <cell r="R193">
            <v>3416099.102373369</v>
          </cell>
        </row>
        <row r="194">
          <cell r="Q194" t="str">
            <v>501.NA2</v>
          </cell>
          <cell r="R194">
            <v>0</v>
          </cell>
        </row>
        <row r="195">
          <cell r="Q195" t="str">
            <v>501NPC.NA</v>
          </cell>
          <cell r="R195">
            <v>0</v>
          </cell>
        </row>
        <row r="196">
          <cell r="Q196" t="str">
            <v>501NPC.S</v>
          </cell>
          <cell r="R196">
            <v>-4714257.427668673</v>
          </cell>
        </row>
        <row r="197">
          <cell r="Q197" t="str">
            <v>501NPC.SE</v>
          </cell>
          <cell r="R197">
            <v>0</v>
          </cell>
        </row>
        <row r="198">
          <cell r="Q198" t="str">
            <v>501NPC.SE1</v>
          </cell>
          <cell r="R198">
            <v>0</v>
          </cell>
        </row>
        <row r="199">
          <cell r="Q199" t="str">
            <v>501NPC.SE2</v>
          </cell>
          <cell r="R199">
            <v>0</v>
          </cell>
        </row>
        <row r="200">
          <cell r="Q200" t="str">
            <v>501NPC.CAGW</v>
          </cell>
          <cell r="R200">
            <v>0</v>
          </cell>
        </row>
        <row r="201">
          <cell r="Q201" t="str">
            <v>501NPC.CAGE</v>
          </cell>
          <cell r="R201">
            <v>0</v>
          </cell>
        </row>
        <row r="202">
          <cell r="Q202" t="str">
            <v>501NPC.CAEW</v>
          </cell>
          <cell r="R202">
            <v>54296795.032486156</v>
          </cell>
        </row>
        <row r="203">
          <cell r="Q203" t="str">
            <v>501NPC.CAEE</v>
          </cell>
          <cell r="R203">
            <v>0</v>
          </cell>
        </row>
        <row r="204">
          <cell r="Q204" t="str">
            <v>501NPC.JBE</v>
          </cell>
          <cell r="R204">
            <v>0</v>
          </cell>
        </row>
        <row r="205">
          <cell r="Q205" t="str">
            <v>501NPC.CAEE1</v>
          </cell>
          <cell r="R205">
            <v>0</v>
          </cell>
        </row>
        <row r="206">
          <cell r="Q206" t="str">
            <v>501NPC.JBG</v>
          </cell>
          <cell r="R206">
            <v>0</v>
          </cell>
        </row>
        <row r="207">
          <cell r="Q207" t="str">
            <v>501NPC.NA1</v>
          </cell>
          <cell r="R207">
            <v>49582537.60481748</v>
          </cell>
        </row>
        <row r="208">
          <cell r="Q208" t="str">
            <v>501NPC.NA2</v>
          </cell>
          <cell r="R208">
            <v>0</v>
          </cell>
        </row>
        <row r="209">
          <cell r="Q209" t="str">
            <v>501NPC.NA3</v>
          </cell>
          <cell r="R209">
            <v>52998636.707190849</v>
          </cell>
        </row>
        <row r="210">
          <cell r="Q210" t="str">
            <v>501NPC.NA4</v>
          </cell>
          <cell r="R210">
            <v>0</v>
          </cell>
        </row>
        <row r="211">
          <cell r="Q211" t="str">
            <v>502.NA</v>
          </cell>
          <cell r="R211">
            <v>0</v>
          </cell>
        </row>
        <row r="212">
          <cell r="Q212" t="str">
            <v>502.SG</v>
          </cell>
          <cell r="R212">
            <v>0</v>
          </cell>
        </row>
        <row r="213">
          <cell r="Q213" t="str">
            <v>502.CAGW</v>
          </cell>
          <cell r="R213">
            <v>159536.78557164085</v>
          </cell>
        </row>
        <row r="214">
          <cell r="Q214" t="str">
            <v>502.CAGE</v>
          </cell>
          <cell r="R214">
            <v>0</v>
          </cell>
        </row>
        <row r="215">
          <cell r="Q215" t="str">
            <v>502.JBG</v>
          </cell>
          <cell r="R215">
            <v>4481517.5890261848</v>
          </cell>
        </row>
        <row r="216">
          <cell r="Q216" t="str">
            <v>502.CAGE1</v>
          </cell>
          <cell r="R216">
            <v>0</v>
          </cell>
        </row>
        <row r="217">
          <cell r="Q217" t="str">
            <v>502.NA1</v>
          </cell>
          <cell r="R217">
            <v>4641054.374597826</v>
          </cell>
        </row>
        <row r="218">
          <cell r="Q218" t="str">
            <v>502.NA2</v>
          </cell>
          <cell r="R218">
            <v>0</v>
          </cell>
        </row>
        <row r="219">
          <cell r="Q219" t="str">
            <v>503.NA</v>
          </cell>
          <cell r="R219">
            <v>0</v>
          </cell>
        </row>
        <row r="220">
          <cell r="Q220" t="str">
            <v>503.SE</v>
          </cell>
          <cell r="R220">
            <v>339903.47444253182</v>
          </cell>
        </row>
        <row r="221">
          <cell r="Q221" t="str">
            <v>503.CAEW</v>
          </cell>
          <cell r="R221">
            <v>0</v>
          </cell>
        </row>
        <row r="222">
          <cell r="Q222" t="str">
            <v>503.CAEE</v>
          </cell>
          <cell r="R222">
            <v>0</v>
          </cell>
        </row>
        <row r="223">
          <cell r="Q223" t="str">
            <v>503.NA1</v>
          </cell>
          <cell r="R223">
            <v>339903.47444253182</v>
          </cell>
        </row>
        <row r="224">
          <cell r="Q224" t="str">
            <v>503.NA2</v>
          </cell>
          <cell r="R224">
            <v>0</v>
          </cell>
        </row>
        <row r="225">
          <cell r="Q225" t="str">
            <v>503NPC.NA</v>
          </cell>
          <cell r="R225">
            <v>0</v>
          </cell>
        </row>
        <row r="226">
          <cell r="Q226" t="str">
            <v>503NPC.SE</v>
          </cell>
          <cell r="R226">
            <v>0</v>
          </cell>
        </row>
        <row r="227">
          <cell r="Q227" t="str">
            <v>503NPC.CAEW</v>
          </cell>
          <cell r="R227">
            <v>0</v>
          </cell>
        </row>
        <row r="228">
          <cell r="Q228" t="str">
            <v>503NPC.CAEE</v>
          </cell>
          <cell r="R228">
            <v>0</v>
          </cell>
        </row>
        <row r="229">
          <cell r="Q229" t="str">
            <v>503NPC.NA1</v>
          </cell>
          <cell r="R229">
            <v>0</v>
          </cell>
        </row>
        <row r="230">
          <cell r="Q230" t="str">
            <v>503NPC.NA2</v>
          </cell>
          <cell r="R230">
            <v>0</v>
          </cell>
        </row>
        <row r="231">
          <cell r="Q231" t="str">
            <v>505.NA</v>
          </cell>
          <cell r="R231">
            <v>0</v>
          </cell>
        </row>
        <row r="232">
          <cell r="Q232" t="str">
            <v>505.SG</v>
          </cell>
          <cell r="R232">
            <v>0</v>
          </cell>
        </row>
        <row r="233">
          <cell r="Q233" t="str">
            <v>505.CAGW</v>
          </cell>
          <cell r="R233">
            <v>6836.319898727189</v>
          </cell>
        </row>
        <row r="234">
          <cell r="Q234" t="str">
            <v>505.CAGE</v>
          </cell>
          <cell r="R234">
            <v>0</v>
          </cell>
        </row>
        <row r="235">
          <cell r="Q235" t="str">
            <v>505.JBG</v>
          </cell>
          <cell r="R235">
            <v>0</v>
          </cell>
        </row>
        <row r="236">
          <cell r="Q236" t="str">
            <v>505.CAGE1</v>
          </cell>
          <cell r="R236">
            <v>0</v>
          </cell>
        </row>
        <row r="237">
          <cell r="Q237" t="str">
            <v>505.NA1</v>
          </cell>
          <cell r="R237">
            <v>6836.319898727189</v>
          </cell>
        </row>
        <row r="238">
          <cell r="Q238" t="str">
            <v>505.NA2</v>
          </cell>
          <cell r="R238">
            <v>0</v>
          </cell>
        </row>
        <row r="239">
          <cell r="Q239" t="str">
            <v>506.NA</v>
          </cell>
          <cell r="R239">
            <v>0</v>
          </cell>
        </row>
        <row r="240">
          <cell r="Q240" t="str">
            <v>506.SG</v>
          </cell>
          <cell r="R240">
            <v>0</v>
          </cell>
        </row>
        <row r="241">
          <cell r="Q241" t="str">
            <v>506.SE</v>
          </cell>
          <cell r="R241">
            <v>0</v>
          </cell>
        </row>
        <row r="242">
          <cell r="Q242" t="str">
            <v>506.CAGW</v>
          </cell>
          <cell r="R242">
            <v>308275.4484335648</v>
          </cell>
        </row>
        <row r="243">
          <cell r="Q243" t="str">
            <v>506.CAGE</v>
          </cell>
          <cell r="R243">
            <v>0</v>
          </cell>
        </row>
        <row r="244">
          <cell r="Q244" t="str">
            <v>506.JBG</v>
          </cell>
          <cell r="R244">
            <v>-4931720.9065854121</v>
          </cell>
        </row>
        <row r="245">
          <cell r="Q245" t="str">
            <v>506.CAGE1</v>
          </cell>
          <cell r="R245">
            <v>0</v>
          </cell>
        </row>
        <row r="246">
          <cell r="Q246" t="str">
            <v>506.NA1</v>
          </cell>
          <cell r="R246">
            <v>-4623445.4581518471</v>
          </cell>
        </row>
        <row r="247">
          <cell r="Q247" t="str">
            <v>506.NA2</v>
          </cell>
          <cell r="R247">
            <v>0</v>
          </cell>
        </row>
        <row r="248">
          <cell r="Q248" t="str">
            <v>507.NA</v>
          </cell>
          <cell r="R248">
            <v>0</v>
          </cell>
        </row>
        <row r="249">
          <cell r="Q249" t="str">
            <v>507.SG</v>
          </cell>
          <cell r="R249">
            <v>0</v>
          </cell>
        </row>
        <row r="250">
          <cell r="Q250" t="str">
            <v>507.CAGW</v>
          </cell>
          <cell r="R250">
            <v>3429.9923840207675</v>
          </cell>
        </row>
        <row r="251">
          <cell r="Q251" t="str">
            <v>507.CAGE</v>
          </cell>
          <cell r="R251">
            <v>0</v>
          </cell>
        </row>
        <row r="252">
          <cell r="Q252" t="str">
            <v>507.JBG</v>
          </cell>
          <cell r="R252">
            <v>70969.33108166141</v>
          </cell>
        </row>
        <row r="253">
          <cell r="Q253" t="str">
            <v>507.CAGE1</v>
          </cell>
          <cell r="R253">
            <v>0</v>
          </cell>
        </row>
        <row r="254">
          <cell r="Q254" t="str">
            <v>507.NA1</v>
          </cell>
          <cell r="R254">
            <v>74399.323465682173</v>
          </cell>
        </row>
        <row r="255">
          <cell r="Q255" t="str">
            <v>507.NA2</v>
          </cell>
          <cell r="R255">
            <v>0</v>
          </cell>
        </row>
        <row r="256">
          <cell r="Q256" t="str">
            <v>510.NA</v>
          </cell>
          <cell r="R256">
            <v>0</v>
          </cell>
        </row>
        <row r="257">
          <cell r="Q257" t="str">
            <v>510.SG</v>
          </cell>
          <cell r="R257">
            <v>0</v>
          </cell>
        </row>
        <row r="258">
          <cell r="Q258" t="str">
            <v>510.CAGW</v>
          </cell>
          <cell r="R258">
            <v>39073.263881187711</v>
          </cell>
        </row>
        <row r="259">
          <cell r="Q259" t="str">
            <v>510.CAGE</v>
          </cell>
          <cell r="R259">
            <v>0</v>
          </cell>
        </row>
        <row r="260">
          <cell r="Q260" t="str">
            <v>510.JBG</v>
          </cell>
          <cell r="R260">
            <v>172307.58999462175</v>
          </cell>
        </row>
        <row r="261">
          <cell r="Q261" t="str">
            <v>510.CAGE1</v>
          </cell>
          <cell r="R261">
            <v>0</v>
          </cell>
        </row>
        <row r="262">
          <cell r="Q262" t="str">
            <v>510.NA1</v>
          </cell>
          <cell r="R262">
            <v>211380.85387580947</v>
          </cell>
        </row>
        <row r="263">
          <cell r="Q263" t="str">
            <v>510.NA2</v>
          </cell>
          <cell r="R263">
            <v>0</v>
          </cell>
        </row>
        <row r="264">
          <cell r="Q264" t="str">
            <v>510.NA3</v>
          </cell>
          <cell r="R264">
            <v>0</v>
          </cell>
        </row>
        <row r="265">
          <cell r="Q265" t="str">
            <v>510.NA4</v>
          </cell>
          <cell r="R265">
            <v>0</v>
          </cell>
        </row>
        <row r="266">
          <cell r="Q266" t="str">
            <v>511.NA</v>
          </cell>
          <cell r="R266">
            <v>0</v>
          </cell>
        </row>
        <row r="267">
          <cell r="Q267" t="str">
            <v>511.SG</v>
          </cell>
          <cell r="R267">
            <v>0</v>
          </cell>
        </row>
        <row r="268">
          <cell r="Q268" t="str">
            <v>511.CAGW</v>
          </cell>
          <cell r="R268">
            <v>51787.30109172505</v>
          </cell>
        </row>
        <row r="269">
          <cell r="Q269" t="str">
            <v>511.CAGE</v>
          </cell>
          <cell r="R269">
            <v>0</v>
          </cell>
        </row>
        <row r="270">
          <cell r="Q270" t="str">
            <v>511.JBG</v>
          </cell>
          <cell r="R270">
            <v>2335258.5408615684</v>
          </cell>
        </row>
        <row r="271">
          <cell r="Q271" t="str">
            <v>511.CAGE1</v>
          </cell>
          <cell r="R271">
            <v>0</v>
          </cell>
        </row>
        <row r="272">
          <cell r="Q272" t="str">
            <v>511.NA1</v>
          </cell>
          <cell r="R272">
            <v>2387045.8419532934</v>
          </cell>
        </row>
        <row r="273">
          <cell r="Q273" t="str">
            <v>511.NA2</v>
          </cell>
          <cell r="R273">
            <v>0</v>
          </cell>
        </row>
        <row r="274">
          <cell r="Q274" t="str">
            <v>512.NA</v>
          </cell>
          <cell r="R274">
            <v>0</v>
          </cell>
        </row>
        <row r="275">
          <cell r="Q275" t="str">
            <v>512.SG</v>
          </cell>
          <cell r="R275">
            <v>263779.47855041223</v>
          </cell>
        </row>
        <row r="276">
          <cell r="Q276" t="str">
            <v>512.CAGW</v>
          </cell>
          <cell r="R276">
            <v>392295.44947119395</v>
          </cell>
        </row>
        <row r="277">
          <cell r="Q277" t="str">
            <v>512.CAGE</v>
          </cell>
          <cell r="R277">
            <v>0</v>
          </cell>
        </row>
        <row r="278">
          <cell r="Q278" t="str">
            <v>512.JBG</v>
          </cell>
          <cell r="R278">
            <v>5529431.7645456009</v>
          </cell>
        </row>
        <row r="279">
          <cell r="Q279" t="str">
            <v>512.CAGE1</v>
          </cell>
          <cell r="R279">
            <v>0</v>
          </cell>
        </row>
        <row r="280">
          <cell r="Q280" t="str">
            <v>512.NA1</v>
          </cell>
          <cell r="R280">
            <v>6185506.6925672069</v>
          </cell>
        </row>
        <row r="281">
          <cell r="Q281" t="str">
            <v>512.NA2</v>
          </cell>
          <cell r="R281">
            <v>0</v>
          </cell>
        </row>
        <row r="282">
          <cell r="Q282" t="str">
            <v>513.NA</v>
          </cell>
          <cell r="R282">
            <v>0</v>
          </cell>
        </row>
        <row r="283">
          <cell r="Q283" t="str">
            <v>513.SG</v>
          </cell>
          <cell r="R283">
            <v>0</v>
          </cell>
        </row>
        <row r="284">
          <cell r="Q284" t="str">
            <v>513.CAGW</v>
          </cell>
          <cell r="R284">
            <v>8083.2527631305447</v>
          </cell>
        </row>
        <row r="285">
          <cell r="Q285" t="str">
            <v>513.CAGE</v>
          </cell>
          <cell r="R285">
            <v>0</v>
          </cell>
        </row>
        <row r="286">
          <cell r="Q286" t="str">
            <v>513.JBG</v>
          </cell>
          <cell r="R286">
            <v>1718173.1561006848</v>
          </cell>
        </row>
        <row r="287">
          <cell r="Q287" t="str">
            <v>513.CAGE1</v>
          </cell>
          <cell r="R287">
            <v>0</v>
          </cell>
        </row>
        <row r="288">
          <cell r="Q288" t="str">
            <v>513.NA1</v>
          </cell>
          <cell r="R288">
            <v>1726256.4088638152</v>
          </cell>
        </row>
        <row r="289">
          <cell r="Q289" t="str">
            <v>513.NA2</v>
          </cell>
          <cell r="R289">
            <v>0</v>
          </cell>
        </row>
        <row r="290">
          <cell r="Q290" t="str">
            <v>514.NA</v>
          </cell>
          <cell r="R290">
            <v>0</v>
          </cell>
        </row>
        <row r="291">
          <cell r="Q291" t="str">
            <v>514.SG</v>
          </cell>
          <cell r="R291">
            <v>0</v>
          </cell>
        </row>
        <row r="292">
          <cell r="Q292" t="str">
            <v>514.CAGW</v>
          </cell>
          <cell r="R292">
            <v>63789.655128799524</v>
          </cell>
        </row>
        <row r="293">
          <cell r="Q293" t="str">
            <v>514.CAGE</v>
          </cell>
          <cell r="R293">
            <v>0</v>
          </cell>
        </row>
        <row r="294">
          <cell r="Q294" t="str">
            <v>514.JBG</v>
          </cell>
          <cell r="R294">
            <v>452043.69433969475</v>
          </cell>
        </row>
        <row r="295">
          <cell r="Q295" t="str">
            <v>514.CAGE1</v>
          </cell>
          <cell r="R295">
            <v>0</v>
          </cell>
        </row>
        <row r="296">
          <cell r="Q296" t="str">
            <v>514.NA1</v>
          </cell>
          <cell r="R296">
            <v>515833.3494684943</v>
          </cell>
        </row>
        <row r="297">
          <cell r="Q297" t="str">
            <v>514.NA2</v>
          </cell>
          <cell r="R297">
            <v>0</v>
          </cell>
        </row>
        <row r="298">
          <cell r="Q298" t="str">
            <v>Total Steam Power Generation.NA</v>
          </cell>
          <cell r="R298">
            <v>67558959.042696953</v>
          </cell>
        </row>
        <row r="299">
          <cell r="Q299" t="str">
            <v>517.NA</v>
          </cell>
          <cell r="R299">
            <v>0</v>
          </cell>
        </row>
        <row r="300">
          <cell r="Q300" t="str">
            <v>517.SG</v>
          </cell>
          <cell r="R300">
            <v>0</v>
          </cell>
        </row>
        <row r="301">
          <cell r="Q301" t="str">
            <v>517.NA1</v>
          </cell>
          <cell r="R301">
            <v>0</v>
          </cell>
        </row>
        <row r="302">
          <cell r="Q302" t="str">
            <v>517.NA2</v>
          </cell>
          <cell r="R302">
            <v>0</v>
          </cell>
        </row>
        <row r="303">
          <cell r="Q303" t="str">
            <v>518.NA</v>
          </cell>
          <cell r="R303">
            <v>0</v>
          </cell>
        </row>
        <row r="304">
          <cell r="Q304" t="str">
            <v>518.SE</v>
          </cell>
          <cell r="R304">
            <v>0</v>
          </cell>
        </row>
        <row r="305">
          <cell r="Q305" t="str">
            <v>518.NA1</v>
          </cell>
          <cell r="R305">
            <v>0</v>
          </cell>
        </row>
        <row r="306">
          <cell r="Q306" t="str">
            <v>518.NA2</v>
          </cell>
          <cell r="R306">
            <v>0</v>
          </cell>
        </row>
        <row r="307">
          <cell r="Q307" t="str">
            <v>518.NA3</v>
          </cell>
          <cell r="R307">
            <v>0</v>
          </cell>
        </row>
        <row r="308">
          <cell r="Q308" t="str">
            <v>519.NA</v>
          </cell>
          <cell r="R308">
            <v>0</v>
          </cell>
        </row>
        <row r="309">
          <cell r="Q309" t="str">
            <v>519.SG</v>
          </cell>
          <cell r="R309">
            <v>0</v>
          </cell>
        </row>
        <row r="310">
          <cell r="Q310" t="str">
            <v>519.NA1</v>
          </cell>
          <cell r="R310">
            <v>0</v>
          </cell>
        </row>
        <row r="311">
          <cell r="Q311" t="str">
            <v>519.NA2</v>
          </cell>
          <cell r="R311">
            <v>0</v>
          </cell>
        </row>
        <row r="312">
          <cell r="Q312" t="str">
            <v>520.NA</v>
          </cell>
          <cell r="R312">
            <v>0</v>
          </cell>
        </row>
        <row r="313">
          <cell r="Q313" t="str">
            <v>520.SG</v>
          </cell>
          <cell r="R313">
            <v>0</v>
          </cell>
        </row>
        <row r="314">
          <cell r="Q314" t="str">
            <v>520.NA1</v>
          </cell>
          <cell r="R314">
            <v>0</v>
          </cell>
        </row>
        <row r="315">
          <cell r="Q315" t="str">
            <v>520.NA2</v>
          </cell>
          <cell r="R315">
            <v>0</v>
          </cell>
        </row>
        <row r="316">
          <cell r="Q316" t="str">
            <v>520.NA3</v>
          </cell>
          <cell r="R316">
            <v>0</v>
          </cell>
        </row>
        <row r="317">
          <cell r="Q317" t="str">
            <v>520.NA4</v>
          </cell>
          <cell r="R317">
            <v>0</v>
          </cell>
        </row>
        <row r="318">
          <cell r="Q318" t="str">
            <v>523.NA</v>
          </cell>
          <cell r="R318">
            <v>0</v>
          </cell>
        </row>
        <row r="319">
          <cell r="Q319" t="str">
            <v>523.SG</v>
          </cell>
          <cell r="R319">
            <v>0</v>
          </cell>
        </row>
        <row r="320">
          <cell r="Q320" t="str">
            <v>523.NA1</v>
          </cell>
          <cell r="R320">
            <v>0</v>
          </cell>
        </row>
        <row r="321">
          <cell r="Q321" t="str">
            <v>523.NA2</v>
          </cell>
          <cell r="R321">
            <v>0</v>
          </cell>
        </row>
        <row r="322">
          <cell r="Q322" t="str">
            <v>524.NA</v>
          </cell>
          <cell r="R322">
            <v>0</v>
          </cell>
        </row>
        <row r="323">
          <cell r="Q323" t="str">
            <v>524.SG</v>
          </cell>
          <cell r="R323">
            <v>0</v>
          </cell>
        </row>
        <row r="324">
          <cell r="Q324" t="str">
            <v>524.NA1</v>
          </cell>
          <cell r="R324">
            <v>0</v>
          </cell>
        </row>
        <row r="325">
          <cell r="Q325" t="str">
            <v>524.NA2</v>
          </cell>
          <cell r="R325">
            <v>0</v>
          </cell>
        </row>
        <row r="326">
          <cell r="Q326" t="str">
            <v>528.NA</v>
          </cell>
          <cell r="R326">
            <v>0</v>
          </cell>
        </row>
        <row r="327">
          <cell r="Q327" t="str">
            <v>528.SG</v>
          </cell>
          <cell r="R327">
            <v>0</v>
          </cell>
        </row>
        <row r="328">
          <cell r="Q328" t="str">
            <v>528.NA1</v>
          </cell>
          <cell r="R328">
            <v>0</v>
          </cell>
        </row>
        <row r="329">
          <cell r="Q329" t="str">
            <v>528.NA2</v>
          </cell>
          <cell r="R329">
            <v>0</v>
          </cell>
        </row>
        <row r="330">
          <cell r="Q330" t="str">
            <v>529.NA</v>
          </cell>
          <cell r="R330">
            <v>0</v>
          </cell>
        </row>
        <row r="331">
          <cell r="Q331" t="str">
            <v>529.SG</v>
          </cell>
          <cell r="R331">
            <v>0</v>
          </cell>
        </row>
        <row r="332">
          <cell r="Q332" t="str">
            <v>529.NA1</v>
          </cell>
          <cell r="R332">
            <v>0</v>
          </cell>
        </row>
        <row r="333">
          <cell r="Q333" t="str">
            <v>529.NA2</v>
          </cell>
          <cell r="R333">
            <v>0</v>
          </cell>
        </row>
        <row r="334">
          <cell r="Q334" t="str">
            <v>530.NA</v>
          </cell>
          <cell r="R334">
            <v>0</v>
          </cell>
        </row>
        <row r="335">
          <cell r="Q335" t="str">
            <v>530.SG</v>
          </cell>
          <cell r="R335">
            <v>0</v>
          </cell>
        </row>
        <row r="336">
          <cell r="Q336" t="str">
            <v>530.NA1</v>
          </cell>
          <cell r="R336">
            <v>0</v>
          </cell>
        </row>
        <row r="337">
          <cell r="Q337" t="str">
            <v>530.NA2</v>
          </cell>
          <cell r="R337">
            <v>0</v>
          </cell>
        </row>
        <row r="338">
          <cell r="Q338" t="str">
            <v>531.NA</v>
          </cell>
          <cell r="R338">
            <v>0</v>
          </cell>
        </row>
        <row r="339">
          <cell r="Q339" t="str">
            <v>531.SG</v>
          </cell>
          <cell r="R339">
            <v>0</v>
          </cell>
        </row>
        <row r="340">
          <cell r="Q340" t="str">
            <v>531.NA1</v>
          </cell>
          <cell r="R340">
            <v>0</v>
          </cell>
        </row>
        <row r="341">
          <cell r="Q341" t="str">
            <v>531.NA2</v>
          </cell>
          <cell r="R341">
            <v>0</v>
          </cell>
        </row>
        <row r="342">
          <cell r="Q342" t="str">
            <v>532.NA</v>
          </cell>
          <cell r="R342">
            <v>0</v>
          </cell>
        </row>
        <row r="343">
          <cell r="Q343" t="str">
            <v>532.SG</v>
          </cell>
          <cell r="R343">
            <v>0</v>
          </cell>
        </row>
        <row r="344">
          <cell r="Q344" t="str">
            <v>532.NA1</v>
          </cell>
          <cell r="R344">
            <v>0</v>
          </cell>
        </row>
        <row r="345">
          <cell r="Q345" t="str">
            <v>532.NA2</v>
          </cell>
          <cell r="R345">
            <v>0</v>
          </cell>
        </row>
        <row r="346">
          <cell r="Q346" t="str">
            <v>Total Nuclear Power Generation.NA</v>
          </cell>
          <cell r="R346">
            <v>0</v>
          </cell>
        </row>
        <row r="347">
          <cell r="Q347" t="str">
            <v>Total Nuclear Power Generation.NA1</v>
          </cell>
          <cell r="R347">
            <v>0</v>
          </cell>
        </row>
        <row r="348">
          <cell r="Q348" t="str">
            <v>535.NA</v>
          </cell>
          <cell r="R348">
            <v>0</v>
          </cell>
        </row>
        <row r="349">
          <cell r="Q349" t="str">
            <v>535.DGP</v>
          </cell>
          <cell r="R349">
            <v>0</v>
          </cell>
        </row>
        <row r="350">
          <cell r="Q350" t="str">
            <v>535.CN</v>
          </cell>
          <cell r="R350">
            <v>0</v>
          </cell>
        </row>
        <row r="351">
          <cell r="Q351" t="str">
            <v>535.SG</v>
          </cell>
          <cell r="R351">
            <v>16651.631132495226</v>
          </cell>
        </row>
        <row r="352">
          <cell r="Q352" t="str">
            <v>535.CAGW</v>
          </cell>
          <cell r="R352">
            <v>1853920.2172488305</v>
          </cell>
        </row>
        <row r="353">
          <cell r="Q353" t="str">
            <v>535.CAGE</v>
          </cell>
          <cell r="R353">
            <v>0</v>
          </cell>
        </row>
        <row r="354">
          <cell r="Q354" t="str">
            <v>535.NA1</v>
          </cell>
          <cell r="R354">
            <v>1870571.8483813256</v>
          </cell>
        </row>
        <row r="355">
          <cell r="Q355" t="str">
            <v>535.NA2</v>
          </cell>
          <cell r="R355">
            <v>0</v>
          </cell>
        </row>
        <row r="356">
          <cell r="Q356" t="str">
            <v>536.NA</v>
          </cell>
          <cell r="R356">
            <v>0</v>
          </cell>
        </row>
        <row r="357">
          <cell r="Q357" t="str">
            <v>536.DGP</v>
          </cell>
          <cell r="R357">
            <v>0</v>
          </cell>
        </row>
        <row r="358">
          <cell r="Q358" t="str">
            <v>536.CAGW</v>
          </cell>
          <cell r="R358">
            <v>0</v>
          </cell>
        </row>
        <row r="359">
          <cell r="Q359" t="str">
            <v>536.CAGE</v>
          </cell>
          <cell r="R359">
            <v>0</v>
          </cell>
        </row>
        <row r="360">
          <cell r="Q360" t="str">
            <v>536.CAGW1</v>
          </cell>
          <cell r="R360">
            <v>8468.316690147356</v>
          </cell>
        </row>
        <row r="361">
          <cell r="Q361" t="str">
            <v>536.CAGE1</v>
          </cell>
          <cell r="R361">
            <v>0</v>
          </cell>
        </row>
        <row r="362">
          <cell r="Q362" t="str">
            <v>536.NA1</v>
          </cell>
          <cell r="R362">
            <v>8468.316690147356</v>
          </cell>
        </row>
        <row r="363">
          <cell r="Q363" t="str">
            <v>536.NA2</v>
          </cell>
          <cell r="R363">
            <v>0</v>
          </cell>
        </row>
        <row r="364">
          <cell r="Q364" t="str">
            <v>537.NA</v>
          </cell>
          <cell r="R364">
            <v>0</v>
          </cell>
        </row>
        <row r="365">
          <cell r="Q365" t="str">
            <v>537.DGP</v>
          </cell>
          <cell r="R365">
            <v>0</v>
          </cell>
        </row>
        <row r="366">
          <cell r="Q366" t="str">
            <v>537.CAGW</v>
          </cell>
          <cell r="R366">
            <v>0</v>
          </cell>
        </row>
        <row r="367">
          <cell r="Q367" t="str">
            <v>537.CAGE</v>
          </cell>
          <cell r="R367">
            <v>0</v>
          </cell>
        </row>
        <row r="368">
          <cell r="Q368" t="str">
            <v>537.CAGW1</v>
          </cell>
          <cell r="R368">
            <v>865099.97768495337</v>
          </cell>
        </row>
        <row r="369">
          <cell r="Q369" t="str">
            <v>537.CAGE1</v>
          </cell>
          <cell r="R369">
            <v>0</v>
          </cell>
        </row>
        <row r="370">
          <cell r="Q370" t="str">
            <v>537.NA1</v>
          </cell>
          <cell r="R370">
            <v>865099.97768495337</v>
          </cell>
        </row>
        <row r="371">
          <cell r="Q371" t="str">
            <v>537.NA2</v>
          </cell>
          <cell r="R371">
            <v>0</v>
          </cell>
        </row>
        <row r="372">
          <cell r="Q372" t="str">
            <v>538.NA</v>
          </cell>
          <cell r="R372">
            <v>0</v>
          </cell>
        </row>
        <row r="373">
          <cell r="Q373" t="str">
            <v>538.DGP</v>
          </cell>
          <cell r="R373">
            <v>0</v>
          </cell>
        </row>
        <row r="374">
          <cell r="Q374" t="str">
            <v>538.CAGW</v>
          </cell>
          <cell r="R374">
            <v>0</v>
          </cell>
        </row>
        <row r="375">
          <cell r="Q375" t="str">
            <v>538.CAGE</v>
          </cell>
          <cell r="R375">
            <v>0</v>
          </cell>
        </row>
        <row r="376">
          <cell r="Q376" t="str">
            <v>538.CAGW1</v>
          </cell>
          <cell r="R376">
            <v>0</v>
          </cell>
        </row>
        <row r="377">
          <cell r="Q377" t="str">
            <v>538.CAGE1</v>
          </cell>
          <cell r="R377">
            <v>0</v>
          </cell>
        </row>
        <row r="378">
          <cell r="Q378" t="str">
            <v>538.NA1</v>
          </cell>
          <cell r="R378">
            <v>0</v>
          </cell>
        </row>
        <row r="379">
          <cell r="Q379" t="str">
            <v>538.NA2</v>
          </cell>
          <cell r="R379">
            <v>0</v>
          </cell>
        </row>
        <row r="380">
          <cell r="Q380" t="str">
            <v>539.NA</v>
          </cell>
          <cell r="R380">
            <v>0</v>
          </cell>
        </row>
        <row r="381">
          <cell r="Q381" t="str">
            <v>539.DGP</v>
          </cell>
          <cell r="R381">
            <v>0</v>
          </cell>
        </row>
        <row r="382">
          <cell r="Q382" t="str">
            <v>539.CAGW</v>
          </cell>
          <cell r="R382">
            <v>0</v>
          </cell>
        </row>
        <row r="383">
          <cell r="Q383" t="str">
            <v>539.CAGE</v>
          </cell>
          <cell r="R383">
            <v>0</v>
          </cell>
        </row>
        <row r="384">
          <cell r="Q384" t="str">
            <v>539.CAGW1</v>
          </cell>
          <cell r="R384">
            <v>2595248.096006982</v>
          </cell>
        </row>
        <row r="385">
          <cell r="Q385" t="str">
            <v>539.CAGE1</v>
          </cell>
          <cell r="R385">
            <v>0</v>
          </cell>
        </row>
        <row r="386">
          <cell r="Q386" t="str">
            <v>539.NA1</v>
          </cell>
          <cell r="R386">
            <v>2595248.096006982</v>
          </cell>
        </row>
        <row r="387">
          <cell r="Q387" t="str">
            <v>539.NA2</v>
          </cell>
          <cell r="R387">
            <v>0</v>
          </cell>
        </row>
        <row r="388">
          <cell r="Q388" t="str">
            <v>540.NA</v>
          </cell>
          <cell r="R388">
            <v>0</v>
          </cell>
        </row>
        <row r="389">
          <cell r="Q389" t="str">
            <v>540.DGP</v>
          </cell>
          <cell r="R389">
            <v>0</v>
          </cell>
        </row>
        <row r="390">
          <cell r="Q390" t="str">
            <v>540.CAGW</v>
          </cell>
          <cell r="R390">
            <v>0</v>
          </cell>
        </row>
        <row r="391">
          <cell r="Q391" t="str">
            <v>540.CAGE</v>
          </cell>
          <cell r="R391">
            <v>0</v>
          </cell>
        </row>
        <row r="392">
          <cell r="Q392" t="str">
            <v>540.CAGW1</v>
          </cell>
          <cell r="R392">
            <v>267883.95734718099</v>
          </cell>
        </row>
        <row r="393">
          <cell r="Q393" t="str">
            <v>540.CAGE1</v>
          </cell>
          <cell r="R393">
            <v>0</v>
          </cell>
        </row>
        <row r="394">
          <cell r="Q394" t="str">
            <v>540.NA1</v>
          </cell>
          <cell r="R394">
            <v>267883.95734718099</v>
          </cell>
        </row>
        <row r="395">
          <cell r="Q395" t="str">
            <v>540.NA2</v>
          </cell>
          <cell r="R395">
            <v>0</v>
          </cell>
        </row>
        <row r="396">
          <cell r="Q396" t="str">
            <v>541.NA</v>
          </cell>
          <cell r="R396">
            <v>0</v>
          </cell>
        </row>
        <row r="397">
          <cell r="Q397" t="str">
            <v>541.DGP</v>
          </cell>
          <cell r="R397">
            <v>0</v>
          </cell>
        </row>
        <row r="398">
          <cell r="Q398" t="str">
            <v>541.CAGW</v>
          </cell>
          <cell r="R398">
            <v>0</v>
          </cell>
        </row>
        <row r="399">
          <cell r="Q399" t="str">
            <v>541.CAGE</v>
          </cell>
          <cell r="R399">
            <v>0</v>
          </cell>
        </row>
        <row r="400">
          <cell r="Q400" t="str">
            <v>541.CAGW1</v>
          </cell>
          <cell r="R400">
            <v>101.38691332490728</v>
          </cell>
        </row>
        <row r="401">
          <cell r="Q401" t="str">
            <v>541.CAGE1</v>
          </cell>
          <cell r="R401">
            <v>0</v>
          </cell>
        </row>
        <row r="402">
          <cell r="Q402" t="str">
            <v>541.NA1</v>
          </cell>
          <cell r="R402">
            <v>101.38691332490728</v>
          </cell>
        </row>
        <row r="403">
          <cell r="Q403" t="str">
            <v>541.NA2</v>
          </cell>
          <cell r="R403">
            <v>0</v>
          </cell>
        </row>
        <row r="404">
          <cell r="Q404" t="str">
            <v>542.NA</v>
          </cell>
          <cell r="R404">
            <v>0</v>
          </cell>
        </row>
        <row r="405">
          <cell r="Q405" t="str">
            <v>542.DGP</v>
          </cell>
          <cell r="R405">
            <v>0</v>
          </cell>
        </row>
        <row r="406">
          <cell r="Q406" t="str">
            <v>542.CAGW</v>
          </cell>
          <cell r="R406">
            <v>0</v>
          </cell>
        </row>
        <row r="407">
          <cell r="Q407" t="str">
            <v>542.CAGE</v>
          </cell>
          <cell r="R407">
            <v>0</v>
          </cell>
        </row>
        <row r="408">
          <cell r="Q408" t="str">
            <v>542.CAGW1</v>
          </cell>
          <cell r="R408">
            <v>105174.33207684927</v>
          </cell>
        </row>
        <row r="409">
          <cell r="Q409" t="str">
            <v>542.CAGE1</v>
          </cell>
          <cell r="R409">
            <v>0</v>
          </cell>
        </row>
        <row r="410">
          <cell r="Q410" t="str">
            <v>542.NA1</v>
          </cell>
          <cell r="R410">
            <v>105174.33207684927</v>
          </cell>
        </row>
        <row r="411">
          <cell r="Q411" t="str">
            <v>542.NA2</v>
          </cell>
          <cell r="R411">
            <v>0</v>
          </cell>
        </row>
        <row r="412">
          <cell r="Q412" t="str">
            <v>542.NA3</v>
          </cell>
          <cell r="R412">
            <v>0</v>
          </cell>
        </row>
        <row r="413">
          <cell r="Q413" t="str">
            <v>542.NA4</v>
          </cell>
          <cell r="R413">
            <v>0</v>
          </cell>
        </row>
        <row r="414">
          <cell r="Q414" t="str">
            <v>542.NA5</v>
          </cell>
          <cell r="R414">
            <v>0</v>
          </cell>
        </row>
        <row r="415">
          <cell r="Q415" t="str">
            <v>543.NA</v>
          </cell>
          <cell r="R415">
            <v>0</v>
          </cell>
        </row>
        <row r="416">
          <cell r="Q416" t="str">
            <v>543.DGP</v>
          </cell>
          <cell r="R416">
            <v>0</v>
          </cell>
        </row>
        <row r="417">
          <cell r="Q417" t="str">
            <v>543.CAGW</v>
          </cell>
          <cell r="R417">
            <v>0</v>
          </cell>
        </row>
        <row r="418">
          <cell r="Q418" t="str">
            <v>543.CAGE</v>
          </cell>
          <cell r="R418">
            <v>0</v>
          </cell>
        </row>
        <row r="419">
          <cell r="Q419" t="str">
            <v>543.CAGW1</v>
          </cell>
          <cell r="R419">
            <v>202478.20616273291</v>
          </cell>
        </row>
        <row r="420">
          <cell r="Q420" t="str">
            <v>543.CAGE1</v>
          </cell>
          <cell r="R420">
            <v>0</v>
          </cell>
        </row>
        <row r="421">
          <cell r="Q421" t="str">
            <v>543.NA1</v>
          </cell>
          <cell r="R421">
            <v>202478.20616273291</v>
          </cell>
        </row>
        <row r="422">
          <cell r="Q422" t="str">
            <v>543.NA2</v>
          </cell>
          <cell r="R422">
            <v>0</v>
          </cell>
        </row>
        <row r="423">
          <cell r="Q423" t="str">
            <v>544.NA</v>
          </cell>
          <cell r="R423">
            <v>0</v>
          </cell>
        </row>
        <row r="424">
          <cell r="Q424" t="str">
            <v>544.DGP</v>
          </cell>
          <cell r="R424">
            <v>0</v>
          </cell>
        </row>
        <row r="425">
          <cell r="Q425" t="str">
            <v>544.CAGW</v>
          </cell>
          <cell r="R425">
            <v>0</v>
          </cell>
        </row>
        <row r="426">
          <cell r="Q426" t="str">
            <v>544.CAGE</v>
          </cell>
          <cell r="R426">
            <v>0</v>
          </cell>
        </row>
        <row r="427">
          <cell r="Q427" t="str">
            <v>544.CAGW1</v>
          </cell>
          <cell r="R427">
            <v>365811.46624671348</v>
          </cell>
        </row>
        <row r="428">
          <cell r="Q428" t="str">
            <v>544.CAGE1</v>
          </cell>
          <cell r="R428">
            <v>0</v>
          </cell>
        </row>
        <row r="429">
          <cell r="Q429" t="str">
            <v>544.NA1</v>
          </cell>
          <cell r="R429">
            <v>365811.46624671348</v>
          </cell>
        </row>
        <row r="430">
          <cell r="Q430" t="str">
            <v>544.NA2</v>
          </cell>
          <cell r="R430">
            <v>0</v>
          </cell>
        </row>
        <row r="431">
          <cell r="Q431" t="str">
            <v>545.NA</v>
          </cell>
          <cell r="R431">
            <v>0</v>
          </cell>
        </row>
        <row r="432">
          <cell r="Q432" t="str">
            <v>545.SG</v>
          </cell>
          <cell r="R432">
            <v>3390356.2888943506</v>
          </cell>
        </row>
        <row r="433">
          <cell r="Q433" t="str">
            <v>545.CAGW</v>
          </cell>
          <cell r="R433">
            <v>0</v>
          </cell>
        </row>
        <row r="434">
          <cell r="Q434" t="str">
            <v>545.CAGE</v>
          </cell>
          <cell r="R434">
            <v>0</v>
          </cell>
        </row>
        <row r="435">
          <cell r="Q435" t="str">
            <v>545.CAGW1</v>
          </cell>
          <cell r="R435">
            <v>-6264185.9563777149</v>
          </cell>
        </row>
        <row r="436">
          <cell r="Q436" t="str">
            <v>545.CAGE1</v>
          </cell>
          <cell r="R436">
            <v>0</v>
          </cell>
        </row>
        <row r="437">
          <cell r="Q437" t="str">
            <v>545.NA1</v>
          </cell>
          <cell r="R437">
            <v>-2873829.6674833642</v>
          </cell>
        </row>
        <row r="438">
          <cell r="Q438" t="str">
            <v>545.NA2</v>
          </cell>
          <cell r="R438">
            <v>0</v>
          </cell>
        </row>
        <row r="439">
          <cell r="Q439" t="str">
            <v>Total Hydraulic Power Generation .NA</v>
          </cell>
          <cell r="R439">
            <v>3407007.9200268462</v>
          </cell>
        </row>
        <row r="440">
          <cell r="Q440" t="str">
            <v>Total Hydraulic Power Generation .NA1</v>
          </cell>
          <cell r="R440">
            <v>0</v>
          </cell>
        </row>
        <row r="441">
          <cell r="Q441" t="str">
            <v>546.NA</v>
          </cell>
          <cell r="R441">
            <v>0</v>
          </cell>
        </row>
        <row r="442">
          <cell r="Q442" t="str">
            <v>546.SG</v>
          </cell>
          <cell r="R442">
            <v>0</v>
          </cell>
        </row>
        <row r="443">
          <cell r="Q443" t="str">
            <v>546.SE</v>
          </cell>
          <cell r="R443">
            <v>0</v>
          </cell>
        </row>
        <row r="444">
          <cell r="Q444" t="str">
            <v>546.CAGW</v>
          </cell>
          <cell r="R444">
            <v>25818.153311731756</v>
          </cell>
        </row>
        <row r="445">
          <cell r="Q445" t="str">
            <v>546.CAGE</v>
          </cell>
          <cell r="R445">
            <v>0</v>
          </cell>
        </row>
        <row r="446">
          <cell r="Q446" t="str">
            <v>546.CAGE1</v>
          </cell>
          <cell r="R446">
            <v>0</v>
          </cell>
        </row>
        <row r="447">
          <cell r="Q447" t="str">
            <v>546.NA1</v>
          </cell>
          <cell r="R447">
            <v>25818.153311731756</v>
          </cell>
        </row>
        <row r="448">
          <cell r="Q448" t="str">
            <v>546.NA2</v>
          </cell>
          <cell r="R448">
            <v>0</v>
          </cell>
        </row>
        <row r="449">
          <cell r="Q449" t="str">
            <v>547.NA</v>
          </cell>
          <cell r="R449">
            <v>0</v>
          </cell>
        </row>
        <row r="450">
          <cell r="Q450" t="str">
            <v>547.SE</v>
          </cell>
          <cell r="R450">
            <v>0</v>
          </cell>
        </row>
        <row r="451">
          <cell r="Q451" t="str">
            <v>547.CAEW</v>
          </cell>
          <cell r="R451">
            <v>0</v>
          </cell>
        </row>
        <row r="452">
          <cell r="Q452" t="str">
            <v>547.CAEE</v>
          </cell>
          <cell r="R452">
            <v>0</v>
          </cell>
        </row>
        <row r="453">
          <cell r="Q453" t="str">
            <v>547.SSECT</v>
          </cell>
          <cell r="R453">
            <v>0</v>
          </cell>
        </row>
        <row r="454">
          <cell r="Q454" t="str">
            <v>547.NA1</v>
          </cell>
          <cell r="R454">
            <v>0</v>
          </cell>
        </row>
        <row r="455">
          <cell r="Q455" t="str">
            <v>547.NA2</v>
          </cell>
          <cell r="R455">
            <v>0</v>
          </cell>
        </row>
        <row r="456">
          <cell r="Q456" t="str">
            <v>547NPC.NA</v>
          </cell>
          <cell r="R456">
            <v>0</v>
          </cell>
        </row>
        <row r="457">
          <cell r="Q457" t="str">
            <v>547NPC.S</v>
          </cell>
          <cell r="R457">
            <v>4149428.5777009227</v>
          </cell>
        </row>
        <row r="458">
          <cell r="Q458" t="str">
            <v>547NPC.CAEW</v>
          </cell>
          <cell r="R458">
            <v>13423408.205649056</v>
          </cell>
        </row>
        <row r="459">
          <cell r="Q459" t="str">
            <v>547NPC.CAEE</v>
          </cell>
          <cell r="R459">
            <v>0</v>
          </cell>
        </row>
        <row r="460">
          <cell r="Q460" t="str">
            <v>547NPC.SE</v>
          </cell>
          <cell r="R460">
            <v>0</v>
          </cell>
        </row>
        <row r="461">
          <cell r="Q461" t="str">
            <v>547NPC.NA1</v>
          </cell>
          <cell r="R461">
            <v>17572836.78334998</v>
          </cell>
        </row>
        <row r="462">
          <cell r="Q462" t="str">
            <v>547NPC.NA2</v>
          </cell>
          <cell r="R462">
            <v>0</v>
          </cell>
        </row>
        <row r="463">
          <cell r="Q463" t="str">
            <v>548.NA</v>
          </cell>
          <cell r="R463">
            <v>0</v>
          </cell>
        </row>
        <row r="464">
          <cell r="Q464" t="str">
            <v>548.SG</v>
          </cell>
          <cell r="R464">
            <v>6923.0061980065711</v>
          </cell>
        </row>
        <row r="465">
          <cell r="Q465" t="str">
            <v>548.CAGW</v>
          </cell>
          <cell r="R465">
            <v>2020187.5757936926</v>
          </cell>
        </row>
        <row r="466">
          <cell r="Q466" t="str">
            <v>548.CAGE</v>
          </cell>
          <cell r="R466">
            <v>0</v>
          </cell>
        </row>
        <row r="467">
          <cell r="Q467" t="str">
            <v>548.S</v>
          </cell>
          <cell r="R467">
            <v>0</v>
          </cell>
        </row>
        <row r="468">
          <cell r="Q468" t="str">
            <v>548.NA1</v>
          </cell>
          <cell r="R468">
            <v>2027110.5819916993</v>
          </cell>
        </row>
        <row r="469">
          <cell r="Q469" t="str">
            <v>548.NA2</v>
          </cell>
          <cell r="R469">
            <v>0</v>
          </cell>
        </row>
        <row r="470">
          <cell r="Q470" t="str">
            <v>549.NA</v>
          </cell>
          <cell r="R470">
            <v>0</v>
          </cell>
        </row>
        <row r="471">
          <cell r="Q471" t="str">
            <v>549.S</v>
          </cell>
          <cell r="R471">
            <v>0</v>
          </cell>
        </row>
        <row r="472">
          <cell r="Q472" t="str">
            <v>549.SG</v>
          </cell>
          <cell r="R472">
            <v>2896505.8211208005</v>
          </cell>
        </row>
        <row r="473">
          <cell r="Q473" t="str">
            <v>549.CAGW</v>
          </cell>
          <cell r="R473">
            <v>-950944.765964702</v>
          </cell>
        </row>
        <row r="474">
          <cell r="Q474" t="str">
            <v>549.CAGE</v>
          </cell>
          <cell r="R474">
            <v>0</v>
          </cell>
        </row>
        <row r="475">
          <cell r="Q475" t="str">
            <v>549.CAGE1</v>
          </cell>
          <cell r="R475">
            <v>0</v>
          </cell>
        </row>
        <row r="476">
          <cell r="Q476" t="str">
            <v>549.NA1</v>
          </cell>
          <cell r="R476">
            <v>1945561.0551560984</v>
          </cell>
        </row>
        <row r="477">
          <cell r="Q477" t="str">
            <v>549.NA2</v>
          </cell>
          <cell r="R477">
            <v>0</v>
          </cell>
        </row>
        <row r="478">
          <cell r="Q478" t="str">
            <v>549.NA3</v>
          </cell>
          <cell r="R478">
            <v>0</v>
          </cell>
        </row>
        <row r="479">
          <cell r="Q479" t="str">
            <v>549.NA4</v>
          </cell>
          <cell r="R479">
            <v>0</v>
          </cell>
        </row>
        <row r="480">
          <cell r="Q480" t="str">
            <v>549.NA5</v>
          </cell>
          <cell r="R480">
            <v>0</v>
          </cell>
        </row>
        <row r="481">
          <cell r="Q481" t="str">
            <v>550.NA</v>
          </cell>
          <cell r="R481">
            <v>0</v>
          </cell>
        </row>
        <row r="482">
          <cell r="Q482" t="str">
            <v>550.S</v>
          </cell>
          <cell r="R482">
            <v>0</v>
          </cell>
        </row>
        <row r="483">
          <cell r="Q483" t="str">
            <v>550.SG</v>
          </cell>
          <cell r="R483">
            <v>3085.2900587078143</v>
          </cell>
        </row>
        <row r="484">
          <cell r="Q484" t="str">
            <v>550.CAGW</v>
          </cell>
          <cell r="R484">
            <v>401872.71645352751</v>
          </cell>
        </row>
        <row r="485">
          <cell r="Q485" t="str">
            <v>550.CAGE</v>
          </cell>
          <cell r="R485">
            <v>0</v>
          </cell>
        </row>
        <row r="486">
          <cell r="Q486" t="str">
            <v>550.CAGE1</v>
          </cell>
          <cell r="R486">
            <v>0</v>
          </cell>
        </row>
        <row r="487">
          <cell r="Q487" t="str">
            <v>550.NA1</v>
          </cell>
          <cell r="R487">
            <v>404958.00651223533</v>
          </cell>
        </row>
        <row r="488">
          <cell r="Q488" t="str">
            <v>550.NA2</v>
          </cell>
          <cell r="R488">
            <v>0</v>
          </cell>
        </row>
        <row r="489">
          <cell r="Q489" t="str">
            <v>551.NA</v>
          </cell>
          <cell r="R489">
            <v>0</v>
          </cell>
        </row>
        <row r="490">
          <cell r="Q490" t="str">
            <v>551.SG</v>
          </cell>
          <cell r="R490">
            <v>0</v>
          </cell>
        </row>
        <row r="491">
          <cell r="Q491" t="str">
            <v>551.CAGW</v>
          </cell>
          <cell r="R491">
            <v>0</v>
          </cell>
        </row>
        <row r="492">
          <cell r="Q492" t="str">
            <v>551.CAGE</v>
          </cell>
          <cell r="R492">
            <v>0</v>
          </cell>
        </row>
        <row r="493">
          <cell r="Q493" t="str">
            <v>551.NA1</v>
          </cell>
          <cell r="R493">
            <v>0</v>
          </cell>
        </row>
        <row r="494">
          <cell r="Q494" t="str">
            <v>551.NA2</v>
          </cell>
          <cell r="R494">
            <v>0</v>
          </cell>
        </row>
        <row r="495">
          <cell r="Q495" t="str">
            <v>552.NA</v>
          </cell>
          <cell r="R495">
            <v>0</v>
          </cell>
        </row>
        <row r="496">
          <cell r="Q496" t="str">
            <v>552.SG</v>
          </cell>
          <cell r="R496">
            <v>0</v>
          </cell>
        </row>
        <row r="497">
          <cell r="Q497" t="str">
            <v>552.CAGW</v>
          </cell>
          <cell r="R497">
            <v>5594.7308903961048</v>
          </cell>
        </row>
        <row r="498">
          <cell r="Q498" t="str">
            <v>552.CAGE</v>
          </cell>
          <cell r="R498">
            <v>0</v>
          </cell>
        </row>
        <row r="499">
          <cell r="Q499" t="str">
            <v>552.CAGE1</v>
          </cell>
          <cell r="R499">
            <v>0</v>
          </cell>
        </row>
        <row r="500">
          <cell r="Q500" t="str">
            <v>552.NA1</v>
          </cell>
          <cell r="R500">
            <v>5594.7308903961048</v>
          </cell>
        </row>
        <row r="501">
          <cell r="Q501" t="str">
            <v>552.NA2</v>
          </cell>
          <cell r="R501">
            <v>0</v>
          </cell>
        </row>
        <row r="502">
          <cell r="Q502" t="str">
            <v>553.NA</v>
          </cell>
          <cell r="R502">
            <v>0</v>
          </cell>
        </row>
        <row r="503">
          <cell r="Q503" t="str">
            <v>553.SG</v>
          </cell>
          <cell r="R503">
            <v>0</v>
          </cell>
        </row>
        <row r="504">
          <cell r="Q504" t="str">
            <v>553.CAGW</v>
          </cell>
          <cell r="R504">
            <v>1082394.6606789485</v>
          </cell>
        </row>
        <row r="505">
          <cell r="Q505" t="str">
            <v>553.CAGE</v>
          </cell>
          <cell r="R505">
            <v>0</v>
          </cell>
        </row>
        <row r="506">
          <cell r="Q506" t="str">
            <v>553.CAGE1</v>
          </cell>
          <cell r="R506">
            <v>0</v>
          </cell>
        </row>
        <row r="507">
          <cell r="Q507" t="str">
            <v>553.NA1</v>
          </cell>
          <cell r="R507">
            <v>1082394.6606789485</v>
          </cell>
        </row>
        <row r="508">
          <cell r="Q508" t="str">
            <v>553.NA2</v>
          </cell>
          <cell r="R508">
            <v>0</v>
          </cell>
        </row>
        <row r="509">
          <cell r="Q509" t="str">
            <v>554.NA</v>
          </cell>
          <cell r="R509">
            <v>0</v>
          </cell>
        </row>
        <row r="510">
          <cell r="Q510" t="str">
            <v>554.SG</v>
          </cell>
          <cell r="R510">
            <v>0</v>
          </cell>
        </row>
        <row r="511">
          <cell r="Q511" t="str">
            <v>554.CAGW</v>
          </cell>
          <cell r="R511">
            <v>50217.325696208485</v>
          </cell>
        </row>
        <row r="512">
          <cell r="Q512" t="str">
            <v>554.CAGE</v>
          </cell>
          <cell r="R512">
            <v>0</v>
          </cell>
        </row>
        <row r="513">
          <cell r="Q513" t="str">
            <v>554.CAGE1</v>
          </cell>
          <cell r="R513">
            <v>0</v>
          </cell>
        </row>
        <row r="514">
          <cell r="Q514" t="str">
            <v>554.NA1</v>
          </cell>
          <cell r="R514">
            <v>50217.325696208485</v>
          </cell>
        </row>
        <row r="515">
          <cell r="Q515" t="str">
            <v>554.NA2</v>
          </cell>
          <cell r="R515">
            <v>0</v>
          </cell>
        </row>
        <row r="516">
          <cell r="Q516" t="str">
            <v>Total Other Power Generation.NA</v>
          </cell>
          <cell r="R516">
            <v>23114491.29758729</v>
          </cell>
        </row>
        <row r="517">
          <cell r="Q517" t="str">
            <v>Total Other Power Generation.NA1</v>
          </cell>
          <cell r="R517">
            <v>0</v>
          </cell>
        </row>
        <row r="518">
          <cell r="Q518" t="str">
            <v>Total Other Power Generation.NA2</v>
          </cell>
          <cell r="R518">
            <v>0</v>
          </cell>
        </row>
        <row r="519">
          <cell r="Q519" t="str">
            <v>555.NA</v>
          </cell>
          <cell r="R519">
            <v>0</v>
          </cell>
        </row>
        <row r="520">
          <cell r="Q520" t="str">
            <v>555.S</v>
          </cell>
          <cell r="R520">
            <v>1401130.1499999997</v>
          </cell>
        </row>
        <row r="521">
          <cell r="Q521" t="str">
            <v>555.CAEW</v>
          </cell>
          <cell r="R521">
            <v>0</v>
          </cell>
        </row>
        <row r="522">
          <cell r="Q522" t="str">
            <v>555.CAGW</v>
          </cell>
          <cell r="R522">
            <v>0</v>
          </cell>
        </row>
        <row r="523">
          <cell r="Q523" t="str">
            <v>555.NA1</v>
          </cell>
          <cell r="R523">
            <v>1401130.1499999997</v>
          </cell>
        </row>
        <row r="524">
          <cell r="Q524" t="str">
            <v>555NPC.NA</v>
          </cell>
          <cell r="R524">
            <v>0</v>
          </cell>
        </row>
        <row r="525">
          <cell r="Q525" t="str">
            <v>555NPC.SG</v>
          </cell>
          <cell r="R525">
            <v>0</v>
          </cell>
        </row>
        <row r="526">
          <cell r="Q526" t="str">
            <v>555NPC.SE</v>
          </cell>
          <cell r="R526">
            <v>0</v>
          </cell>
        </row>
        <row r="527">
          <cell r="Q527" t="str">
            <v>555NPC.CAGW</v>
          </cell>
          <cell r="R527">
            <v>0</v>
          </cell>
        </row>
        <row r="528">
          <cell r="Q528" t="str">
            <v>555NPC.CAGW1</v>
          </cell>
          <cell r="R528">
            <v>35111422.157744899</v>
          </cell>
        </row>
        <row r="529">
          <cell r="Q529" t="str">
            <v>555NPC.CAGE</v>
          </cell>
          <cell r="R529">
            <v>0</v>
          </cell>
        </row>
        <row r="530">
          <cell r="Q530" t="str">
            <v>555NPC.CAEW</v>
          </cell>
          <cell r="R530">
            <v>232282.93330751164</v>
          </cell>
        </row>
        <row r="531">
          <cell r="Q531" t="str">
            <v>555NPC.CAEE</v>
          </cell>
          <cell r="R531">
            <v>0</v>
          </cell>
        </row>
        <row r="532">
          <cell r="Q532" t="str">
            <v>555NPC.DGP</v>
          </cell>
          <cell r="R532">
            <v>0</v>
          </cell>
        </row>
        <row r="533">
          <cell r="Q533" t="str">
            <v>555NPC.S</v>
          </cell>
          <cell r="R533">
            <v>-11501081.914558964</v>
          </cell>
        </row>
        <row r="534">
          <cell r="Q534" t="str">
            <v>555NPC.NA1</v>
          </cell>
          <cell r="R534">
            <v>23842623.176493451</v>
          </cell>
        </row>
        <row r="535">
          <cell r="Q535" t="str">
            <v>555NPC.NA2</v>
          </cell>
          <cell r="R535">
            <v>0</v>
          </cell>
        </row>
        <row r="536">
          <cell r="Q536" t="str">
            <v>555NPC.NA3</v>
          </cell>
          <cell r="R536">
            <v>25243753.32649345</v>
          </cell>
        </row>
        <row r="537">
          <cell r="Q537" t="str">
            <v>555NPC.NA4</v>
          </cell>
          <cell r="R537">
            <v>0</v>
          </cell>
        </row>
        <row r="538">
          <cell r="Q538" t="str">
            <v>556.NA</v>
          </cell>
          <cell r="R538">
            <v>0</v>
          </cell>
        </row>
        <row r="539">
          <cell r="Q539" t="str">
            <v>556.SG</v>
          </cell>
          <cell r="R539">
            <v>71077.652186770865</v>
          </cell>
        </row>
        <row r="540">
          <cell r="Q540" t="str">
            <v>556.CAGW</v>
          </cell>
          <cell r="R540">
            <v>0</v>
          </cell>
        </row>
        <row r="541">
          <cell r="Q541" t="str">
            <v>556.CAGE</v>
          </cell>
          <cell r="R541">
            <v>0</v>
          </cell>
        </row>
        <row r="542">
          <cell r="Q542" t="str">
            <v>556.NA1</v>
          </cell>
          <cell r="R542">
            <v>0</v>
          </cell>
        </row>
        <row r="543">
          <cell r="Q543" t="str">
            <v>556.NA2</v>
          </cell>
          <cell r="R543">
            <v>71077.652186770865</v>
          </cell>
        </row>
        <row r="544">
          <cell r="Q544" t="str">
            <v>556.NA3</v>
          </cell>
          <cell r="R544">
            <v>0</v>
          </cell>
        </row>
        <row r="545">
          <cell r="Q545" t="str">
            <v>556.NA4</v>
          </cell>
          <cell r="R545">
            <v>0</v>
          </cell>
        </row>
        <row r="546">
          <cell r="Q546" t="str">
            <v>556.NA5</v>
          </cell>
          <cell r="R546">
            <v>0</v>
          </cell>
        </row>
        <row r="547">
          <cell r="Q547" t="str">
            <v>557.NA</v>
          </cell>
          <cell r="R547">
            <v>0</v>
          </cell>
        </row>
        <row r="548">
          <cell r="Q548" t="str">
            <v>557.S</v>
          </cell>
          <cell r="R548">
            <v>6754.3600000000006</v>
          </cell>
        </row>
        <row r="549">
          <cell r="Q549" t="str">
            <v>557.SG</v>
          </cell>
          <cell r="R549">
            <v>2155998.0981856342</v>
          </cell>
        </row>
        <row r="550">
          <cell r="Q550" t="str">
            <v>557.SGCT</v>
          </cell>
          <cell r="R550">
            <v>0</v>
          </cell>
        </row>
        <row r="551">
          <cell r="Q551" t="str">
            <v>557.SO</v>
          </cell>
          <cell r="R551">
            <v>5289.7725308105873</v>
          </cell>
        </row>
        <row r="552">
          <cell r="Q552" t="str">
            <v>557.CAEE</v>
          </cell>
          <cell r="R552">
            <v>0</v>
          </cell>
        </row>
        <row r="553">
          <cell r="Q553" t="str">
            <v>557.TROJP</v>
          </cell>
          <cell r="R553">
            <v>0</v>
          </cell>
        </row>
        <row r="554">
          <cell r="Q554" t="str">
            <v>557.CAGW</v>
          </cell>
          <cell r="R554">
            <v>225007.7212680045</v>
          </cell>
        </row>
        <row r="555">
          <cell r="Q555" t="str">
            <v>557.CAGE</v>
          </cell>
          <cell r="R555">
            <v>0</v>
          </cell>
        </row>
        <row r="556">
          <cell r="Q556" t="str">
            <v>557.JBG</v>
          </cell>
          <cell r="R556">
            <v>406519.36275595101</v>
          </cell>
        </row>
        <row r="557">
          <cell r="Q557" t="str">
            <v>557.CAEW</v>
          </cell>
          <cell r="R557">
            <v>0</v>
          </cell>
        </row>
        <row r="558">
          <cell r="Q558" t="str">
            <v>557.JBE</v>
          </cell>
          <cell r="R558">
            <v>2074.7017413373896</v>
          </cell>
        </row>
        <row r="559">
          <cell r="Q559" t="str">
            <v>557.NA1</v>
          </cell>
          <cell r="R559">
            <v>2801644.0164817376</v>
          </cell>
        </row>
        <row r="560">
          <cell r="Q560" t="str">
            <v>557.NA2</v>
          </cell>
          <cell r="R560">
            <v>0</v>
          </cell>
        </row>
        <row r="561">
          <cell r="Q561" t="str">
            <v>Embedded Cost Differentials.NA</v>
          </cell>
          <cell r="R561">
            <v>0</v>
          </cell>
        </row>
        <row r="562">
          <cell r="Q562" t="str">
            <v>Company Owned Hydro.DGP</v>
          </cell>
          <cell r="R562">
            <v>0</v>
          </cell>
        </row>
        <row r="563">
          <cell r="Q563" t="str">
            <v>Company Owned Hydro.SG</v>
          </cell>
          <cell r="R563">
            <v>0</v>
          </cell>
        </row>
        <row r="564">
          <cell r="Q564" t="str">
            <v>Mid-C Contract.MC</v>
          </cell>
          <cell r="R564">
            <v>0</v>
          </cell>
        </row>
        <row r="565">
          <cell r="Q565" t="str">
            <v>Mid-C Contract.SG</v>
          </cell>
          <cell r="R565">
            <v>0</v>
          </cell>
        </row>
        <row r="566">
          <cell r="Q566" t="str">
            <v>Existing QF Contracts.S</v>
          </cell>
          <cell r="R566">
            <v>0</v>
          </cell>
        </row>
        <row r="567">
          <cell r="Q567" t="str">
            <v>Existing QF Contracts.SG</v>
          </cell>
          <cell r="R567">
            <v>0</v>
          </cell>
        </row>
        <row r="568">
          <cell r="Q568" t="str">
            <v>Existing QF Contracts.NA</v>
          </cell>
          <cell r="R568">
            <v>0</v>
          </cell>
        </row>
        <row r="569">
          <cell r="Q569" t="str">
            <v>Existing QF Contracts.NA1</v>
          </cell>
          <cell r="R569">
            <v>0</v>
          </cell>
        </row>
        <row r="570">
          <cell r="Q570" t="str">
            <v>Existing QF Contracts.NA2</v>
          </cell>
          <cell r="R570">
            <v>0</v>
          </cell>
        </row>
        <row r="571">
          <cell r="Q571" t="str">
            <v>Total Other Power Supply.NA</v>
          </cell>
          <cell r="R571">
            <v>28116474.995161954</v>
          </cell>
        </row>
        <row r="572">
          <cell r="Q572" t="str">
            <v>Total Other Power Supply.NA1</v>
          </cell>
          <cell r="R572">
            <v>0</v>
          </cell>
        </row>
        <row r="573">
          <cell r="Q573" t="str">
            <v>TOTAL PRODUCTION EXPENSE.NA</v>
          </cell>
          <cell r="R573">
            <v>122196933.25547305</v>
          </cell>
        </row>
        <row r="574">
          <cell r="Q574" t="str">
            <v>TOTAL PRODUCTION EXPENSE.NA1</v>
          </cell>
          <cell r="R574">
            <v>0</v>
          </cell>
        </row>
        <row r="575">
          <cell r="Q575" t="str">
            <v>TOTAL PRODUCTION EXPENSE.NA2</v>
          </cell>
          <cell r="R575">
            <v>0</v>
          </cell>
        </row>
        <row r="576">
          <cell r="Q576" t="str">
            <v>Summary of Production Expense by Factor.NA</v>
          </cell>
          <cell r="R576">
            <v>0</v>
          </cell>
        </row>
        <row r="577">
          <cell r="Q577" t="str">
            <v>Summary of Production Expense by Factor.NA1</v>
          </cell>
          <cell r="R577">
            <v>-10658026.254526716</v>
          </cell>
        </row>
        <row r="578">
          <cell r="Q578" t="str">
            <v>Summary of Production Expense by Factor.NA2</v>
          </cell>
          <cell r="R578">
            <v>8842702.9697259106</v>
          </cell>
        </row>
        <row r="579">
          <cell r="Q579" t="str">
            <v>Summary of Production Expense by Factor.NA3</v>
          </cell>
          <cell r="R579">
            <v>326525.86286682502</v>
          </cell>
        </row>
        <row r="580">
          <cell r="Q580" t="str">
            <v>Summary of Production Expense by Factor.NA4</v>
          </cell>
          <cell r="R580">
            <v>15835965.116166603</v>
          </cell>
        </row>
        <row r="581">
          <cell r="Q581" t="str">
            <v>Summary of Production Expense by Factor.NA5</v>
          </cell>
          <cell r="R581">
            <v>0</v>
          </cell>
        </row>
        <row r="582">
          <cell r="Q582" t="str">
            <v>Summary of Production Expense by Factor.NA6</v>
          </cell>
          <cell r="R582">
            <v>663820.12694165402</v>
          </cell>
        </row>
        <row r="583">
          <cell r="Q583" t="str">
            <v>Summary of Production Expense by Factor.NA7</v>
          </cell>
          <cell r="R583">
            <v>0</v>
          </cell>
        </row>
        <row r="584">
          <cell r="Q584" t="str">
            <v>Summary of Production Expense by Factor.NA8</v>
          </cell>
          <cell r="R584">
            <v>0</v>
          </cell>
        </row>
        <row r="585">
          <cell r="Q585" t="str">
            <v>Summary of Production Expense by Factor.NA9</v>
          </cell>
          <cell r="R585">
            <v>0</v>
          </cell>
        </row>
        <row r="586">
          <cell r="Q586" t="str">
            <v>Summary of Production Expense by Factor.NA10</v>
          </cell>
          <cell r="R586">
            <v>39228169.490325242</v>
          </cell>
        </row>
        <row r="587">
          <cell r="Q587" t="str">
            <v>Summary of Production Expense by Factor.NA11</v>
          </cell>
          <cell r="R587">
            <v>0</v>
          </cell>
        </row>
        <row r="588">
          <cell r="Q588" t="str">
            <v>Summary of Production Expense by Factor.NA12</v>
          </cell>
          <cell r="R588">
            <v>67952486.171442732</v>
          </cell>
        </row>
        <row r="589">
          <cell r="Q589" t="str">
            <v>Summary of Production Expense by Factor.NA13</v>
          </cell>
          <cell r="R589">
            <v>0</v>
          </cell>
        </row>
        <row r="590">
          <cell r="Q590" t="str">
            <v>Summary of Production Expense by Factor.NA14</v>
          </cell>
          <cell r="R590">
            <v>0</v>
          </cell>
        </row>
        <row r="591">
          <cell r="Q591" t="str">
            <v>Summary of Production Expense by Factor.NA15</v>
          </cell>
          <cell r="R591">
            <v>0</v>
          </cell>
        </row>
        <row r="592">
          <cell r="Q592" t="str">
            <v>Summary of Production Expense by Factor.NA16</v>
          </cell>
          <cell r="R592">
            <v>0</v>
          </cell>
        </row>
        <row r="593">
          <cell r="Q593" t="str">
            <v>Summary of Production Expense by Factor.NA17</v>
          </cell>
          <cell r="R593">
            <v>0</v>
          </cell>
        </row>
        <row r="594">
          <cell r="Q594" t="str">
            <v>Summary of Production Expense by Factor.NA18</v>
          </cell>
          <cell r="R594">
            <v>0</v>
          </cell>
        </row>
        <row r="595">
          <cell r="Q595" t="str">
            <v>Summary of Production Expense by Factor.NA19</v>
          </cell>
          <cell r="R595">
            <v>0</v>
          </cell>
        </row>
        <row r="596">
          <cell r="Q596" t="str">
            <v>Summary of Production Expense by Factor.NA20</v>
          </cell>
          <cell r="R596">
            <v>0</v>
          </cell>
        </row>
        <row r="597">
          <cell r="Q597" t="str">
            <v>Summary of Production Expense by Factor.NA21</v>
          </cell>
          <cell r="R597">
            <v>0</v>
          </cell>
        </row>
        <row r="598">
          <cell r="Q598" t="str">
            <v>Summary of Production Expense by Factor.NA22</v>
          </cell>
          <cell r="R598">
            <v>0</v>
          </cell>
        </row>
        <row r="599">
          <cell r="Q599" t="str">
            <v>Total Production Expense by Factor.NA</v>
          </cell>
          <cell r="R599">
            <v>122191643.48294225</v>
          </cell>
        </row>
        <row r="600">
          <cell r="Q600" t="str">
            <v>560.NA</v>
          </cell>
          <cell r="R600">
            <v>0</v>
          </cell>
        </row>
        <row r="601">
          <cell r="Q601" t="str">
            <v>560.SG</v>
          </cell>
          <cell r="R601">
            <v>1340337.9539227115</v>
          </cell>
        </row>
        <row r="602">
          <cell r="Q602" t="str">
            <v>560.JBG</v>
          </cell>
          <cell r="R602">
            <v>-14992.014133516086</v>
          </cell>
        </row>
        <row r="603">
          <cell r="Q603" t="str">
            <v>560.CAGW</v>
          </cell>
          <cell r="R603">
            <v>-481918.39905870054</v>
          </cell>
        </row>
        <row r="604">
          <cell r="Q604" t="str">
            <v>560.CAGE</v>
          </cell>
          <cell r="R604">
            <v>0</v>
          </cell>
        </row>
        <row r="605">
          <cell r="Q605" t="str">
            <v>560.NA1</v>
          </cell>
          <cell r="R605">
            <v>843427.54073049501</v>
          </cell>
        </row>
        <row r="606">
          <cell r="Q606" t="str">
            <v>560.NA2</v>
          </cell>
          <cell r="R606">
            <v>0</v>
          </cell>
        </row>
        <row r="607">
          <cell r="Q607" t="str">
            <v>561.NA</v>
          </cell>
          <cell r="R607">
            <v>0</v>
          </cell>
        </row>
        <row r="608">
          <cell r="Q608" t="str">
            <v>561.SG</v>
          </cell>
          <cell r="R608">
            <v>1374986.7128886974</v>
          </cell>
        </row>
        <row r="609">
          <cell r="Q609" t="str">
            <v>561.JBG</v>
          </cell>
          <cell r="R609">
            <v>2.1577192756641545E-3</v>
          </cell>
        </row>
        <row r="610">
          <cell r="Q610" t="str">
            <v>561.CAGW</v>
          </cell>
          <cell r="R610">
            <v>99327.048776113777</v>
          </cell>
        </row>
        <row r="611">
          <cell r="Q611" t="str">
            <v>561.CAGE</v>
          </cell>
          <cell r="R611">
            <v>0</v>
          </cell>
        </row>
        <row r="612">
          <cell r="Q612" t="str">
            <v>561.NA1</v>
          </cell>
          <cell r="R612">
            <v>1474313.7638225304</v>
          </cell>
        </row>
        <row r="613">
          <cell r="Q613" t="str">
            <v>562.NA</v>
          </cell>
          <cell r="R613">
            <v>0</v>
          </cell>
        </row>
        <row r="614">
          <cell r="Q614" t="str">
            <v>562.SG</v>
          </cell>
          <cell r="R614">
            <v>1238.1873271829616</v>
          </cell>
        </row>
        <row r="615">
          <cell r="Q615" t="str">
            <v>562.JBG</v>
          </cell>
          <cell r="R615">
            <v>15040.589352067454</v>
          </cell>
        </row>
        <row r="616">
          <cell r="Q616" t="str">
            <v>562.CAGW</v>
          </cell>
          <cell r="R616">
            <v>135009.11650145752</v>
          </cell>
        </row>
        <row r="617">
          <cell r="Q617" t="str">
            <v>562.CAGE</v>
          </cell>
          <cell r="R617">
            <v>0</v>
          </cell>
        </row>
        <row r="618">
          <cell r="Q618" t="str">
            <v>562.NA1</v>
          </cell>
          <cell r="R618">
            <v>151287.89318070794</v>
          </cell>
        </row>
        <row r="619">
          <cell r="Q619" t="str">
            <v>562.NA2</v>
          </cell>
          <cell r="R619">
            <v>0</v>
          </cell>
        </row>
        <row r="620">
          <cell r="Q620" t="str">
            <v>563.NA</v>
          </cell>
          <cell r="R620">
            <v>0</v>
          </cell>
        </row>
        <row r="621">
          <cell r="Q621" t="str">
            <v>563.SG</v>
          </cell>
          <cell r="R621">
            <v>0</v>
          </cell>
        </row>
        <row r="622">
          <cell r="Q622" t="str">
            <v>563.CAGW</v>
          </cell>
          <cell r="R622">
            <v>29173.221221531807</v>
          </cell>
        </row>
        <row r="623">
          <cell r="Q623" t="str">
            <v>563.CAGE</v>
          </cell>
          <cell r="R623">
            <v>0</v>
          </cell>
        </row>
        <row r="624">
          <cell r="Q624" t="str">
            <v>563.NA1</v>
          </cell>
          <cell r="R624">
            <v>29173.221221531807</v>
          </cell>
        </row>
        <row r="625">
          <cell r="Q625" t="str">
            <v>563.NA2</v>
          </cell>
          <cell r="R625">
            <v>0</v>
          </cell>
        </row>
        <row r="626">
          <cell r="Q626" t="str">
            <v>564.NA</v>
          </cell>
          <cell r="R626">
            <v>0</v>
          </cell>
        </row>
        <row r="627">
          <cell r="Q627" t="str">
            <v>564.SG</v>
          </cell>
          <cell r="R627">
            <v>0</v>
          </cell>
        </row>
        <row r="628">
          <cell r="Q628" t="str">
            <v>564.CAGW</v>
          </cell>
          <cell r="R628">
            <v>0</v>
          </cell>
        </row>
        <row r="629">
          <cell r="Q629" t="str">
            <v>564.CAGE</v>
          </cell>
          <cell r="R629">
            <v>0</v>
          </cell>
        </row>
        <row r="630">
          <cell r="Q630" t="str">
            <v>564.NA1</v>
          </cell>
          <cell r="R630">
            <v>0</v>
          </cell>
        </row>
        <row r="631">
          <cell r="Q631" t="str">
            <v>564.NA2</v>
          </cell>
          <cell r="R631">
            <v>0</v>
          </cell>
        </row>
        <row r="632">
          <cell r="Q632" t="str">
            <v>565.NA</v>
          </cell>
          <cell r="R632">
            <v>0</v>
          </cell>
        </row>
        <row r="633">
          <cell r="Q633" t="str">
            <v>565.SG</v>
          </cell>
          <cell r="R633">
            <v>0</v>
          </cell>
        </row>
        <row r="634">
          <cell r="Q634" t="str">
            <v>565.SE</v>
          </cell>
          <cell r="R634">
            <v>0</v>
          </cell>
        </row>
        <row r="635">
          <cell r="Q635" t="str">
            <v>565.CAGW</v>
          </cell>
          <cell r="R635">
            <v>0</v>
          </cell>
        </row>
        <row r="636">
          <cell r="Q636" t="str">
            <v>565.CAGE</v>
          </cell>
          <cell r="R636">
            <v>0</v>
          </cell>
        </row>
        <row r="637">
          <cell r="Q637" t="str">
            <v>565.CAEW</v>
          </cell>
          <cell r="R637">
            <v>0</v>
          </cell>
        </row>
        <row r="638">
          <cell r="Q638" t="str">
            <v>565.CAEE</v>
          </cell>
          <cell r="R638">
            <v>0</v>
          </cell>
        </row>
        <row r="639">
          <cell r="Q639" t="str">
            <v>565.NA1</v>
          </cell>
          <cell r="R639">
            <v>0</v>
          </cell>
        </row>
        <row r="640">
          <cell r="Q640" t="str">
            <v>565.NA2</v>
          </cell>
          <cell r="R640">
            <v>0</v>
          </cell>
        </row>
        <row r="641">
          <cell r="Q641" t="str">
            <v>565NPC.NA</v>
          </cell>
          <cell r="R641">
            <v>0</v>
          </cell>
        </row>
        <row r="642">
          <cell r="Q642" t="str">
            <v>565NPC.S</v>
          </cell>
          <cell r="R642">
            <v>-15666520.784212762</v>
          </cell>
        </row>
        <row r="643">
          <cell r="Q643" t="str">
            <v>565NPC.SE</v>
          </cell>
          <cell r="R643">
            <v>0</v>
          </cell>
        </row>
        <row r="644">
          <cell r="Q644" t="str">
            <v>565NPC.CAGW</v>
          </cell>
          <cell r="R644">
            <v>26272270.42487859</v>
          </cell>
        </row>
        <row r="645">
          <cell r="Q645" t="str">
            <v>565NPC.CAGE</v>
          </cell>
          <cell r="R645">
            <v>0</v>
          </cell>
        </row>
        <row r="646">
          <cell r="Q646" t="str">
            <v>565NPC.CAEW</v>
          </cell>
          <cell r="R646">
            <v>0</v>
          </cell>
        </row>
        <row r="647">
          <cell r="Q647" t="str">
            <v>565NPC.SG</v>
          </cell>
          <cell r="R647">
            <v>0</v>
          </cell>
        </row>
        <row r="648">
          <cell r="Q648" t="str">
            <v>565NPC.NA1</v>
          </cell>
          <cell r="R648">
            <v>10605749.640665827</v>
          </cell>
        </row>
        <row r="649">
          <cell r="Q649" t="str">
            <v>565NPC.NA2</v>
          </cell>
          <cell r="R649">
            <v>0</v>
          </cell>
        </row>
        <row r="650">
          <cell r="Q650" t="str">
            <v>565NPC.NA3</v>
          </cell>
          <cell r="R650">
            <v>10605749.640665827</v>
          </cell>
        </row>
        <row r="651">
          <cell r="Q651" t="str">
            <v>565NPC.NA4</v>
          </cell>
          <cell r="R651">
            <v>0</v>
          </cell>
        </row>
        <row r="652">
          <cell r="Q652" t="str">
            <v>566.NA</v>
          </cell>
          <cell r="R652">
            <v>0</v>
          </cell>
        </row>
        <row r="653">
          <cell r="Q653" t="str">
            <v>566.SG</v>
          </cell>
          <cell r="R653">
            <v>184400.95420965279</v>
          </cell>
        </row>
        <row r="654">
          <cell r="Q654" t="str">
            <v>566.CAGW</v>
          </cell>
          <cell r="R654">
            <v>17658.938538700389</v>
          </cell>
        </row>
        <row r="655">
          <cell r="Q655" t="str">
            <v>566.CAGE</v>
          </cell>
          <cell r="R655">
            <v>0</v>
          </cell>
        </row>
        <row r="656">
          <cell r="Q656" t="str">
            <v>566.S</v>
          </cell>
          <cell r="R656">
            <v>0</v>
          </cell>
        </row>
        <row r="657">
          <cell r="Q657" t="str">
            <v>566.NA1</v>
          </cell>
          <cell r="R657">
            <v>202059.89274835319</v>
          </cell>
        </row>
        <row r="658">
          <cell r="Q658" t="str">
            <v>566.NA2</v>
          </cell>
          <cell r="R658">
            <v>0</v>
          </cell>
        </row>
        <row r="659">
          <cell r="Q659" t="str">
            <v>567.NA</v>
          </cell>
          <cell r="R659">
            <v>0</v>
          </cell>
        </row>
        <row r="660">
          <cell r="Q660" t="str">
            <v>567.SG</v>
          </cell>
          <cell r="R660">
            <v>1381.9913166206647</v>
          </cell>
        </row>
        <row r="661">
          <cell r="Q661" t="str">
            <v>567.JBG</v>
          </cell>
          <cell r="R661">
            <v>0</v>
          </cell>
        </row>
        <row r="662">
          <cell r="Q662" t="str">
            <v>567.CAGW</v>
          </cell>
          <cell r="R662">
            <v>201375.91153584787</v>
          </cell>
        </row>
        <row r="663">
          <cell r="Q663" t="str">
            <v>567.CAGE</v>
          </cell>
          <cell r="R663">
            <v>0</v>
          </cell>
        </row>
        <row r="664">
          <cell r="Q664" t="str">
            <v>567.NA1</v>
          </cell>
          <cell r="R664">
            <v>202757.90285246854</v>
          </cell>
        </row>
        <row r="665">
          <cell r="Q665" t="str">
            <v>567.NA2</v>
          </cell>
          <cell r="R665">
            <v>0</v>
          </cell>
        </row>
        <row r="666">
          <cell r="Q666" t="str">
            <v>568.NA</v>
          </cell>
          <cell r="R666">
            <v>0</v>
          </cell>
        </row>
        <row r="667">
          <cell r="Q667" t="str">
            <v>568.SG</v>
          </cell>
          <cell r="R667">
            <v>45144.169364838475</v>
          </cell>
        </row>
        <row r="668">
          <cell r="Q668" t="str">
            <v>568.CAGW</v>
          </cell>
          <cell r="R668">
            <v>48606.842867799729</v>
          </cell>
        </row>
        <row r="669">
          <cell r="Q669" t="str">
            <v>568.CAGE</v>
          </cell>
          <cell r="R669">
            <v>0</v>
          </cell>
        </row>
        <row r="670">
          <cell r="Q670" t="str">
            <v>568.NA1</v>
          </cell>
          <cell r="R670">
            <v>93751.012232638197</v>
          </cell>
        </row>
        <row r="671">
          <cell r="Q671" t="str">
            <v>568.NA2</v>
          </cell>
          <cell r="R671">
            <v>0</v>
          </cell>
        </row>
        <row r="672">
          <cell r="Q672" t="str">
            <v>569.NA</v>
          </cell>
          <cell r="R672">
            <v>0</v>
          </cell>
        </row>
        <row r="673">
          <cell r="Q673" t="str">
            <v>569.SG</v>
          </cell>
          <cell r="R673">
            <v>413969.06664473843</v>
          </cell>
        </row>
        <row r="674">
          <cell r="Q674" t="str">
            <v>569.CAGW</v>
          </cell>
          <cell r="R674">
            <v>79892.594250205453</v>
          </cell>
        </row>
        <row r="675">
          <cell r="Q675" t="str">
            <v>569.CAGE</v>
          </cell>
          <cell r="R675">
            <v>0</v>
          </cell>
        </row>
        <row r="676">
          <cell r="Q676" t="str">
            <v>569.NA1</v>
          </cell>
          <cell r="R676">
            <v>493861.66089494387</v>
          </cell>
        </row>
        <row r="677">
          <cell r="Q677" t="str">
            <v>569.NA2</v>
          </cell>
          <cell r="R677">
            <v>0</v>
          </cell>
        </row>
        <row r="678">
          <cell r="Q678" t="str">
            <v>570.NA</v>
          </cell>
          <cell r="R678">
            <v>0</v>
          </cell>
        </row>
        <row r="679">
          <cell r="Q679" t="str">
            <v>570.SG</v>
          </cell>
          <cell r="R679">
            <v>25909.281677975512</v>
          </cell>
        </row>
        <row r="680">
          <cell r="Q680" t="str">
            <v>570.JBG</v>
          </cell>
          <cell r="R680">
            <v>24819.306220079852</v>
          </cell>
        </row>
        <row r="681">
          <cell r="Q681" t="str">
            <v>570.CAGW</v>
          </cell>
          <cell r="R681">
            <v>566420.54161374446</v>
          </cell>
        </row>
        <row r="682">
          <cell r="Q682" t="str">
            <v>570.CAGE</v>
          </cell>
          <cell r="R682">
            <v>0</v>
          </cell>
        </row>
        <row r="683">
          <cell r="Q683" t="str">
            <v>570.NA1</v>
          </cell>
          <cell r="R683">
            <v>617149.12951179978</v>
          </cell>
        </row>
        <row r="684">
          <cell r="Q684" t="str">
            <v>570.NA2</v>
          </cell>
          <cell r="R684">
            <v>0</v>
          </cell>
        </row>
        <row r="685">
          <cell r="Q685" t="str">
            <v>571.NA</v>
          </cell>
          <cell r="R685">
            <v>0</v>
          </cell>
        </row>
        <row r="686">
          <cell r="Q686" t="str">
            <v>571.SG</v>
          </cell>
          <cell r="R686">
            <v>2223740.1672707992</v>
          </cell>
        </row>
        <row r="687">
          <cell r="Q687" t="str">
            <v>571.JBG</v>
          </cell>
          <cell r="R687">
            <v>-63118.323311369451</v>
          </cell>
        </row>
        <row r="688">
          <cell r="Q688" t="str">
            <v>571.CAGW</v>
          </cell>
          <cell r="R688">
            <v>-694157.62844173587</v>
          </cell>
        </row>
        <row r="689">
          <cell r="Q689" t="str">
            <v>571.CAGE</v>
          </cell>
          <cell r="R689">
            <v>0</v>
          </cell>
        </row>
        <row r="690">
          <cell r="Q690" t="str">
            <v>571.NA1</v>
          </cell>
          <cell r="R690">
            <v>1466464.2155176939</v>
          </cell>
        </row>
        <row r="691">
          <cell r="Q691" t="str">
            <v>571.NA2</v>
          </cell>
          <cell r="R691">
            <v>0</v>
          </cell>
        </row>
        <row r="692">
          <cell r="Q692" t="str">
            <v>572.NA</v>
          </cell>
          <cell r="R692">
            <v>0</v>
          </cell>
        </row>
        <row r="693">
          <cell r="Q693" t="str">
            <v>572.SG</v>
          </cell>
          <cell r="R693">
            <v>0</v>
          </cell>
        </row>
        <row r="694">
          <cell r="Q694" t="str">
            <v>572.CAGW</v>
          </cell>
          <cell r="R694">
            <v>2432.8435873462636</v>
          </cell>
        </row>
        <row r="695">
          <cell r="Q695" t="str">
            <v>572.CAGE</v>
          </cell>
          <cell r="R695">
            <v>0</v>
          </cell>
        </row>
        <row r="696">
          <cell r="Q696" t="str">
            <v>572.NA1</v>
          </cell>
          <cell r="R696">
            <v>2432.8435873462636</v>
          </cell>
        </row>
        <row r="697">
          <cell r="Q697" t="str">
            <v>572.NA2</v>
          </cell>
          <cell r="R697">
            <v>0</v>
          </cell>
        </row>
        <row r="698">
          <cell r="Q698" t="str">
            <v>573.NA</v>
          </cell>
          <cell r="R698">
            <v>0</v>
          </cell>
        </row>
        <row r="699">
          <cell r="Q699" t="str">
            <v>573.SG</v>
          </cell>
          <cell r="R699">
            <v>7647.2498273168876</v>
          </cell>
        </row>
        <row r="700">
          <cell r="Q700" t="str">
            <v>573.CAGW</v>
          </cell>
          <cell r="R700">
            <v>0</v>
          </cell>
        </row>
        <row r="701">
          <cell r="Q701" t="str">
            <v>573.CAGE</v>
          </cell>
          <cell r="R701">
            <v>0</v>
          </cell>
        </row>
        <row r="702">
          <cell r="Q702" t="str">
            <v>573.NA1</v>
          </cell>
          <cell r="R702">
            <v>7647.2498273168876</v>
          </cell>
        </row>
        <row r="703">
          <cell r="Q703" t="str">
            <v>573.NA2</v>
          </cell>
          <cell r="R703">
            <v>0</v>
          </cell>
        </row>
        <row r="704">
          <cell r="Q704" t="str">
            <v>TOTAL TRANSMISSION EXPENSE.NA</v>
          </cell>
          <cell r="R704">
            <v>16190075.966793654</v>
          </cell>
        </row>
        <row r="705">
          <cell r="Q705" t="str">
            <v>TOTAL TRANSMISSION EXPENSE.NA1</v>
          </cell>
          <cell r="R705">
            <v>0</v>
          </cell>
        </row>
        <row r="706">
          <cell r="Q706" t="str">
            <v>Summary of Transmission Expense by Factor.NA</v>
          </cell>
          <cell r="R706">
            <v>0</v>
          </cell>
        </row>
        <row r="707">
          <cell r="Q707" t="str">
            <v>Summary of Transmission Expense by Factor.NA1</v>
          </cell>
          <cell r="R707">
            <v>0</v>
          </cell>
        </row>
        <row r="708">
          <cell r="Q708" t="str">
            <v>Summary of Transmission Expense by Factor.NA2</v>
          </cell>
          <cell r="R708">
            <v>5618755.7344505331</v>
          </cell>
        </row>
        <row r="709">
          <cell r="Q709" t="str">
            <v>Summary of Transmission Expense by Factor.NA3</v>
          </cell>
          <cell r="R709">
            <v>26276091.4562709</v>
          </cell>
        </row>
        <row r="710">
          <cell r="Q710" t="str">
            <v>Summary of Transmission Expense by Factor.NA4</v>
          </cell>
          <cell r="R710">
            <v>0</v>
          </cell>
        </row>
        <row r="711">
          <cell r="Q711" t="str">
            <v>Summary of Transmission Expense by Factor.NA5</v>
          </cell>
          <cell r="R711">
            <v>-38250.439715018954</v>
          </cell>
        </row>
        <row r="712">
          <cell r="Q712" t="str">
            <v>Total Transmission Expense by Factor.NA</v>
          </cell>
          <cell r="R712">
            <v>31856596.751006413</v>
          </cell>
        </row>
        <row r="713">
          <cell r="Q713" t="str">
            <v>580.NA</v>
          </cell>
          <cell r="R713">
            <v>0</v>
          </cell>
        </row>
        <row r="714">
          <cell r="Q714" t="str">
            <v>580.S</v>
          </cell>
          <cell r="R714">
            <v>223567.38059222285</v>
          </cell>
        </row>
        <row r="715">
          <cell r="Q715" t="str">
            <v>580.SNPD</v>
          </cell>
          <cell r="R715">
            <v>594316.44284117664</v>
          </cell>
        </row>
        <row r="716">
          <cell r="Q716" t="str">
            <v>580.NA1</v>
          </cell>
          <cell r="R716">
            <v>817883.82343339943</v>
          </cell>
        </row>
        <row r="717">
          <cell r="Q717" t="str">
            <v>580.NA2</v>
          </cell>
          <cell r="R717">
            <v>0</v>
          </cell>
        </row>
        <row r="718">
          <cell r="Q718" t="str">
            <v>581.NA</v>
          </cell>
          <cell r="R718">
            <v>0</v>
          </cell>
        </row>
        <row r="719">
          <cell r="Q719" t="str">
            <v>581.S</v>
          </cell>
          <cell r="R719">
            <v>0</v>
          </cell>
        </row>
        <row r="720">
          <cell r="Q720" t="str">
            <v>581.SNPD</v>
          </cell>
          <cell r="R720">
            <v>784173.04647184501</v>
          </cell>
        </row>
        <row r="721">
          <cell r="Q721" t="str">
            <v>581.NA1</v>
          </cell>
          <cell r="R721">
            <v>784173.04647184501</v>
          </cell>
        </row>
        <row r="722">
          <cell r="Q722" t="str">
            <v>581.NA2</v>
          </cell>
          <cell r="R722">
            <v>0</v>
          </cell>
        </row>
        <row r="723">
          <cell r="Q723" t="str">
            <v>582.NA</v>
          </cell>
          <cell r="R723">
            <v>0</v>
          </cell>
        </row>
        <row r="724">
          <cell r="Q724" t="str">
            <v>582.S</v>
          </cell>
          <cell r="R724">
            <v>297259</v>
          </cell>
        </row>
        <row r="725">
          <cell r="Q725" t="str">
            <v>582.SNPD</v>
          </cell>
          <cell r="R725">
            <v>236.19448308780775</v>
          </cell>
        </row>
        <row r="726">
          <cell r="Q726" t="str">
            <v>582.NA1</v>
          </cell>
          <cell r="R726">
            <v>297495.19448308781</v>
          </cell>
        </row>
        <row r="727">
          <cell r="Q727" t="str">
            <v>582.NA2</v>
          </cell>
          <cell r="R727">
            <v>0</v>
          </cell>
        </row>
        <row r="728">
          <cell r="Q728" t="str">
            <v>583.NA</v>
          </cell>
          <cell r="R728">
            <v>0</v>
          </cell>
        </row>
        <row r="729">
          <cell r="Q729" t="str">
            <v>583.S</v>
          </cell>
          <cell r="R729">
            <v>231836.73</v>
          </cell>
        </row>
        <row r="730">
          <cell r="Q730" t="str">
            <v>583.SNPD</v>
          </cell>
          <cell r="R730">
            <v>10.498706261180571</v>
          </cell>
        </row>
        <row r="731">
          <cell r="Q731" t="str">
            <v>583.NA1</v>
          </cell>
          <cell r="R731">
            <v>231847.2287062612</v>
          </cell>
        </row>
        <row r="732">
          <cell r="Q732" t="str">
            <v>583.NA2</v>
          </cell>
          <cell r="R732">
            <v>0</v>
          </cell>
        </row>
        <row r="733">
          <cell r="Q733" t="str">
            <v>584.NA</v>
          </cell>
          <cell r="R733">
            <v>0</v>
          </cell>
        </row>
        <row r="734">
          <cell r="Q734" t="str">
            <v>584.S</v>
          </cell>
          <cell r="R734">
            <v>0</v>
          </cell>
        </row>
        <row r="735">
          <cell r="Q735" t="str">
            <v>584.SNPD</v>
          </cell>
          <cell r="R735">
            <v>0</v>
          </cell>
        </row>
        <row r="736">
          <cell r="Q736" t="str">
            <v>584.NA1</v>
          </cell>
          <cell r="R736">
            <v>0</v>
          </cell>
        </row>
        <row r="737">
          <cell r="Q737" t="str">
            <v>584.NA2</v>
          </cell>
          <cell r="R737">
            <v>0</v>
          </cell>
        </row>
        <row r="738">
          <cell r="Q738" t="str">
            <v>585.NA</v>
          </cell>
          <cell r="R738">
            <v>0</v>
          </cell>
        </row>
        <row r="739">
          <cell r="Q739" t="str">
            <v>585.S</v>
          </cell>
          <cell r="R739">
            <v>0</v>
          </cell>
        </row>
        <row r="740">
          <cell r="Q740" t="str">
            <v>585.SNPD</v>
          </cell>
          <cell r="R740">
            <v>13699.437821732972</v>
          </cell>
        </row>
        <row r="741">
          <cell r="Q741" t="str">
            <v>585.NA1</v>
          </cell>
          <cell r="R741">
            <v>13699.437821732972</v>
          </cell>
        </row>
        <row r="742">
          <cell r="Q742" t="str">
            <v>585.NA2</v>
          </cell>
          <cell r="R742">
            <v>0</v>
          </cell>
        </row>
        <row r="743">
          <cell r="Q743" t="str">
            <v>586.NA</v>
          </cell>
          <cell r="R743">
            <v>0</v>
          </cell>
        </row>
        <row r="744">
          <cell r="Q744" t="str">
            <v>586.S</v>
          </cell>
          <cell r="R744">
            <v>306484.34999999998</v>
          </cell>
        </row>
        <row r="745">
          <cell r="Q745" t="str">
            <v>586.SNPD</v>
          </cell>
          <cell r="R745">
            <v>0</v>
          </cell>
        </row>
        <row r="746">
          <cell r="Q746" t="str">
            <v>586.NA1</v>
          </cell>
          <cell r="R746">
            <v>306484.34999999998</v>
          </cell>
        </row>
        <row r="747">
          <cell r="Q747" t="str">
            <v>586.NA2</v>
          </cell>
          <cell r="R747">
            <v>0</v>
          </cell>
        </row>
        <row r="748">
          <cell r="Q748" t="str">
            <v>587.NA</v>
          </cell>
          <cell r="R748">
            <v>0</v>
          </cell>
        </row>
        <row r="749">
          <cell r="Q749" t="str">
            <v>587.S</v>
          </cell>
          <cell r="R749">
            <v>1297988.42</v>
          </cell>
        </row>
        <row r="750">
          <cell r="Q750" t="str">
            <v>587.SNPD</v>
          </cell>
          <cell r="R750">
            <v>0</v>
          </cell>
        </row>
        <row r="751">
          <cell r="Q751" t="str">
            <v>587.NA1</v>
          </cell>
          <cell r="R751">
            <v>1297988.42</v>
          </cell>
        </row>
        <row r="752">
          <cell r="Q752" t="str">
            <v>587.NA2</v>
          </cell>
          <cell r="R752">
            <v>0</v>
          </cell>
        </row>
        <row r="753">
          <cell r="Q753" t="str">
            <v>588.NA</v>
          </cell>
          <cell r="R753">
            <v>0</v>
          </cell>
        </row>
        <row r="754">
          <cell r="Q754" t="str">
            <v>588.S</v>
          </cell>
          <cell r="R754">
            <v>-16075.81</v>
          </cell>
        </row>
        <row r="755">
          <cell r="Q755" t="str">
            <v>588.SG</v>
          </cell>
          <cell r="R755">
            <v>0</v>
          </cell>
        </row>
        <row r="756">
          <cell r="Q756" t="str">
            <v>588.SNPD</v>
          </cell>
          <cell r="R756">
            <v>55877.248231571139</v>
          </cell>
        </row>
        <row r="757">
          <cell r="Q757" t="str">
            <v>588.NA1</v>
          </cell>
          <cell r="R757">
            <v>39801.438231571141</v>
          </cell>
        </row>
        <row r="758">
          <cell r="Q758" t="str">
            <v>588.NA2</v>
          </cell>
          <cell r="R758">
            <v>0</v>
          </cell>
        </row>
        <row r="759">
          <cell r="Q759" t="str">
            <v>589.NA</v>
          </cell>
          <cell r="R759">
            <v>0</v>
          </cell>
        </row>
        <row r="760">
          <cell r="Q760" t="str">
            <v>589.S</v>
          </cell>
          <cell r="R760">
            <v>145358.73000000001</v>
          </cell>
        </row>
        <row r="761">
          <cell r="Q761" t="str">
            <v>589.SNPD</v>
          </cell>
          <cell r="R761">
            <v>835.60491317553499</v>
          </cell>
        </row>
        <row r="762">
          <cell r="Q762" t="str">
            <v>589.NA1</v>
          </cell>
          <cell r="R762">
            <v>146194.33491317555</v>
          </cell>
        </row>
        <row r="763">
          <cell r="Q763" t="str">
            <v>589.NA2</v>
          </cell>
          <cell r="R763">
            <v>0</v>
          </cell>
        </row>
        <row r="764">
          <cell r="Q764" t="str">
            <v>590.NA</v>
          </cell>
          <cell r="R764">
            <v>0</v>
          </cell>
        </row>
        <row r="765">
          <cell r="Q765" t="str">
            <v>590.S</v>
          </cell>
          <cell r="R765">
            <v>209861.01</v>
          </cell>
        </row>
        <row r="766">
          <cell r="Q766" t="str">
            <v>590.SNPD</v>
          </cell>
          <cell r="R766">
            <v>160314.73577522449</v>
          </cell>
        </row>
        <row r="767">
          <cell r="Q767" t="str">
            <v>590.NA1</v>
          </cell>
          <cell r="R767">
            <v>370175.74577522452</v>
          </cell>
        </row>
        <row r="768">
          <cell r="Q768" t="str">
            <v>590.NA2</v>
          </cell>
          <cell r="R768">
            <v>0</v>
          </cell>
        </row>
        <row r="769">
          <cell r="Q769" t="str">
            <v>591.NA</v>
          </cell>
          <cell r="R769">
            <v>0</v>
          </cell>
        </row>
        <row r="770">
          <cell r="Q770" t="str">
            <v>591.S</v>
          </cell>
          <cell r="R770">
            <v>120601.2</v>
          </cell>
        </row>
        <row r="771">
          <cell r="Q771" t="str">
            <v>591.SNPD</v>
          </cell>
          <cell r="R771">
            <v>11648.509112687259</v>
          </cell>
        </row>
        <row r="772">
          <cell r="Q772" t="str">
            <v>591.NA1</v>
          </cell>
          <cell r="R772">
            <v>132249.70911268727</v>
          </cell>
        </row>
        <row r="773">
          <cell r="Q773" t="str">
            <v>591.NA2</v>
          </cell>
          <cell r="R773">
            <v>0</v>
          </cell>
        </row>
        <row r="774">
          <cell r="Q774" t="str">
            <v>592.NA</v>
          </cell>
          <cell r="R774">
            <v>0</v>
          </cell>
        </row>
        <row r="775">
          <cell r="Q775" t="str">
            <v>592.S</v>
          </cell>
          <cell r="R775">
            <v>280275.90999999997</v>
          </cell>
        </row>
        <row r="776">
          <cell r="Q776" t="str">
            <v>592.SNPD</v>
          </cell>
          <cell r="R776">
            <v>119375.41136836437</v>
          </cell>
        </row>
        <row r="777">
          <cell r="Q777" t="str">
            <v>592.NA1</v>
          </cell>
          <cell r="R777">
            <v>399651.32136836433</v>
          </cell>
        </row>
        <row r="778">
          <cell r="Q778" t="str">
            <v>593.NA</v>
          </cell>
          <cell r="R778">
            <v>0</v>
          </cell>
        </row>
        <row r="779">
          <cell r="Q779" t="str">
            <v>593.S</v>
          </cell>
          <cell r="R779">
            <v>5604443.4872582657</v>
          </cell>
        </row>
        <row r="780">
          <cell r="Q780" t="str">
            <v>593.SNPD</v>
          </cell>
          <cell r="R780">
            <v>167128.09972243255</v>
          </cell>
        </row>
        <row r="781">
          <cell r="Q781" t="str">
            <v>593.NA1</v>
          </cell>
          <cell r="R781">
            <v>5771571.5869806986</v>
          </cell>
        </row>
        <row r="782">
          <cell r="Q782" t="str">
            <v>593.NA2</v>
          </cell>
          <cell r="R782">
            <v>0</v>
          </cell>
        </row>
        <row r="783">
          <cell r="Q783" t="str">
            <v>594.NA</v>
          </cell>
          <cell r="R783">
            <v>0</v>
          </cell>
        </row>
        <row r="784">
          <cell r="Q784" t="str">
            <v>594.S</v>
          </cell>
          <cell r="R784">
            <v>1200598.98</v>
          </cell>
        </row>
        <row r="785">
          <cell r="Q785" t="str">
            <v>594.SNPD</v>
          </cell>
          <cell r="R785">
            <v>1587.0868491330323</v>
          </cell>
        </row>
        <row r="786">
          <cell r="Q786" t="str">
            <v>594.NA1</v>
          </cell>
          <cell r="R786">
            <v>1202186.066849133</v>
          </cell>
        </row>
        <row r="787">
          <cell r="Q787" t="str">
            <v>594.NA2</v>
          </cell>
          <cell r="R787">
            <v>0</v>
          </cell>
        </row>
        <row r="788">
          <cell r="Q788" t="str">
            <v>595.NA</v>
          </cell>
          <cell r="R788">
            <v>0</v>
          </cell>
        </row>
        <row r="789">
          <cell r="Q789" t="str">
            <v>595.S</v>
          </cell>
          <cell r="R789">
            <v>0</v>
          </cell>
        </row>
        <row r="790">
          <cell r="Q790" t="str">
            <v>595.SNPD</v>
          </cell>
          <cell r="R790">
            <v>61697.016684288443</v>
          </cell>
        </row>
        <row r="791">
          <cell r="Q791" t="str">
            <v>595.NA1</v>
          </cell>
          <cell r="R791">
            <v>61697.016684288443</v>
          </cell>
        </row>
        <row r="792">
          <cell r="Q792" t="str">
            <v>595.NA2</v>
          </cell>
          <cell r="R792">
            <v>0</v>
          </cell>
        </row>
        <row r="793">
          <cell r="Q793" t="str">
            <v>596.NA</v>
          </cell>
          <cell r="R793">
            <v>0</v>
          </cell>
        </row>
        <row r="794">
          <cell r="Q794" t="str">
            <v>596.S</v>
          </cell>
          <cell r="R794">
            <v>140544.63</v>
          </cell>
        </row>
        <row r="795">
          <cell r="Q795" t="str">
            <v>596.SNPD</v>
          </cell>
          <cell r="R795">
            <v>0</v>
          </cell>
        </row>
        <row r="796">
          <cell r="Q796" t="str">
            <v>596.NA1</v>
          </cell>
          <cell r="R796">
            <v>140544.63</v>
          </cell>
        </row>
        <row r="797">
          <cell r="Q797" t="str">
            <v>596.NA2</v>
          </cell>
          <cell r="R797">
            <v>0</v>
          </cell>
        </row>
        <row r="798">
          <cell r="Q798" t="str">
            <v>597.NA</v>
          </cell>
          <cell r="R798">
            <v>0</v>
          </cell>
        </row>
        <row r="799">
          <cell r="Q799" t="str">
            <v>597.S</v>
          </cell>
          <cell r="R799">
            <v>32049.69</v>
          </cell>
        </row>
        <row r="800">
          <cell r="Q800" t="str">
            <v>597.SNPD</v>
          </cell>
          <cell r="R800">
            <v>-17091.173697889088</v>
          </cell>
        </row>
        <row r="801">
          <cell r="Q801" t="str">
            <v>597.NA1</v>
          </cell>
          <cell r="R801">
            <v>14958.516302110911</v>
          </cell>
        </row>
        <row r="802">
          <cell r="Q802" t="str">
            <v>597.NA2</v>
          </cell>
          <cell r="R802">
            <v>0</v>
          </cell>
        </row>
        <row r="803">
          <cell r="Q803" t="str">
            <v>598.NA</v>
          </cell>
          <cell r="R803">
            <v>0</v>
          </cell>
        </row>
        <row r="804">
          <cell r="Q804" t="str">
            <v>598.S</v>
          </cell>
          <cell r="R804">
            <v>127521.79</v>
          </cell>
        </row>
        <row r="805">
          <cell r="Q805" t="str">
            <v>598.SNPD</v>
          </cell>
          <cell r="R805">
            <v>218816.52724496217</v>
          </cell>
        </row>
        <row r="806">
          <cell r="Q806" t="str">
            <v>598.NA1</v>
          </cell>
          <cell r="R806">
            <v>346338.31724496215</v>
          </cell>
        </row>
        <row r="807">
          <cell r="Q807" t="str">
            <v>598.NA2</v>
          </cell>
          <cell r="R807">
            <v>0</v>
          </cell>
        </row>
        <row r="808">
          <cell r="Q808" t="str">
            <v>TOTAL DISTRIBUTION EXPENSE.NA</v>
          </cell>
          <cell r="R808">
            <v>12374940.184378542</v>
          </cell>
        </row>
        <row r="809">
          <cell r="Q809" t="str">
            <v>TOTAL DISTRIBUTION EXPENSE.NA1</v>
          </cell>
          <cell r="R809">
            <v>0</v>
          </cell>
        </row>
        <row r="810">
          <cell r="Q810" t="str">
            <v>TOTAL DISTRIBUTION EXPENSE.NA2</v>
          </cell>
          <cell r="R810">
            <v>0</v>
          </cell>
        </row>
        <row r="811">
          <cell r="Q811" t="str">
            <v>Summary of Distribution Expense by Factor.NA</v>
          </cell>
          <cell r="R811">
            <v>0</v>
          </cell>
        </row>
        <row r="812">
          <cell r="Q812" t="str">
            <v>Summary of Distribution Expense by Factor.NA1</v>
          </cell>
          <cell r="R812">
            <v>10202315.497850489</v>
          </cell>
        </row>
        <row r="813">
          <cell r="Q813" t="str">
            <v>Summary of Distribution Expense by Factor.NA2</v>
          </cell>
          <cell r="R813">
            <v>2172624.6865280541</v>
          </cell>
        </row>
        <row r="814">
          <cell r="Q814" t="str">
            <v>Summary of Distribution Expense by Factor.NA3</v>
          </cell>
          <cell r="R814">
            <v>0</v>
          </cell>
        </row>
        <row r="815">
          <cell r="Q815" t="str">
            <v>Total Distribution Expense by Factor.NA</v>
          </cell>
          <cell r="R815">
            <v>12374940.184378542</v>
          </cell>
        </row>
        <row r="816">
          <cell r="Q816" t="str">
            <v>Total Distribution Expense by Factor.NA1</v>
          </cell>
          <cell r="R816">
            <v>0</v>
          </cell>
        </row>
        <row r="817">
          <cell r="Q817" t="str">
            <v>901.NA</v>
          </cell>
          <cell r="R817">
            <v>0</v>
          </cell>
        </row>
        <row r="818">
          <cell r="Q818" t="str">
            <v>901.S</v>
          </cell>
          <cell r="R818">
            <v>0</v>
          </cell>
        </row>
        <row r="819">
          <cell r="Q819" t="str">
            <v>901.CN</v>
          </cell>
          <cell r="R819">
            <v>186536.21136434379</v>
          </cell>
        </row>
        <row r="820">
          <cell r="Q820" t="str">
            <v>901.NA1</v>
          </cell>
          <cell r="R820">
            <v>186536.21136434379</v>
          </cell>
        </row>
        <row r="821">
          <cell r="Q821" t="str">
            <v>901.NA2</v>
          </cell>
          <cell r="R821">
            <v>0</v>
          </cell>
        </row>
        <row r="822">
          <cell r="Q822" t="str">
            <v>902.NA</v>
          </cell>
          <cell r="R822">
            <v>0</v>
          </cell>
        </row>
        <row r="823">
          <cell r="Q823" t="str">
            <v>902.S</v>
          </cell>
          <cell r="R823">
            <v>642455.62</v>
          </cell>
        </row>
        <row r="824">
          <cell r="Q824" t="str">
            <v>902.CN</v>
          </cell>
          <cell r="R824">
            <v>51579.183470689386</v>
          </cell>
        </row>
        <row r="825">
          <cell r="Q825" t="str">
            <v>902.NA1</v>
          </cell>
          <cell r="R825">
            <v>694034.80347068934</v>
          </cell>
        </row>
        <row r="826">
          <cell r="Q826" t="str">
            <v>902.NA2</v>
          </cell>
          <cell r="R826">
            <v>0</v>
          </cell>
        </row>
        <row r="827">
          <cell r="Q827" t="str">
            <v>903.NA</v>
          </cell>
          <cell r="R827">
            <v>0</v>
          </cell>
        </row>
        <row r="828">
          <cell r="Q828" t="str">
            <v>903.S</v>
          </cell>
          <cell r="R828">
            <v>1453294.5918840161</v>
          </cell>
        </row>
        <row r="829">
          <cell r="Q829" t="str">
            <v>903.CN</v>
          </cell>
          <cell r="R829">
            <v>3010393.3070024266</v>
          </cell>
        </row>
        <row r="830">
          <cell r="Q830" t="str">
            <v>903.NA1</v>
          </cell>
          <cell r="R830">
            <v>4463687.8988864422</v>
          </cell>
        </row>
        <row r="831">
          <cell r="Q831" t="str">
            <v>903.NA2</v>
          </cell>
          <cell r="R831">
            <v>0</v>
          </cell>
        </row>
        <row r="832">
          <cell r="Q832" t="str">
            <v>904.NA</v>
          </cell>
          <cell r="R832">
            <v>0</v>
          </cell>
        </row>
        <row r="833">
          <cell r="Q833" t="str">
            <v>904.S</v>
          </cell>
          <cell r="R833">
            <v>1732523.48007411</v>
          </cell>
        </row>
        <row r="834">
          <cell r="Q834" t="str">
            <v>904.SG</v>
          </cell>
          <cell r="R834">
            <v>0</v>
          </cell>
        </row>
        <row r="835">
          <cell r="Q835" t="str">
            <v>904.CN</v>
          </cell>
          <cell r="R835">
            <v>4461.6458954157943</v>
          </cell>
        </row>
        <row r="836">
          <cell r="Q836" t="str">
            <v>904.NA1</v>
          </cell>
          <cell r="R836">
            <v>1736985.1259695257</v>
          </cell>
        </row>
        <row r="837">
          <cell r="Q837" t="str">
            <v>904.NA2</v>
          </cell>
          <cell r="R837">
            <v>0</v>
          </cell>
        </row>
        <row r="838">
          <cell r="Q838" t="str">
            <v>905.NA</v>
          </cell>
          <cell r="R838">
            <v>0</v>
          </cell>
        </row>
        <row r="839">
          <cell r="Q839" t="str">
            <v>905.S</v>
          </cell>
          <cell r="R839">
            <v>0</v>
          </cell>
        </row>
        <row r="840">
          <cell r="Q840" t="str">
            <v>905.CAGE</v>
          </cell>
          <cell r="R840">
            <v>0</v>
          </cell>
        </row>
        <row r="841">
          <cell r="Q841" t="str">
            <v>905.CAGW</v>
          </cell>
          <cell r="R841">
            <v>20358.871091146189</v>
          </cell>
        </row>
        <row r="842">
          <cell r="Q842" t="str">
            <v>905.CN</v>
          </cell>
          <cell r="R842">
            <v>1406.897473897782</v>
          </cell>
        </row>
        <row r="843">
          <cell r="Q843" t="str">
            <v>905.NA1</v>
          </cell>
          <cell r="R843">
            <v>21765.768565043971</v>
          </cell>
        </row>
        <row r="844">
          <cell r="Q844" t="str">
            <v>905.NA2</v>
          </cell>
          <cell r="R844">
            <v>0</v>
          </cell>
        </row>
        <row r="845">
          <cell r="Q845" t="str">
            <v>TOTAL CUSTOMER ACCOUNTS EXP.NA</v>
          </cell>
          <cell r="R845">
            <v>7103009.808256045</v>
          </cell>
        </row>
        <row r="846">
          <cell r="Q846" t="str">
            <v>TOTAL CUSTOMER ACCOUNTS EXP.NA1</v>
          </cell>
          <cell r="R846">
            <v>0</v>
          </cell>
        </row>
        <row r="847">
          <cell r="Q847" t="str">
            <v>Summary of Customer Accts Exp by Factor.NA</v>
          </cell>
          <cell r="R847">
            <v>0</v>
          </cell>
        </row>
        <row r="848">
          <cell r="Q848" t="str">
            <v>Summary of Customer Accts Exp by Factor.NA1</v>
          </cell>
          <cell r="R848">
            <v>3828273.6919581261</v>
          </cell>
        </row>
        <row r="849">
          <cell r="Q849" t="str">
            <v>Summary of Customer Accts Exp by Factor.NA2</v>
          </cell>
          <cell r="R849">
            <v>3254377.2452067733</v>
          </cell>
        </row>
        <row r="850">
          <cell r="Q850" t="str">
            <v>Summary of Customer Accts Exp by Factor.NA3</v>
          </cell>
          <cell r="R850">
            <v>0</v>
          </cell>
        </row>
        <row r="851">
          <cell r="Q851" t="str">
            <v>Total Customer Accounts Expense by Factor.NA</v>
          </cell>
          <cell r="R851">
            <v>7082650.937164899</v>
          </cell>
        </row>
        <row r="852">
          <cell r="Q852" t="str">
            <v>Total Customer Accounts Expense by Factor.NA1</v>
          </cell>
          <cell r="R852">
            <v>0</v>
          </cell>
        </row>
        <row r="853">
          <cell r="Q853" t="str">
            <v>907.NA</v>
          </cell>
          <cell r="R853">
            <v>0</v>
          </cell>
        </row>
        <row r="854">
          <cell r="Q854" t="str">
            <v>907.S</v>
          </cell>
          <cell r="R854">
            <v>0</v>
          </cell>
        </row>
        <row r="855">
          <cell r="Q855" t="str">
            <v>907.CN</v>
          </cell>
          <cell r="R855">
            <v>11.432061146930687</v>
          </cell>
        </row>
        <row r="856">
          <cell r="Q856" t="str">
            <v>907.NA1</v>
          </cell>
          <cell r="R856">
            <v>11.432061146930687</v>
          </cell>
        </row>
        <row r="857">
          <cell r="Q857" t="str">
            <v>907.NA2</v>
          </cell>
          <cell r="R857">
            <v>0</v>
          </cell>
        </row>
        <row r="858">
          <cell r="Q858" t="str">
            <v>908.NA</v>
          </cell>
          <cell r="R858">
            <v>0</v>
          </cell>
        </row>
        <row r="859">
          <cell r="Q859" t="str">
            <v>908.S</v>
          </cell>
          <cell r="R859">
            <v>373876.47333678178</v>
          </cell>
        </row>
        <row r="860">
          <cell r="Q860" t="str">
            <v>908.CN</v>
          </cell>
          <cell r="R860">
            <v>200316.03755950989</v>
          </cell>
        </row>
        <row r="861">
          <cell r="Q861" t="str">
            <v>908.NA1</v>
          </cell>
          <cell r="R861">
            <v>574192.5108962917</v>
          </cell>
        </row>
        <row r="862">
          <cell r="Q862" t="str">
            <v>908.NA2</v>
          </cell>
          <cell r="R862">
            <v>0</v>
          </cell>
        </row>
        <row r="863">
          <cell r="Q863" t="str">
            <v>909.NA</v>
          </cell>
          <cell r="R863">
            <v>0</v>
          </cell>
        </row>
        <row r="864">
          <cell r="Q864" t="str">
            <v>909.S</v>
          </cell>
          <cell r="R864">
            <v>290258.88</v>
          </cell>
        </row>
        <row r="865">
          <cell r="Q865" t="str">
            <v>909.CN</v>
          </cell>
          <cell r="R865">
            <v>166103.25469345669</v>
          </cell>
        </row>
        <row r="866">
          <cell r="Q866" t="str">
            <v>909.CAGW</v>
          </cell>
          <cell r="R866">
            <v>6009.0863537789955</v>
          </cell>
        </row>
        <row r="867">
          <cell r="Q867" t="str">
            <v>909.CAGE</v>
          </cell>
          <cell r="R867">
            <v>0</v>
          </cell>
        </row>
        <row r="868">
          <cell r="Q868" t="str">
            <v>909.NA1</v>
          </cell>
          <cell r="R868">
            <v>462371.22104723571</v>
          </cell>
        </row>
        <row r="869">
          <cell r="Q869" t="str">
            <v>909.NA2</v>
          </cell>
          <cell r="R869">
            <v>0</v>
          </cell>
        </row>
        <row r="870">
          <cell r="Q870" t="str">
            <v>910.NA</v>
          </cell>
          <cell r="R870">
            <v>0</v>
          </cell>
        </row>
        <row r="871">
          <cell r="Q871" t="str">
            <v>910.S</v>
          </cell>
          <cell r="R871">
            <v>0</v>
          </cell>
        </row>
        <row r="872">
          <cell r="Q872" t="str">
            <v>910.CN</v>
          </cell>
          <cell r="R872">
            <v>1138.6954659693408</v>
          </cell>
        </row>
        <row r="873">
          <cell r="Q873" t="str">
            <v>910.NA1</v>
          </cell>
          <cell r="R873">
            <v>0</v>
          </cell>
        </row>
        <row r="874">
          <cell r="Q874" t="str">
            <v>910.NA2</v>
          </cell>
          <cell r="R874">
            <v>1138.6954659693408</v>
          </cell>
        </row>
        <row r="875">
          <cell r="Q875" t="str">
            <v>910.NA3</v>
          </cell>
          <cell r="R875">
            <v>0</v>
          </cell>
        </row>
        <row r="876">
          <cell r="Q876" t="str">
            <v>TOTAL CUSTOMER SERVICE EXPENSE.NA</v>
          </cell>
          <cell r="R876">
            <v>1037713.8594706437</v>
          </cell>
        </row>
        <row r="877">
          <cell r="Q877" t="str">
            <v>TOTAL CUSTOMER SERVICE EXPENSE.NA1</v>
          </cell>
          <cell r="R877">
            <v>0</v>
          </cell>
        </row>
        <row r="878">
          <cell r="Q878" t="str">
            <v>TOTAL CUSTOMER SERVICE EXPENSE.NA2</v>
          </cell>
          <cell r="R878">
            <v>0</v>
          </cell>
        </row>
        <row r="879">
          <cell r="Q879" t="str">
            <v>Summary of Customer Service Exp by Factor.NA</v>
          </cell>
          <cell r="R879">
            <v>0</v>
          </cell>
        </row>
        <row r="880">
          <cell r="Q880" t="str">
            <v>Summary of Customer Service Exp by Factor.NA1</v>
          </cell>
          <cell r="R880">
            <v>664135.35333678173</v>
          </cell>
        </row>
        <row r="881">
          <cell r="Q881" t="str">
            <v>Summary of Customer Service Exp by Factor.NA2</v>
          </cell>
          <cell r="R881">
            <v>367569.41978008283</v>
          </cell>
        </row>
        <row r="882">
          <cell r="Q882" t="str">
            <v>Summary of Customer Service Exp by Factor.NA3</v>
          </cell>
          <cell r="R882">
            <v>6009.0863537789955</v>
          </cell>
        </row>
        <row r="883">
          <cell r="Q883" t="str">
            <v>Summary of Customer Service Exp by Factor.NA4</v>
          </cell>
          <cell r="R883">
            <v>0</v>
          </cell>
        </row>
        <row r="884">
          <cell r="Q884" t="str">
            <v>Summary of Customer Service Exp by Factor.NA5</v>
          </cell>
          <cell r="R884">
            <v>0</v>
          </cell>
        </row>
        <row r="885">
          <cell r="Q885" t="str">
            <v>Total Customer Service Expense by Factor.NA</v>
          </cell>
          <cell r="R885">
            <v>1037713.8594706435</v>
          </cell>
        </row>
        <row r="886">
          <cell r="Q886" t="str">
            <v>Total Customer Service Expense by Factor.NA1</v>
          </cell>
          <cell r="R886">
            <v>0</v>
          </cell>
        </row>
        <row r="887">
          <cell r="Q887" t="str">
            <v>Total Customer Service Expense by Factor.NA2</v>
          </cell>
          <cell r="R887">
            <v>0</v>
          </cell>
        </row>
        <row r="888">
          <cell r="Q888" t="str">
            <v>911.NA</v>
          </cell>
          <cell r="R888">
            <v>0</v>
          </cell>
        </row>
        <row r="889">
          <cell r="Q889" t="str">
            <v>911.S</v>
          </cell>
          <cell r="R889">
            <v>0</v>
          </cell>
        </row>
        <row r="890">
          <cell r="Q890" t="str">
            <v>911.CN</v>
          </cell>
          <cell r="R890">
            <v>0</v>
          </cell>
        </row>
        <row r="891">
          <cell r="Q891" t="str">
            <v>911.NA1</v>
          </cell>
          <cell r="R891">
            <v>0</v>
          </cell>
        </row>
        <row r="892">
          <cell r="Q892" t="str">
            <v>911.NA2</v>
          </cell>
          <cell r="R892">
            <v>0</v>
          </cell>
        </row>
        <row r="893">
          <cell r="Q893" t="str">
            <v>912.NA</v>
          </cell>
          <cell r="R893">
            <v>0</v>
          </cell>
        </row>
        <row r="894">
          <cell r="Q894" t="str">
            <v>912.S</v>
          </cell>
          <cell r="R894">
            <v>0</v>
          </cell>
        </row>
        <row r="895">
          <cell r="Q895" t="str">
            <v>912.CN</v>
          </cell>
          <cell r="R895">
            <v>0</v>
          </cell>
        </row>
        <row r="896">
          <cell r="Q896" t="str">
            <v>912.NA1</v>
          </cell>
          <cell r="R896">
            <v>0</v>
          </cell>
        </row>
        <row r="897">
          <cell r="Q897" t="str">
            <v>912.NA2</v>
          </cell>
          <cell r="R897">
            <v>0</v>
          </cell>
        </row>
        <row r="898">
          <cell r="Q898" t="str">
            <v>913.NA</v>
          </cell>
          <cell r="R898">
            <v>0</v>
          </cell>
        </row>
        <row r="899">
          <cell r="Q899" t="str">
            <v>913.S</v>
          </cell>
          <cell r="R899">
            <v>0</v>
          </cell>
        </row>
        <row r="900">
          <cell r="Q900" t="str">
            <v>913.CN</v>
          </cell>
          <cell r="R900">
            <v>0</v>
          </cell>
        </row>
        <row r="901">
          <cell r="Q901" t="str">
            <v>913.NA1</v>
          </cell>
          <cell r="R901">
            <v>0</v>
          </cell>
        </row>
        <row r="902">
          <cell r="Q902" t="str">
            <v>913.NA2</v>
          </cell>
          <cell r="R902">
            <v>0</v>
          </cell>
        </row>
        <row r="903">
          <cell r="Q903" t="str">
            <v>916.NA</v>
          </cell>
          <cell r="R903">
            <v>0</v>
          </cell>
        </row>
        <row r="904">
          <cell r="Q904" t="str">
            <v>916.S</v>
          </cell>
          <cell r="R904">
            <v>0</v>
          </cell>
        </row>
        <row r="905">
          <cell r="Q905" t="str">
            <v>916.CN</v>
          </cell>
          <cell r="R905">
            <v>0</v>
          </cell>
        </row>
        <row r="906">
          <cell r="Q906" t="str">
            <v>916.NA1</v>
          </cell>
          <cell r="R906">
            <v>0</v>
          </cell>
        </row>
        <row r="907">
          <cell r="Q907" t="str">
            <v>916.NA2</v>
          </cell>
          <cell r="R907">
            <v>0</v>
          </cell>
        </row>
        <row r="908">
          <cell r="Q908" t="str">
            <v>TOTAL SALES EXPENSE.NA</v>
          </cell>
          <cell r="R908">
            <v>0</v>
          </cell>
        </row>
        <row r="909">
          <cell r="Q909" t="str">
            <v>TOTAL SALES EXPENSE.NA1</v>
          </cell>
          <cell r="R909">
            <v>0</v>
          </cell>
        </row>
        <row r="910">
          <cell r="Q910" t="str">
            <v>TOTAL SALES EXPENSE.NA2</v>
          </cell>
          <cell r="R910">
            <v>0</v>
          </cell>
        </row>
        <row r="911">
          <cell r="Q911" t="str">
            <v>Total Sales Expense by Factor.NA</v>
          </cell>
          <cell r="R911">
            <v>0</v>
          </cell>
        </row>
        <row r="912">
          <cell r="Q912" t="str">
            <v>Total Sales Expense by Factor.NA1</v>
          </cell>
          <cell r="R912">
            <v>0</v>
          </cell>
        </row>
        <row r="913">
          <cell r="Q913" t="str">
            <v>Total Sales Expense by Factor.NA2</v>
          </cell>
          <cell r="R913">
            <v>0</v>
          </cell>
        </row>
        <row r="914">
          <cell r="Q914" t="str">
            <v>Total Sales Expense by Factor.NA3</v>
          </cell>
          <cell r="R914">
            <v>0</v>
          </cell>
        </row>
        <row r="915">
          <cell r="Q915" t="str">
            <v>Total Sales Expense by Factor.NA4</v>
          </cell>
          <cell r="R915">
            <v>0</v>
          </cell>
        </row>
        <row r="916">
          <cell r="Q916" t="str">
            <v>Total Customer Service Exp Including Sales.NA</v>
          </cell>
          <cell r="R916">
            <v>1037713.8594706435</v>
          </cell>
        </row>
        <row r="917">
          <cell r="Q917" t="str">
            <v>920.NA</v>
          </cell>
          <cell r="R917">
            <v>0</v>
          </cell>
        </row>
        <row r="918">
          <cell r="Q918" t="str">
            <v>920.S</v>
          </cell>
          <cell r="R918">
            <v>-711372.96782782651</v>
          </cell>
        </row>
        <row r="919">
          <cell r="Q919" t="str">
            <v>920.CN</v>
          </cell>
          <cell r="R919">
            <v>0</v>
          </cell>
        </row>
        <row r="920">
          <cell r="Q920" t="str">
            <v>920.SO</v>
          </cell>
          <cell r="R920">
            <v>5120216.086258308</v>
          </cell>
        </row>
        <row r="921">
          <cell r="Q921" t="str">
            <v>920.NA1</v>
          </cell>
          <cell r="R921">
            <v>4408843.1184304813</v>
          </cell>
        </row>
        <row r="922">
          <cell r="Q922" t="str">
            <v>920.NA2</v>
          </cell>
          <cell r="R922">
            <v>0</v>
          </cell>
        </row>
        <row r="923">
          <cell r="Q923" t="str">
            <v>921.NA</v>
          </cell>
          <cell r="R923">
            <v>0</v>
          </cell>
        </row>
        <row r="924">
          <cell r="Q924" t="str">
            <v>921.S</v>
          </cell>
          <cell r="R924">
            <v>10038.209999999999</v>
          </cell>
        </row>
        <row r="925">
          <cell r="Q925" t="str">
            <v>921.CN</v>
          </cell>
          <cell r="R925">
            <v>6193.4311441797709</v>
          </cell>
        </row>
        <row r="926">
          <cell r="Q926" t="str">
            <v>921.SO</v>
          </cell>
          <cell r="R926">
            <v>711941.7149087959</v>
          </cell>
        </row>
        <row r="927">
          <cell r="Q927" t="str">
            <v>921.NA1</v>
          </cell>
          <cell r="R927">
            <v>728173.35605297564</v>
          </cell>
        </row>
        <row r="928">
          <cell r="Q928" t="str">
            <v>921.NA2</v>
          </cell>
          <cell r="R928">
            <v>0</v>
          </cell>
        </row>
        <row r="929">
          <cell r="Q929" t="str">
            <v>922.NA</v>
          </cell>
          <cell r="R929">
            <v>0</v>
          </cell>
        </row>
        <row r="930">
          <cell r="Q930" t="str">
            <v>922.S</v>
          </cell>
          <cell r="R930">
            <v>0</v>
          </cell>
        </row>
        <row r="931">
          <cell r="Q931" t="str">
            <v>922.CN</v>
          </cell>
          <cell r="R931">
            <v>0</v>
          </cell>
        </row>
        <row r="932">
          <cell r="Q932" t="str">
            <v>922.SO</v>
          </cell>
          <cell r="R932">
            <v>-2212940.2228372735</v>
          </cell>
        </row>
        <row r="933">
          <cell r="Q933" t="str">
            <v>922.NA1</v>
          </cell>
          <cell r="R933">
            <v>-2212940.2228372735</v>
          </cell>
        </row>
        <row r="934">
          <cell r="Q934" t="str">
            <v>922.NA2</v>
          </cell>
          <cell r="R934">
            <v>0</v>
          </cell>
        </row>
        <row r="935">
          <cell r="Q935" t="str">
            <v>923.NA</v>
          </cell>
          <cell r="R935">
            <v>0</v>
          </cell>
        </row>
        <row r="936">
          <cell r="Q936" t="str">
            <v>923.S</v>
          </cell>
          <cell r="R936">
            <v>11617.77</v>
          </cell>
        </row>
        <row r="937">
          <cell r="Q937" t="str">
            <v>923.JBG</v>
          </cell>
          <cell r="R937">
            <v>2614.2646240441059</v>
          </cell>
        </row>
        <row r="938">
          <cell r="Q938" t="str">
            <v>923.CAGE</v>
          </cell>
          <cell r="R938">
            <v>0</v>
          </cell>
        </row>
        <row r="939">
          <cell r="Q939" t="str">
            <v>923.CAGW</v>
          </cell>
          <cell r="R939">
            <v>64394.99995555231</v>
          </cell>
        </row>
        <row r="940">
          <cell r="Q940" t="str">
            <v>923.SO</v>
          </cell>
          <cell r="R940">
            <v>1379817.0627600451</v>
          </cell>
        </row>
        <row r="941">
          <cell r="Q941" t="str">
            <v>923.SG</v>
          </cell>
          <cell r="R941">
            <v>10013.740211972934</v>
          </cell>
        </row>
        <row r="942">
          <cell r="Q942" t="str">
            <v>923.NA1</v>
          </cell>
          <cell r="R942">
            <v>1468457.8375516145</v>
          </cell>
        </row>
        <row r="943">
          <cell r="Q943" t="str">
            <v>923.NA2</v>
          </cell>
          <cell r="R943">
            <v>0</v>
          </cell>
        </row>
        <row r="944">
          <cell r="Q944" t="str">
            <v>924.NA</v>
          </cell>
          <cell r="R944">
            <v>0</v>
          </cell>
        </row>
        <row r="945">
          <cell r="Q945" t="str">
            <v>924.S</v>
          </cell>
          <cell r="R945">
            <v>0</v>
          </cell>
        </row>
        <row r="946">
          <cell r="Q946" t="str">
            <v>924.CAGW</v>
          </cell>
          <cell r="R946">
            <v>0</v>
          </cell>
        </row>
        <row r="947">
          <cell r="Q947" t="str">
            <v>924.SO</v>
          </cell>
          <cell r="R947">
            <v>188629.22901337341</v>
          </cell>
        </row>
        <row r="948">
          <cell r="Q948" t="str">
            <v>924.NA1</v>
          </cell>
          <cell r="R948">
            <v>188629.22901337341</v>
          </cell>
        </row>
        <row r="949">
          <cell r="Q949" t="str">
            <v>924.NA2</v>
          </cell>
          <cell r="R949">
            <v>0</v>
          </cell>
        </row>
        <row r="950">
          <cell r="Q950" t="str">
            <v>925.NA</v>
          </cell>
          <cell r="R950">
            <v>0</v>
          </cell>
        </row>
        <row r="951">
          <cell r="Q951" t="str">
            <v>925.S</v>
          </cell>
          <cell r="R951">
            <v>387.5</v>
          </cell>
        </row>
        <row r="952">
          <cell r="Q952" t="str">
            <v>925.SO</v>
          </cell>
          <cell r="R952">
            <v>1291372.9153491019</v>
          </cell>
        </row>
        <row r="953">
          <cell r="Q953" t="str">
            <v>925.NA1</v>
          </cell>
          <cell r="R953">
            <v>1291760.4153491019</v>
          </cell>
        </row>
        <row r="954">
          <cell r="Q954" t="str">
            <v>925.NA2</v>
          </cell>
          <cell r="R954">
            <v>0</v>
          </cell>
        </row>
        <row r="955">
          <cell r="Q955" t="str">
            <v>926.NA</v>
          </cell>
          <cell r="R955">
            <v>0</v>
          </cell>
        </row>
        <row r="956">
          <cell r="Q956" t="str">
            <v>926.S</v>
          </cell>
          <cell r="R956">
            <v>73058.87999999999</v>
          </cell>
        </row>
        <row r="957">
          <cell r="Q957" t="str">
            <v>926.CN</v>
          </cell>
          <cell r="R957">
            <v>0</v>
          </cell>
        </row>
        <row r="958">
          <cell r="Q958" t="str">
            <v>926.SO</v>
          </cell>
          <cell r="R958">
            <v>7985600.1505050147</v>
          </cell>
        </row>
        <row r="959">
          <cell r="Q959" t="str">
            <v>926.NA1</v>
          </cell>
          <cell r="R959">
            <v>8058659.0305050146</v>
          </cell>
        </row>
        <row r="960">
          <cell r="Q960" t="str">
            <v>926.NA2</v>
          </cell>
          <cell r="R960">
            <v>0</v>
          </cell>
        </row>
        <row r="961">
          <cell r="Q961" t="str">
            <v>927.NA</v>
          </cell>
          <cell r="R961">
            <v>0</v>
          </cell>
        </row>
        <row r="962">
          <cell r="Q962" t="str">
            <v>927.S</v>
          </cell>
          <cell r="R962">
            <v>0</v>
          </cell>
        </row>
        <row r="963">
          <cell r="Q963" t="str">
            <v>927.SO</v>
          </cell>
          <cell r="R963">
            <v>0</v>
          </cell>
        </row>
        <row r="964">
          <cell r="Q964" t="str">
            <v>927.NA1</v>
          </cell>
          <cell r="R964">
            <v>0</v>
          </cell>
        </row>
        <row r="965">
          <cell r="Q965" t="str">
            <v>927.NA2</v>
          </cell>
          <cell r="R965">
            <v>0</v>
          </cell>
        </row>
        <row r="966">
          <cell r="Q966" t="str">
            <v>928.NA</v>
          </cell>
          <cell r="R966">
            <v>0</v>
          </cell>
        </row>
        <row r="967">
          <cell r="Q967" t="str">
            <v>928.S</v>
          </cell>
          <cell r="R967">
            <v>663204.18999999994</v>
          </cell>
        </row>
        <row r="968">
          <cell r="Q968" t="str">
            <v>928.CAEE</v>
          </cell>
          <cell r="R968">
            <v>0</v>
          </cell>
        </row>
        <row r="969">
          <cell r="Q969" t="str">
            <v>928.SO</v>
          </cell>
          <cell r="R969">
            <v>89287.341836302134</v>
          </cell>
        </row>
        <row r="970">
          <cell r="Q970" t="str">
            <v>928.CAGW</v>
          </cell>
          <cell r="R970">
            <v>563699.67055344768</v>
          </cell>
        </row>
        <row r="971">
          <cell r="Q971" t="str">
            <v>928.CAGE</v>
          </cell>
          <cell r="R971">
            <v>0</v>
          </cell>
        </row>
        <row r="972">
          <cell r="Q972" t="str">
            <v>928.SG</v>
          </cell>
          <cell r="R972">
            <v>188799.00576898872</v>
          </cell>
        </row>
        <row r="973">
          <cell r="Q973" t="str">
            <v>928.NA1</v>
          </cell>
          <cell r="R973">
            <v>1504990.2081587384</v>
          </cell>
        </row>
        <row r="974">
          <cell r="Q974" t="str">
            <v>928.NA2</v>
          </cell>
          <cell r="R974">
            <v>0</v>
          </cell>
        </row>
        <row r="975">
          <cell r="Q975" t="str">
            <v>929.NA</v>
          </cell>
          <cell r="R975">
            <v>0</v>
          </cell>
        </row>
        <row r="976">
          <cell r="Q976" t="str">
            <v>929.S</v>
          </cell>
          <cell r="R976">
            <v>0</v>
          </cell>
        </row>
        <row r="977">
          <cell r="Q977" t="str">
            <v>929.CAGW</v>
          </cell>
          <cell r="R977">
            <v>0</v>
          </cell>
        </row>
        <row r="978">
          <cell r="Q978" t="str">
            <v>929.CN</v>
          </cell>
          <cell r="R978">
            <v>0</v>
          </cell>
        </row>
        <row r="979">
          <cell r="Q979" t="str">
            <v>929.JBG</v>
          </cell>
          <cell r="R979">
            <v>0</v>
          </cell>
        </row>
        <row r="980">
          <cell r="Q980" t="str">
            <v>929.SG</v>
          </cell>
          <cell r="R980">
            <v>0</v>
          </cell>
        </row>
        <row r="981">
          <cell r="Q981" t="str">
            <v>929.SNPD</v>
          </cell>
          <cell r="R981">
            <v>0</v>
          </cell>
        </row>
        <row r="982">
          <cell r="Q982" t="str">
            <v>929.SO</v>
          </cell>
          <cell r="R982">
            <v>-8722010.6267794874</v>
          </cell>
        </row>
        <row r="983">
          <cell r="Q983" t="str">
            <v>929.NA1</v>
          </cell>
          <cell r="R983">
            <v>-8722010.6267794874</v>
          </cell>
        </row>
        <row r="984">
          <cell r="Q984" t="str">
            <v>929.NA2</v>
          </cell>
          <cell r="R984">
            <v>0</v>
          </cell>
        </row>
        <row r="985">
          <cell r="Q985" t="str">
            <v>930.NA</v>
          </cell>
          <cell r="R985">
            <v>0</v>
          </cell>
        </row>
        <row r="986">
          <cell r="Q986" t="str">
            <v>930.S</v>
          </cell>
          <cell r="R986">
            <v>46294.94</v>
          </cell>
        </row>
        <row r="987">
          <cell r="Q987" t="str">
            <v>930.CN</v>
          </cell>
          <cell r="R987">
            <v>0</v>
          </cell>
        </row>
        <row r="988">
          <cell r="Q988" t="str">
            <v>930.CAGW</v>
          </cell>
          <cell r="R988">
            <v>0</v>
          </cell>
        </row>
        <row r="989">
          <cell r="Q989" t="str">
            <v>930.SO</v>
          </cell>
          <cell r="R989">
            <v>118789.42476409205</v>
          </cell>
        </row>
        <row r="990">
          <cell r="Q990" t="str">
            <v>930.NA1</v>
          </cell>
          <cell r="R990">
            <v>165084.36476409205</v>
          </cell>
        </row>
        <row r="991">
          <cell r="Q991" t="str">
            <v>930.NA2</v>
          </cell>
          <cell r="R991">
            <v>0</v>
          </cell>
        </row>
        <row r="992">
          <cell r="Q992" t="str">
            <v>931.NA</v>
          </cell>
          <cell r="R992">
            <v>0</v>
          </cell>
        </row>
        <row r="993">
          <cell r="Q993" t="str">
            <v>931.S</v>
          </cell>
          <cell r="R993">
            <v>41302.43</v>
          </cell>
        </row>
        <row r="994">
          <cell r="Q994" t="str">
            <v>931.SO</v>
          </cell>
          <cell r="R994">
            <v>143299.94212868126</v>
          </cell>
        </row>
        <row r="995">
          <cell r="Q995" t="str">
            <v>931.NA1</v>
          </cell>
          <cell r="R995">
            <v>184602.37212868125</v>
          </cell>
        </row>
        <row r="996">
          <cell r="Q996" t="str">
            <v>931.NA2</v>
          </cell>
          <cell r="R996">
            <v>0</v>
          </cell>
        </row>
        <row r="997">
          <cell r="Q997" t="str">
            <v>935.NA</v>
          </cell>
          <cell r="R997">
            <v>0</v>
          </cell>
        </row>
        <row r="998">
          <cell r="Q998" t="str">
            <v>935.S</v>
          </cell>
          <cell r="R998">
            <v>46372.6020010586</v>
          </cell>
        </row>
        <row r="999">
          <cell r="Q999" t="str">
            <v>935.CN</v>
          </cell>
          <cell r="R999">
            <v>4103.2692978159439</v>
          </cell>
        </row>
        <row r="1000">
          <cell r="Q1000" t="str">
            <v>935.SO</v>
          </cell>
          <cell r="R1000">
            <v>1563366.733183004</v>
          </cell>
        </row>
        <row r="1001">
          <cell r="Q1001" t="str">
            <v>935.NA1</v>
          </cell>
          <cell r="R1001">
            <v>1613842.6044818785</v>
          </cell>
        </row>
        <row r="1002">
          <cell r="Q1002" t="str">
            <v>935.NA2</v>
          </cell>
          <cell r="R1002">
            <v>0</v>
          </cell>
        </row>
        <row r="1003">
          <cell r="Q1003" t="str">
            <v>TOTAL ADMINISTRATIVE &amp; GEN EXP.NA</v>
          </cell>
          <cell r="R1003">
            <v>8678091.6868191902</v>
          </cell>
        </row>
        <row r="1004">
          <cell r="Q1004" t="str">
            <v>TOTAL ADMINISTRATIVE &amp; GEN EXP.NA1</v>
          </cell>
          <cell r="R1004">
            <v>0</v>
          </cell>
        </row>
        <row r="1005">
          <cell r="Q1005" t="str">
            <v>Summary of A&amp;G Expense by Factor.NA</v>
          </cell>
          <cell r="R1005">
            <v>0</v>
          </cell>
        </row>
        <row r="1006">
          <cell r="Q1006" t="str">
            <v>Summary of A&amp;G Expense by Factor.NA1</v>
          </cell>
          <cell r="R1006">
            <v>180903.55417323203</v>
          </cell>
        </row>
        <row r="1007">
          <cell r="Q1007" t="str">
            <v>Summary of A&amp;G Expense by Factor.NA2</v>
          </cell>
          <cell r="R1007">
            <v>7657369.7510899566</v>
          </cell>
        </row>
        <row r="1008">
          <cell r="Q1008" t="str">
            <v>Summary of A&amp;G Expense by Factor.NA3</v>
          </cell>
          <cell r="R1008">
            <v>198812.74598096166</v>
          </cell>
        </row>
        <row r="1009">
          <cell r="Q1009" t="str">
            <v>Summary of A&amp;G Expense by Factor.NA4</v>
          </cell>
          <cell r="R1009">
            <v>10296.700441995716</v>
          </cell>
        </row>
        <row r="1010">
          <cell r="Q1010" t="str">
            <v>Summary of A&amp;G Expense by Factor.NA5</v>
          </cell>
          <cell r="R1010">
            <v>0</v>
          </cell>
        </row>
        <row r="1011">
          <cell r="Q1011" t="str">
            <v>Summary of A&amp;G Expense by Factor.NA6</v>
          </cell>
          <cell r="R1011">
            <v>628094.67050899996</v>
          </cell>
        </row>
        <row r="1012">
          <cell r="Q1012" t="str">
            <v>Summary of A&amp;G Expense by Factor.NA7</v>
          </cell>
          <cell r="R1012">
            <v>0</v>
          </cell>
        </row>
        <row r="1013">
          <cell r="Q1013" t="str">
            <v>Total A&amp;G Expense by Factor.NA</v>
          </cell>
          <cell r="R1013">
            <v>8675477.4221951459</v>
          </cell>
        </row>
        <row r="1014">
          <cell r="Q1014" t="str">
            <v>Total A&amp;G Expense by Factor.NA1</v>
          </cell>
          <cell r="R1014">
            <v>0</v>
          </cell>
        </row>
        <row r="1015">
          <cell r="Q1015" t="str">
            <v>TOTAL O&amp;M EXPENSE.NA</v>
          </cell>
          <cell r="R1015">
            <v>167580764.76119113</v>
          </cell>
        </row>
        <row r="1016">
          <cell r="Q1016" t="str">
            <v>403SP.NA</v>
          </cell>
          <cell r="R1016">
            <v>0</v>
          </cell>
        </row>
        <row r="1017">
          <cell r="Q1017" t="str">
            <v>403SP.DGP</v>
          </cell>
          <cell r="R1017">
            <v>0</v>
          </cell>
        </row>
        <row r="1018">
          <cell r="Q1018" t="str">
            <v>403SP.DGU</v>
          </cell>
          <cell r="R1018">
            <v>0</v>
          </cell>
        </row>
        <row r="1019">
          <cell r="Q1019" t="str">
            <v>403SP.SG</v>
          </cell>
          <cell r="R1019">
            <v>1090086.8112811148</v>
          </cell>
        </row>
        <row r="1020">
          <cell r="Q1020" t="str">
            <v>403SP.CAGW</v>
          </cell>
          <cell r="R1020">
            <v>4445335.3284545122</v>
          </cell>
        </row>
        <row r="1021">
          <cell r="Q1021" t="str">
            <v>403SP.CAGE</v>
          </cell>
          <cell r="R1021">
            <v>0</v>
          </cell>
        </row>
        <row r="1022">
          <cell r="Q1022" t="str">
            <v>403SP.JBG</v>
          </cell>
          <cell r="R1022">
            <v>62819910.850094698</v>
          </cell>
        </row>
        <row r="1023">
          <cell r="Q1023" t="str">
            <v>403SP.S</v>
          </cell>
          <cell r="R1023">
            <v>0</v>
          </cell>
        </row>
        <row r="1024">
          <cell r="Q1024" t="str">
            <v>403SP.NA1</v>
          </cell>
          <cell r="R1024">
            <v>68355332.98983033</v>
          </cell>
        </row>
        <row r="1025">
          <cell r="Q1025" t="str">
            <v>403SP.NA2</v>
          </cell>
          <cell r="R1025">
            <v>0</v>
          </cell>
        </row>
        <row r="1026">
          <cell r="Q1026" t="str">
            <v>403NP.NA</v>
          </cell>
          <cell r="R1026">
            <v>0</v>
          </cell>
        </row>
        <row r="1027">
          <cell r="Q1027" t="str">
            <v>403NP.DGP</v>
          </cell>
          <cell r="R1027">
            <v>0</v>
          </cell>
        </row>
        <row r="1028">
          <cell r="Q1028" t="str">
            <v>403NP.NA1</v>
          </cell>
          <cell r="R1028">
            <v>0</v>
          </cell>
        </row>
        <row r="1029">
          <cell r="Q1029" t="str">
            <v>403NP.NA2</v>
          </cell>
          <cell r="R1029">
            <v>0</v>
          </cell>
        </row>
        <row r="1030">
          <cell r="Q1030" t="str">
            <v>403HP.NA</v>
          </cell>
          <cell r="R1030">
            <v>0</v>
          </cell>
        </row>
        <row r="1031">
          <cell r="Q1031" t="str">
            <v>403HP.DGP</v>
          </cell>
          <cell r="R1031">
            <v>0</v>
          </cell>
        </row>
        <row r="1032">
          <cell r="Q1032" t="str">
            <v>403HP.DGU</v>
          </cell>
          <cell r="R1032">
            <v>0</v>
          </cell>
        </row>
        <row r="1033">
          <cell r="Q1033" t="str">
            <v>403HP.CAGW</v>
          </cell>
          <cell r="R1033">
            <v>448335.44230797607</v>
          </cell>
        </row>
        <row r="1034">
          <cell r="Q1034" t="str">
            <v>403HP.CAGE</v>
          </cell>
          <cell r="R1034">
            <v>0</v>
          </cell>
        </row>
        <row r="1035">
          <cell r="Q1035" t="str">
            <v>403HP.SG</v>
          </cell>
          <cell r="R1035">
            <v>2385778.0526578436</v>
          </cell>
        </row>
        <row r="1036">
          <cell r="Q1036" t="str">
            <v>403HP.CAGE1</v>
          </cell>
          <cell r="R1036">
            <v>0</v>
          </cell>
        </row>
        <row r="1037">
          <cell r="Q1037" t="str">
            <v>403HP.NA1</v>
          </cell>
          <cell r="R1037">
            <v>2834113.4949658196</v>
          </cell>
        </row>
        <row r="1038">
          <cell r="Q1038" t="str">
            <v>403HP.NA2</v>
          </cell>
          <cell r="R1038">
            <v>0</v>
          </cell>
        </row>
        <row r="1039">
          <cell r="Q1039" t="str">
            <v>403OP.NA</v>
          </cell>
          <cell r="R1039">
            <v>0</v>
          </cell>
        </row>
        <row r="1040">
          <cell r="Q1040" t="str">
            <v>403OP.DGU</v>
          </cell>
          <cell r="R1040">
            <v>0</v>
          </cell>
        </row>
        <row r="1041">
          <cell r="Q1041" t="str">
            <v>403OP.SG</v>
          </cell>
          <cell r="R1041">
            <v>13312684.231893834</v>
          </cell>
        </row>
        <row r="1042">
          <cell r="Q1042" t="str">
            <v>403OP.CAGW</v>
          </cell>
          <cell r="R1042">
            <v>4220823.0662045786</v>
          </cell>
        </row>
        <row r="1043">
          <cell r="Q1043" t="str">
            <v>403OP.CAGE</v>
          </cell>
          <cell r="R1043">
            <v>0</v>
          </cell>
        </row>
        <row r="1044">
          <cell r="Q1044" t="str">
            <v>403OP.CAGE1</v>
          </cell>
          <cell r="R1044">
            <v>0</v>
          </cell>
        </row>
        <row r="1045">
          <cell r="Q1045" t="str">
            <v>403OP.CAGE2</v>
          </cell>
          <cell r="R1045">
            <v>0</v>
          </cell>
        </row>
        <row r="1046">
          <cell r="Q1046" t="str">
            <v>403OP.NA1</v>
          </cell>
          <cell r="R1046">
            <v>17533507.298098411</v>
          </cell>
        </row>
        <row r="1047">
          <cell r="Q1047" t="str">
            <v>403OP.NA2</v>
          </cell>
          <cell r="R1047">
            <v>0</v>
          </cell>
        </row>
        <row r="1048">
          <cell r="Q1048" t="str">
            <v>403TP.NA</v>
          </cell>
          <cell r="R1048">
            <v>0</v>
          </cell>
        </row>
        <row r="1049">
          <cell r="Q1049" t="str">
            <v>403TP.DGP</v>
          </cell>
          <cell r="R1049">
            <v>0</v>
          </cell>
        </row>
        <row r="1050">
          <cell r="Q1050" t="str">
            <v>403TP.DGU</v>
          </cell>
          <cell r="R1050">
            <v>0</v>
          </cell>
        </row>
        <row r="1051">
          <cell r="Q1051" t="str">
            <v>403TP.CAGW</v>
          </cell>
          <cell r="R1051">
            <v>94743.192104611546</v>
          </cell>
        </row>
        <row r="1052">
          <cell r="Q1052" t="str">
            <v>403TP.CAGE</v>
          </cell>
          <cell r="R1052">
            <v>0</v>
          </cell>
        </row>
        <row r="1053">
          <cell r="Q1053" t="str">
            <v>403TP.JBG</v>
          </cell>
          <cell r="R1053">
            <v>815981.19002637104</v>
          </cell>
        </row>
        <row r="1054">
          <cell r="Q1054" t="str">
            <v>403TP.SG</v>
          </cell>
          <cell r="R1054">
            <v>11066964.164807312</v>
          </cell>
        </row>
        <row r="1055">
          <cell r="Q1055" t="str">
            <v>403TP.NA1</v>
          </cell>
          <cell r="R1055">
            <v>11977688.546938295</v>
          </cell>
        </row>
        <row r="1056">
          <cell r="Q1056" t="str">
            <v>403TP.NA2</v>
          </cell>
          <cell r="R1056">
            <v>0</v>
          </cell>
        </row>
        <row r="1057">
          <cell r="Q1057" t="str">
            <v>403TP.NA3</v>
          </cell>
          <cell r="R1057">
            <v>0</v>
          </cell>
        </row>
        <row r="1058">
          <cell r="Q1058" t="str">
            <v>403TP.NA4</v>
          </cell>
          <cell r="R1058">
            <v>0</v>
          </cell>
        </row>
        <row r="1059">
          <cell r="Q1059" t="str">
            <v>403.NA</v>
          </cell>
          <cell r="R1059">
            <v>0</v>
          </cell>
        </row>
        <row r="1060">
          <cell r="Q1060" t="str">
            <v>360.S</v>
          </cell>
          <cell r="R1060">
            <v>1381.5064272959444</v>
          </cell>
        </row>
        <row r="1061">
          <cell r="Q1061" t="str">
            <v>361.S</v>
          </cell>
          <cell r="R1061">
            <v>76494.772119496251</v>
          </cell>
        </row>
        <row r="1062">
          <cell r="Q1062" t="str">
            <v>362.S</v>
          </cell>
          <cell r="R1062">
            <v>1686292.405655317</v>
          </cell>
        </row>
        <row r="1063">
          <cell r="Q1063" t="str">
            <v>363.S</v>
          </cell>
          <cell r="R1063">
            <v>0</v>
          </cell>
        </row>
        <row r="1064">
          <cell r="Q1064" t="str">
            <v>364.S</v>
          </cell>
          <cell r="R1064">
            <v>3857981.4426840572</v>
          </cell>
        </row>
        <row r="1065">
          <cell r="Q1065" t="str">
            <v>365.S</v>
          </cell>
          <cell r="R1065">
            <v>1773583.5291496383</v>
          </cell>
        </row>
        <row r="1066">
          <cell r="Q1066" t="str">
            <v>366.S</v>
          </cell>
          <cell r="R1066">
            <v>493919.89480047929</v>
          </cell>
        </row>
        <row r="1067">
          <cell r="Q1067" t="str">
            <v>367.S</v>
          </cell>
          <cell r="R1067">
            <v>650995.11945848539</v>
          </cell>
        </row>
        <row r="1068">
          <cell r="Q1068" t="str">
            <v>368.S</v>
          </cell>
          <cell r="R1068">
            <v>2890422.3862622199</v>
          </cell>
        </row>
        <row r="1069">
          <cell r="Q1069" t="str">
            <v>369.S</v>
          </cell>
          <cell r="R1069">
            <v>1560444.0640836393</v>
          </cell>
        </row>
        <row r="1070">
          <cell r="Q1070" t="str">
            <v>370.S</v>
          </cell>
          <cell r="R1070">
            <v>492335.50963888469</v>
          </cell>
        </row>
        <row r="1071">
          <cell r="Q1071" t="str">
            <v>371.S</v>
          </cell>
          <cell r="R1071">
            <v>16888.27491198029</v>
          </cell>
        </row>
        <row r="1072">
          <cell r="Q1072" t="str">
            <v>372.S</v>
          </cell>
          <cell r="R1072">
            <v>0</v>
          </cell>
        </row>
        <row r="1073">
          <cell r="Q1073" t="str">
            <v>373.S</v>
          </cell>
          <cell r="R1073">
            <v>119374.86383537661</v>
          </cell>
        </row>
        <row r="1074">
          <cell r="Q1074" t="str">
            <v>373.NA</v>
          </cell>
          <cell r="R1074">
            <v>13620113.76902687</v>
          </cell>
        </row>
        <row r="1075">
          <cell r="Q1075" t="str">
            <v>373.NA1</v>
          </cell>
          <cell r="R1075">
            <v>0</v>
          </cell>
        </row>
        <row r="1076">
          <cell r="Q1076" t="str">
            <v>403GP.NA</v>
          </cell>
          <cell r="R1076">
            <v>0</v>
          </cell>
        </row>
        <row r="1077">
          <cell r="Q1077" t="str">
            <v>403GP.S</v>
          </cell>
          <cell r="R1077">
            <v>950711.49909151648</v>
          </cell>
        </row>
        <row r="1078">
          <cell r="Q1078" t="str">
            <v>403GP.DGP</v>
          </cell>
          <cell r="R1078">
            <v>0</v>
          </cell>
        </row>
        <row r="1079">
          <cell r="Q1079" t="str">
            <v>403GP.DGU</v>
          </cell>
          <cell r="R1079">
            <v>0</v>
          </cell>
        </row>
        <row r="1080">
          <cell r="Q1080" t="str">
            <v>403GP.SE</v>
          </cell>
          <cell r="R1080">
            <v>0</v>
          </cell>
        </row>
        <row r="1081">
          <cell r="Q1081" t="str">
            <v>403GP.CN</v>
          </cell>
          <cell r="R1081">
            <v>58680.065445934095</v>
          </cell>
        </row>
        <row r="1082">
          <cell r="Q1082" t="str">
            <v>403GP.SG</v>
          </cell>
          <cell r="R1082">
            <v>465.80667581591388</v>
          </cell>
        </row>
        <row r="1083">
          <cell r="Q1083" t="str">
            <v>403GP.SO</v>
          </cell>
          <cell r="R1083">
            <v>1197013.9756094757</v>
          </cell>
        </row>
        <row r="1084">
          <cell r="Q1084" t="str">
            <v>403GP.CAGW</v>
          </cell>
          <cell r="R1084">
            <v>688224.33278071217</v>
          </cell>
        </row>
        <row r="1085">
          <cell r="Q1085" t="str">
            <v>403GP.CAGE</v>
          </cell>
          <cell r="R1085">
            <v>0</v>
          </cell>
        </row>
        <row r="1086">
          <cell r="Q1086" t="str">
            <v>403GP.JBG</v>
          </cell>
          <cell r="R1086">
            <v>93755.589993043803</v>
          </cell>
        </row>
        <row r="1087">
          <cell r="Q1087" t="str">
            <v>403GP.JBE</v>
          </cell>
          <cell r="R1087">
            <v>0</v>
          </cell>
        </row>
        <row r="1088">
          <cell r="Q1088" t="str">
            <v>403GP.CAEE</v>
          </cell>
          <cell r="R1088">
            <v>0</v>
          </cell>
        </row>
        <row r="1089">
          <cell r="Q1089" t="str">
            <v>403GP.CAGE1</v>
          </cell>
          <cell r="R1089">
            <v>0</v>
          </cell>
        </row>
        <row r="1090">
          <cell r="Q1090" t="str">
            <v>403GP.CAGE2</v>
          </cell>
          <cell r="R1090">
            <v>0</v>
          </cell>
        </row>
        <row r="1091">
          <cell r="Q1091" t="str">
            <v>403GP.NA1</v>
          </cell>
          <cell r="R1091">
            <v>2988851.2695964985</v>
          </cell>
        </row>
        <row r="1092">
          <cell r="Q1092" t="str">
            <v>403GP.NA2</v>
          </cell>
          <cell r="R1092">
            <v>0</v>
          </cell>
        </row>
        <row r="1093">
          <cell r="Q1093" t="str">
            <v>403GV0.NA</v>
          </cell>
          <cell r="R1093">
            <v>0</v>
          </cell>
        </row>
        <row r="1094">
          <cell r="Q1094" t="str">
            <v>403GV0.SG</v>
          </cell>
          <cell r="R1094">
            <v>0</v>
          </cell>
        </row>
        <row r="1095">
          <cell r="Q1095" t="str">
            <v>403GV0.NA1</v>
          </cell>
          <cell r="R1095">
            <v>0</v>
          </cell>
        </row>
        <row r="1096">
          <cell r="Q1096" t="str">
            <v>403GV0.NA2</v>
          </cell>
          <cell r="R1096">
            <v>0</v>
          </cell>
        </row>
        <row r="1097">
          <cell r="Q1097" t="str">
            <v>403MP.NA</v>
          </cell>
          <cell r="R1097">
            <v>0</v>
          </cell>
        </row>
        <row r="1098">
          <cell r="Q1098" t="str">
            <v>403MP.CAEE</v>
          </cell>
          <cell r="R1098">
            <v>0</v>
          </cell>
        </row>
        <row r="1099">
          <cell r="Q1099" t="str">
            <v>403MP.NA1</v>
          </cell>
          <cell r="R1099">
            <v>0</v>
          </cell>
        </row>
        <row r="1100">
          <cell r="Q1100" t="str">
            <v>403MP.NA2</v>
          </cell>
          <cell r="R1100">
            <v>0</v>
          </cell>
        </row>
        <row r="1101">
          <cell r="Q1101" t="str">
            <v>403EP.NA</v>
          </cell>
          <cell r="R1101">
            <v>0</v>
          </cell>
        </row>
        <row r="1102">
          <cell r="Q1102" t="str">
            <v>403EP.DGP</v>
          </cell>
          <cell r="R1102">
            <v>0</v>
          </cell>
        </row>
        <row r="1103">
          <cell r="Q1103" t="str">
            <v>403EP.SG</v>
          </cell>
          <cell r="R1103">
            <v>0</v>
          </cell>
        </row>
        <row r="1104">
          <cell r="Q1104" t="str">
            <v>403EP.NA1</v>
          </cell>
          <cell r="R1104">
            <v>0</v>
          </cell>
        </row>
        <row r="1105">
          <cell r="Q1105" t="str">
            <v>4031.NA</v>
          </cell>
          <cell r="R1105">
            <v>0</v>
          </cell>
        </row>
        <row r="1106">
          <cell r="Q1106" t="str">
            <v>4031.S</v>
          </cell>
          <cell r="R1106">
            <v>0</v>
          </cell>
        </row>
        <row r="1107">
          <cell r="Q1107" t="str">
            <v>4031.NA1</v>
          </cell>
          <cell r="R1107">
            <v>0</v>
          </cell>
        </row>
        <row r="1108">
          <cell r="Q1108" t="str">
            <v>4031.NA2</v>
          </cell>
          <cell r="R1108">
            <v>0</v>
          </cell>
        </row>
        <row r="1109">
          <cell r="Q1109" t="str">
            <v>4031.NA3</v>
          </cell>
          <cell r="R1109">
            <v>0</v>
          </cell>
        </row>
        <row r="1110">
          <cell r="Q1110" t="str">
            <v>TOTAL DEPRECIATION EXPENSE.NA</v>
          </cell>
          <cell r="R1110">
            <v>117309607.36845624</v>
          </cell>
        </row>
        <row r="1111">
          <cell r="Q1111" t="str">
            <v>TOTAL DEPRECIATION EXPENSE.NA1</v>
          </cell>
          <cell r="R1111">
            <v>0</v>
          </cell>
        </row>
        <row r="1112">
          <cell r="Q1112" t="str">
            <v>Summary of Depreciation Expense by Factor.NA</v>
          </cell>
          <cell r="R1112">
            <v>0</v>
          </cell>
        </row>
        <row r="1113">
          <cell r="Q1113" t="str">
            <v>Summary of Depreciation Expense by Factor.NA1</v>
          </cell>
          <cell r="R1113">
            <v>14570825.268118387</v>
          </cell>
        </row>
        <row r="1114">
          <cell r="Q1114" t="str">
            <v>Summary of Depreciation Expense by Factor.NA2</v>
          </cell>
          <cell r="R1114">
            <v>0</v>
          </cell>
        </row>
        <row r="1115">
          <cell r="Q1115" t="str">
            <v>Summary of Depreciation Expense by Factor.NA3</v>
          </cell>
          <cell r="R1115">
            <v>0</v>
          </cell>
        </row>
        <row r="1116">
          <cell r="Q1116" t="str">
            <v>Summary of Depreciation Expense by Factor.NA4</v>
          </cell>
          <cell r="R1116">
            <v>27855979.067315917</v>
          </cell>
        </row>
        <row r="1117">
          <cell r="Q1117" t="str">
            <v>Summary of Depreciation Expense by Factor.NA5</v>
          </cell>
          <cell r="R1117">
            <v>1197013.9756094757</v>
          </cell>
        </row>
        <row r="1118">
          <cell r="Q1118" t="str">
            <v>Summary of Depreciation Expense by Factor.NA6</v>
          </cell>
          <cell r="R1118">
            <v>58680.065445934095</v>
          </cell>
        </row>
        <row r="1119">
          <cell r="Q1119" t="str">
            <v>Summary of Depreciation Expense by Factor.NA7</v>
          </cell>
          <cell r="R1119">
            <v>0</v>
          </cell>
        </row>
        <row r="1120">
          <cell r="Q1120" t="str">
            <v>Summary of Depreciation Expense by Factor.NA8</v>
          </cell>
          <cell r="R1120">
            <v>9897461.3618523888</v>
          </cell>
        </row>
        <row r="1121">
          <cell r="Q1121" t="str">
            <v>Summary of Depreciation Expense by Factor.NA9</v>
          </cell>
          <cell r="R1121">
            <v>0</v>
          </cell>
        </row>
        <row r="1122">
          <cell r="Q1122" t="str">
            <v>Summary of Depreciation Expense by Factor.NA10</v>
          </cell>
          <cell r="R1122">
            <v>0</v>
          </cell>
        </row>
        <row r="1123">
          <cell r="Q1123" t="str">
            <v>Summary of Depreciation Expense by Factor.NA11</v>
          </cell>
          <cell r="R1123">
            <v>0</v>
          </cell>
        </row>
        <row r="1124">
          <cell r="Q1124" t="str">
            <v>Summary of Depreciation Expense by Factor.NA12</v>
          </cell>
          <cell r="R1124">
            <v>63729647.630114116</v>
          </cell>
        </row>
        <row r="1125">
          <cell r="Q1125" t="str">
            <v>Summary of Depreciation Expense by Factor.NA13</v>
          </cell>
          <cell r="R1125">
            <v>0</v>
          </cell>
        </row>
        <row r="1126">
          <cell r="Q1126" t="str">
            <v>Total Depreciation Expense By Factor.NA</v>
          </cell>
          <cell r="R1126">
            <v>117309607.36845621</v>
          </cell>
        </row>
        <row r="1127">
          <cell r="Q1127" t="str">
            <v>Total Depreciation Expense By Factor.NA1</v>
          </cell>
          <cell r="R1127">
            <v>0</v>
          </cell>
        </row>
        <row r="1128">
          <cell r="Q1128" t="str">
            <v>404GP.NA</v>
          </cell>
          <cell r="R1128">
            <v>0</v>
          </cell>
        </row>
        <row r="1129">
          <cell r="Q1129" t="str">
            <v>404GP.S</v>
          </cell>
          <cell r="R1129">
            <v>80507.37</v>
          </cell>
        </row>
        <row r="1130">
          <cell r="Q1130" t="str">
            <v>404GP.SG</v>
          </cell>
          <cell r="R1130">
            <v>0</v>
          </cell>
        </row>
        <row r="1131">
          <cell r="Q1131" t="str">
            <v>404GP.SO</v>
          </cell>
          <cell r="R1131">
            <v>19056.66559239518</v>
          </cell>
        </row>
        <row r="1132">
          <cell r="Q1132" t="str">
            <v>404GP.DGU</v>
          </cell>
          <cell r="R1132">
            <v>0</v>
          </cell>
        </row>
        <row r="1133">
          <cell r="Q1133" t="str">
            <v>404GP.CN</v>
          </cell>
          <cell r="R1133">
            <v>0</v>
          </cell>
        </row>
        <row r="1134">
          <cell r="Q1134" t="str">
            <v>404GP.CAGW</v>
          </cell>
          <cell r="R1134">
            <v>0</v>
          </cell>
        </row>
        <row r="1135">
          <cell r="Q1135" t="str">
            <v>404GP.CAGE</v>
          </cell>
          <cell r="R1135">
            <v>0</v>
          </cell>
        </row>
        <row r="1136">
          <cell r="Q1136" t="str">
            <v>404GP.DGP</v>
          </cell>
          <cell r="R1136">
            <v>0</v>
          </cell>
        </row>
        <row r="1137">
          <cell r="Q1137" t="str">
            <v>404GP.NA1</v>
          </cell>
          <cell r="R1137">
            <v>99564.035592395172</v>
          </cell>
        </row>
        <row r="1138">
          <cell r="Q1138" t="str">
            <v>404GP.NA2</v>
          </cell>
          <cell r="R1138">
            <v>0</v>
          </cell>
        </row>
        <row r="1139">
          <cell r="Q1139" t="str">
            <v>404SP.NA</v>
          </cell>
          <cell r="R1139">
            <v>0</v>
          </cell>
        </row>
        <row r="1140">
          <cell r="Q1140" t="str">
            <v>404SP.SG</v>
          </cell>
          <cell r="R1140">
            <v>0</v>
          </cell>
        </row>
        <row r="1141">
          <cell r="Q1141" t="str">
            <v>404SP.DGP</v>
          </cell>
          <cell r="R1141">
            <v>0</v>
          </cell>
        </row>
        <row r="1142">
          <cell r="Q1142" t="str">
            <v>404SP.NA1</v>
          </cell>
          <cell r="R1142">
            <v>0</v>
          </cell>
        </row>
        <row r="1143">
          <cell r="Q1143" t="str">
            <v>404SP.NA2</v>
          </cell>
          <cell r="R1143">
            <v>0</v>
          </cell>
        </row>
        <row r="1144">
          <cell r="Q1144" t="str">
            <v>404IP.NA</v>
          </cell>
          <cell r="R1144">
            <v>0</v>
          </cell>
        </row>
        <row r="1145">
          <cell r="Q1145" t="str">
            <v>404IP.S</v>
          </cell>
          <cell r="R1145">
            <v>3023.6</v>
          </cell>
        </row>
        <row r="1146">
          <cell r="Q1146" t="str">
            <v>404IP.SE</v>
          </cell>
          <cell r="R1146">
            <v>0</v>
          </cell>
        </row>
        <row r="1147">
          <cell r="Q1147" t="str">
            <v>404IP.SG</v>
          </cell>
          <cell r="R1147">
            <v>281345.59732807055</v>
          </cell>
        </row>
        <row r="1148">
          <cell r="Q1148" t="str">
            <v>404IP.SO</v>
          </cell>
          <cell r="R1148">
            <v>1101916.1325233215</v>
          </cell>
        </row>
        <row r="1149">
          <cell r="Q1149" t="str">
            <v>404IP.CN</v>
          </cell>
          <cell r="R1149">
            <v>738703.81661462539</v>
          </cell>
        </row>
        <row r="1150">
          <cell r="Q1150" t="str">
            <v>404IP.CAGW</v>
          </cell>
          <cell r="R1150">
            <v>0</v>
          </cell>
        </row>
        <row r="1151">
          <cell r="Q1151" t="str">
            <v>404IP.CAGE</v>
          </cell>
          <cell r="R1151">
            <v>0</v>
          </cell>
        </row>
        <row r="1152">
          <cell r="Q1152" t="str">
            <v>404IP.DGP</v>
          </cell>
          <cell r="R1152">
            <v>0</v>
          </cell>
        </row>
        <row r="1153">
          <cell r="Q1153" t="str">
            <v>404IP.CAGE1</v>
          </cell>
          <cell r="R1153">
            <v>0</v>
          </cell>
        </row>
        <row r="1154">
          <cell r="Q1154" t="str">
            <v>404IP.CAGE2</v>
          </cell>
          <cell r="R1154">
            <v>0</v>
          </cell>
        </row>
        <row r="1155">
          <cell r="Q1155" t="str">
            <v>404IP.CAGW1</v>
          </cell>
          <cell r="R1155">
            <v>519890.58234160021</v>
          </cell>
        </row>
        <row r="1156">
          <cell r="Q1156" t="str">
            <v>404IP.CAGE3</v>
          </cell>
          <cell r="R1156">
            <v>0</v>
          </cell>
        </row>
        <row r="1157">
          <cell r="Q1157" t="str">
            <v>404IP.JBG</v>
          </cell>
          <cell r="R1157">
            <v>48447.124171576521</v>
          </cell>
        </row>
        <row r="1158">
          <cell r="Q1158" t="str">
            <v>404IP.CAEW</v>
          </cell>
          <cell r="R1158">
            <v>0</v>
          </cell>
        </row>
        <row r="1159">
          <cell r="Q1159" t="str">
            <v>404IP.CAEE</v>
          </cell>
          <cell r="R1159">
            <v>0</v>
          </cell>
        </row>
        <row r="1160">
          <cell r="Q1160" t="str">
            <v>404IP.DGU</v>
          </cell>
          <cell r="R1160">
            <v>0</v>
          </cell>
        </row>
        <row r="1161">
          <cell r="Q1161" t="str">
            <v>404IP.NA1</v>
          </cell>
          <cell r="R1161">
            <v>2693326.8529791944</v>
          </cell>
        </row>
        <row r="1162">
          <cell r="Q1162" t="str">
            <v>404IP.NA2</v>
          </cell>
          <cell r="R1162">
            <v>0</v>
          </cell>
        </row>
        <row r="1163">
          <cell r="Q1163" t="str">
            <v>404MP.NA</v>
          </cell>
          <cell r="R1163">
            <v>0</v>
          </cell>
        </row>
        <row r="1164">
          <cell r="Q1164" t="str">
            <v>404MP.SE</v>
          </cell>
          <cell r="R1164">
            <v>0</v>
          </cell>
        </row>
        <row r="1165">
          <cell r="Q1165" t="str">
            <v>404MP.NA1</v>
          </cell>
          <cell r="R1165">
            <v>0</v>
          </cell>
        </row>
        <row r="1166">
          <cell r="Q1166" t="str">
            <v>404MP.NA2</v>
          </cell>
          <cell r="R1166">
            <v>0</v>
          </cell>
        </row>
        <row r="1167">
          <cell r="Q1167" t="str">
            <v>404OP.NA</v>
          </cell>
          <cell r="R1167">
            <v>0</v>
          </cell>
        </row>
        <row r="1168">
          <cell r="Q1168" t="str">
            <v>404OP.CAGE</v>
          </cell>
          <cell r="R1168">
            <v>0</v>
          </cell>
        </row>
        <row r="1169">
          <cell r="Q1169" t="str">
            <v>404OP.CAGE1</v>
          </cell>
          <cell r="R1169">
            <v>0</v>
          </cell>
        </row>
        <row r="1170">
          <cell r="Q1170" t="str">
            <v>404OP.NA1</v>
          </cell>
          <cell r="R1170">
            <v>0</v>
          </cell>
        </row>
        <row r="1171">
          <cell r="Q1171" t="str">
            <v>404OP.NA2</v>
          </cell>
          <cell r="R1171">
            <v>0</v>
          </cell>
        </row>
        <row r="1172">
          <cell r="Q1172" t="str">
            <v>404OP.NA3</v>
          </cell>
          <cell r="R1172">
            <v>0</v>
          </cell>
        </row>
        <row r="1173">
          <cell r="Q1173" t="str">
            <v>404HP.NA</v>
          </cell>
          <cell r="R1173">
            <v>0</v>
          </cell>
        </row>
        <row r="1174">
          <cell r="Q1174" t="str">
            <v>404HP.DGP</v>
          </cell>
          <cell r="R1174">
            <v>0</v>
          </cell>
        </row>
        <row r="1175">
          <cell r="Q1175" t="str">
            <v>404HP.DGU</v>
          </cell>
          <cell r="R1175">
            <v>0</v>
          </cell>
        </row>
        <row r="1176">
          <cell r="Q1176" t="str">
            <v>404HP.CAGW</v>
          </cell>
          <cell r="R1176">
            <v>67255.186318601714</v>
          </cell>
        </row>
        <row r="1177">
          <cell r="Q1177" t="str">
            <v>404HP.CAGE</v>
          </cell>
          <cell r="R1177">
            <v>0</v>
          </cell>
        </row>
        <row r="1178">
          <cell r="Q1178" t="str">
            <v>404HP.SG</v>
          </cell>
          <cell r="R1178">
            <v>0</v>
          </cell>
        </row>
        <row r="1179">
          <cell r="Q1179" t="str">
            <v>404HP.NA1</v>
          </cell>
          <cell r="R1179">
            <v>67255.186318601714</v>
          </cell>
        </row>
        <row r="1180">
          <cell r="Q1180" t="str">
            <v>404HP.NA2</v>
          </cell>
          <cell r="R1180">
            <v>0</v>
          </cell>
        </row>
        <row r="1181">
          <cell r="Q1181" t="str">
            <v>Total Amortization of Limited Term Plant.NA</v>
          </cell>
          <cell r="R1181">
            <v>2860146.0748901907</v>
          </cell>
        </row>
        <row r="1182">
          <cell r="Q1182" t="str">
            <v>Total Amortization of Limited Term Plant.NA1</v>
          </cell>
          <cell r="R1182">
            <v>0</v>
          </cell>
        </row>
        <row r="1183">
          <cell r="Q1183" t="str">
            <v>Total Amortization of Limited Term Plant.NA2</v>
          </cell>
          <cell r="R1183">
            <v>0</v>
          </cell>
        </row>
        <row r="1184">
          <cell r="Q1184" t="str">
            <v>405.NA</v>
          </cell>
          <cell r="R1184">
            <v>0</v>
          </cell>
        </row>
        <row r="1185">
          <cell r="Q1185" t="str">
            <v>405.S</v>
          </cell>
          <cell r="R1185">
            <v>0</v>
          </cell>
        </row>
        <row r="1186">
          <cell r="Q1186" t="str">
            <v>405.NA1</v>
          </cell>
          <cell r="R1186">
            <v>0</v>
          </cell>
        </row>
        <row r="1187">
          <cell r="Q1187" t="str">
            <v>405.NA2</v>
          </cell>
          <cell r="R1187">
            <v>0</v>
          </cell>
        </row>
        <row r="1188">
          <cell r="Q1188" t="str">
            <v>405.NA3</v>
          </cell>
          <cell r="R1188">
            <v>0</v>
          </cell>
        </row>
        <row r="1189">
          <cell r="Q1189" t="str">
            <v>406.NA</v>
          </cell>
          <cell r="R1189">
            <v>0</v>
          </cell>
        </row>
        <row r="1190">
          <cell r="Q1190" t="str">
            <v>406.S</v>
          </cell>
          <cell r="R1190">
            <v>0</v>
          </cell>
        </row>
        <row r="1191">
          <cell r="Q1191" t="str">
            <v>406.DGP</v>
          </cell>
          <cell r="R1191">
            <v>0</v>
          </cell>
        </row>
        <row r="1192">
          <cell r="Q1192" t="str">
            <v>406.DGU</v>
          </cell>
          <cell r="R1192">
            <v>0</v>
          </cell>
        </row>
        <row r="1193">
          <cell r="Q1193" t="str">
            <v>406.CAGW</v>
          </cell>
          <cell r="R1193">
            <v>0</v>
          </cell>
        </row>
        <row r="1194">
          <cell r="Q1194" t="str">
            <v>406.CAGE</v>
          </cell>
          <cell r="R1194">
            <v>0</v>
          </cell>
        </row>
        <row r="1195">
          <cell r="Q1195" t="str">
            <v>406.SG</v>
          </cell>
          <cell r="R1195">
            <v>0</v>
          </cell>
        </row>
        <row r="1196">
          <cell r="Q1196" t="str">
            <v>406.SO</v>
          </cell>
          <cell r="R1196">
            <v>0</v>
          </cell>
        </row>
        <row r="1197">
          <cell r="Q1197" t="str">
            <v>406.NA1</v>
          </cell>
          <cell r="R1197">
            <v>0</v>
          </cell>
        </row>
        <row r="1198">
          <cell r="Q1198" t="str">
            <v>407.NA</v>
          </cell>
          <cell r="R1198">
            <v>0</v>
          </cell>
        </row>
        <row r="1199">
          <cell r="Q1199" t="str">
            <v>407.S</v>
          </cell>
          <cell r="R1199">
            <v>574016.59356392443</v>
          </cell>
        </row>
        <row r="1200">
          <cell r="Q1200" t="str">
            <v>407.SO</v>
          </cell>
          <cell r="R1200">
            <v>0</v>
          </cell>
        </row>
        <row r="1201">
          <cell r="Q1201" t="str">
            <v>407.DGP</v>
          </cell>
          <cell r="R1201">
            <v>0</v>
          </cell>
        </row>
        <row r="1202">
          <cell r="Q1202" t="str">
            <v>407.SE</v>
          </cell>
          <cell r="R1202">
            <v>0</v>
          </cell>
        </row>
        <row r="1203">
          <cell r="Q1203" t="str">
            <v>407.CAGW</v>
          </cell>
          <cell r="R1203">
            <v>174337.46008776425</v>
          </cell>
        </row>
        <row r="1204">
          <cell r="Q1204" t="str">
            <v>407.CAGE</v>
          </cell>
          <cell r="R1204">
            <v>0</v>
          </cell>
        </row>
        <row r="1205">
          <cell r="Q1205" t="str">
            <v>407.CAEW</v>
          </cell>
          <cell r="R1205">
            <v>0</v>
          </cell>
        </row>
        <row r="1206">
          <cell r="Q1206" t="str">
            <v>407.JBG</v>
          </cell>
          <cell r="R1206">
            <v>3526245.1742366794</v>
          </cell>
        </row>
        <row r="1207">
          <cell r="Q1207" t="str">
            <v>407.SG</v>
          </cell>
          <cell r="R1207">
            <v>0</v>
          </cell>
        </row>
        <row r="1208">
          <cell r="Q1208" t="str">
            <v>407.TROJP</v>
          </cell>
          <cell r="R1208">
            <v>0</v>
          </cell>
        </row>
        <row r="1209">
          <cell r="Q1209" t="str">
            <v>407.NA1</v>
          </cell>
          <cell r="R1209">
            <v>4274599.2278883681</v>
          </cell>
        </row>
        <row r="1210">
          <cell r="Q1210" t="str">
            <v>407.NA2</v>
          </cell>
          <cell r="R1210">
            <v>0</v>
          </cell>
        </row>
        <row r="1211">
          <cell r="Q1211" t="str">
            <v>TOTAL AMORTIZATION EXPENSE.NA</v>
          </cell>
          <cell r="R1211">
            <v>7134745.3027785588</v>
          </cell>
        </row>
        <row r="1212">
          <cell r="Q1212" t="str">
            <v>TOTAL AMORTIZATION EXPENSE.NA1</v>
          </cell>
          <cell r="R1212">
            <v>0</v>
          </cell>
        </row>
        <row r="1213">
          <cell r="Q1213" t="str">
            <v>TOTAL AMORTIZATION EXPENSE.NA2</v>
          </cell>
          <cell r="R1213">
            <v>0</v>
          </cell>
        </row>
        <row r="1214">
          <cell r="Q1214" t="str">
            <v>TOTAL AMORTIZATION EXPENSE.NA3</v>
          </cell>
          <cell r="R1214">
            <v>0</v>
          </cell>
        </row>
        <row r="1215">
          <cell r="Q1215" t="str">
            <v>Summary of Amortization Expense by Factor.NA</v>
          </cell>
          <cell r="R1215">
            <v>0</v>
          </cell>
        </row>
        <row r="1216">
          <cell r="Q1216" t="str">
            <v>Summary of Amortization Expense by Factor.NA1</v>
          </cell>
          <cell r="R1216">
            <v>657547.5635639244</v>
          </cell>
        </row>
        <row r="1217">
          <cell r="Q1217" t="str">
            <v>Summary of Amortization Expense by Factor.NA2</v>
          </cell>
          <cell r="R1217">
            <v>0</v>
          </cell>
        </row>
        <row r="1218">
          <cell r="Q1218" t="str">
            <v>Summary of Amortization Expense by Factor.NA3</v>
          </cell>
          <cell r="R1218">
            <v>0</v>
          </cell>
        </row>
        <row r="1219">
          <cell r="Q1219" t="str">
            <v>Summary of Amortization Expense by Factor.NA4</v>
          </cell>
          <cell r="R1219">
            <v>0</v>
          </cell>
        </row>
        <row r="1220">
          <cell r="Q1220" t="str">
            <v>Summary of Amortization Expense by Factor.NA5</v>
          </cell>
          <cell r="R1220">
            <v>0</v>
          </cell>
        </row>
        <row r="1221">
          <cell r="Q1221" t="str">
            <v>Summary of Amortization Expense by Factor.NA6</v>
          </cell>
          <cell r="R1221">
            <v>1120972.7981157168</v>
          </cell>
        </row>
        <row r="1222">
          <cell r="Q1222" t="str">
            <v>Summary of Amortization Expense by Factor.NA7</v>
          </cell>
          <cell r="R1222">
            <v>3574692.2984082559</v>
          </cell>
        </row>
        <row r="1223">
          <cell r="Q1223" t="str">
            <v>Summary of Amortization Expense by Factor.NA8</v>
          </cell>
          <cell r="R1223">
            <v>0</v>
          </cell>
        </row>
        <row r="1224">
          <cell r="Q1224" t="str">
            <v>Summary of Amortization Expense by Factor.NA9</v>
          </cell>
          <cell r="R1224">
            <v>738703.81661462539</v>
          </cell>
        </row>
        <row r="1225">
          <cell r="Q1225" t="str">
            <v>Summary of Amortization Expense by Factor.NA10</v>
          </cell>
          <cell r="R1225">
            <v>761483.22874796623</v>
          </cell>
        </row>
        <row r="1226">
          <cell r="Q1226" t="str">
            <v>Summary of Amortization Expense by Factor.NA11</v>
          </cell>
          <cell r="R1226">
            <v>0</v>
          </cell>
        </row>
        <row r="1227">
          <cell r="Q1227" t="str">
            <v>Summary of Amortization Expense by Factor.NA12</v>
          </cell>
          <cell r="R1227">
            <v>0</v>
          </cell>
        </row>
        <row r="1228">
          <cell r="Q1228" t="str">
            <v>Summary of Amortization Expense by Factor.NA13</v>
          </cell>
          <cell r="R1228">
            <v>0</v>
          </cell>
        </row>
        <row r="1229">
          <cell r="Q1229" t="str">
            <v>Summary of Amortization Expense by Factor.NA14</v>
          </cell>
          <cell r="R1229">
            <v>281345.59732807055</v>
          </cell>
        </row>
        <row r="1230">
          <cell r="Q1230" t="str">
            <v>Total Amortization Expense by Factor.NA</v>
          </cell>
          <cell r="R1230">
            <v>7134745.3027785588</v>
          </cell>
        </row>
        <row r="1231">
          <cell r="Q1231" t="str">
            <v>408.NA</v>
          </cell>
          <cell r="R1231">
            <v>0</v>
          </cell>
        </row>
        <row r="1232">
          <cell r="Q1232" t="str">
            <v>408.S</v>
          </cell>
          <cell r="R1232">
            <v>12322409.84</v>
          </cell>
        </row>
        <row r="1233">
          <cell r="Q1233" t="str">
            <v>408.GPS</v>
          </cell>
          <cell r="R1233">
            <v>12114911.3894525</v>
          </cell>
        </row>
        <row r="1234">
          <cell r="Q1234" t="str">
            <v>408.SO</v>
          </cell>
          <cell r="R1234">
            <v>-12696.726872602581</v>
          </cell>
        </row>
        <row r="1235">
          <cell r="Q1235" t="str">
            <v>408.SE</v>
          </cell>
          <cell r="R1235">
            <v>29510.352417666239</v>
          </cell>
        </row>
        <row r="1236">
          <cell r="Q1236" t="str">
            <v>408.CAGE</v>
          </cell>
          <cell r="R1236">
            <v>0</v>
          </cell>
        </row>
        <row r="1237">
          <cell r="Q1237" t="str">
            <v>408.OPRV-ID</v>
          </cell>
          <cell r="R1237">
            <v>0</v>
          </cell>
        </row>
        <row r="1238">
          <cell r="Q1238" t="str">
            <v>408.EXCTAX</v>
          </cell>
          <cell r="R1238">
            <v>0</v>
          </cell>
        </row>
        <row r="1239">
          <cell r="Q1239" t="str">
            <v>408.DGP</v>
          </cell>
          <cell r="R1239">
            <v>0</v>
          </cell>
        </row>
        <row r="1240">
          <cell r="Q1240" t="str">
            <v>408.SG</v>
          </cell>
          <cell r="R1240">
            <v>180412.60365467297</v>
          </cell>
        </row>
        <row r="1241">
          <cell r="Q1241" t="str">
            <v>408.CAEE</v>
          </cell>
          <cell r="R1241">
            <v>0</v>
          </cell>
        </row>
        <row r="1242">
          <cell r="Q1242" t="str">
            <v>408.NA1</v>
          </cell>
          <cell r="R1242">
            <v>0</v>
          </cell>
        </row>
        <row r="1243">
          <cell r="Q1243" t="str">
            <v>TOTAL TAXES OTHER THAN INCOME.NA</v>
          </cell>
          <cell r="R1243">
            <v>24634547.458652232</v>
          </cell>
        </row>
        <row r="1244">
          <cell r="Q1244" t="str">
            <v>TOTAL TAXES OTHER THAN INCOME.NA1</v>
          </cell>
          <cell r="R1244">
            <v>0</v>
          </cell>
        </row>
        <row r="1245">
          <cell r="Q1245" t="str">
            <v>TOTAL TAXES OTHER THAN INCOME.NA2</v>
          </cell>
          <cell r="R1245">
            <v>0</v>
          </cell>
        </row>
        <row r="1246">
          <cell r="Q1246" t="str">
            <v>41140.NA</v>
          </cell>
          <cell r="R1246">
            <v>0</v>
          </cell>
        </row>
        <row r="1247">
          <cell r="Q1247" t="str">
            <v>41140.CAGE</v>
          </cell>
          <cell r="R1247">
            <v>0</v>
          </cell>
        </row>
        <row r="1248">
          <cell r="Q1248" t="str">
            <v>41140.NA1</v>
          </cell>
          <cell r="R1248">
            <v>0</v>
          </cell>
        </row>
        <row r="1249">
          <cell r="Q1249" t="str">
            <v>41140.NA2</v>
          </cell>
          <cell r="R1249">
            <v>0</v>
          </cell>
        </row>
        <row r="1250">
          <cell r="Q1250" t="str">
            <v>41140.NA3</v>
          </cell>
          <cell r="R1250">
            <v>0</v>
          </cell>
        </row>
        <row r="1251">
          <cell r="Q1251" t="str">
            <v>41141.NA</v>
          </cell>
          <cell r="R1251">
            <v>0</v>
          </cell>
        </row>
        <row r="1252">
          <cell r="Q1252" t="str">
            <v>41141.CAGE</v>
          </cell>
          <cell r="R1252">
            <v>0</v>
          </cell>
        </row>
        <row r="1253">
          <cell r="Q1253" t="str">
            <v>41141.NA1</v>
          </cell>
          <cell r="R1253">
            <v>0</v>
          </cell>
        </row>
        <row r="1254">
          <cell r="Q1254" t="str">
            <v>41141.NA2</v>
          </cell>
          <cell r="R1254">
            <v>0</v>
          </cell>
        </row>
        <row r="1255">
          <cell r="Q1255" t="str">
            <v>41141.NA3</v>
          </cell>
          <cell r="R1255">
            <v>0</v>
          </cell>
        </row>
        <row r="1256">
          <cell r="Q1256" t="str">
            <v>TOTAL DEFERRED ITC.NA</v>
          </cell>
          <cell r="R1256">
            <v>0</v>
          </cell>
        </row>
        <row r="1257">
          <cell r="Q1257" t="str">
            <v>TOTAL DEFERRED ITC.NA1</v>
          </cell>
          <cell r="R1257">
            <v>0</v>
          </cell>
        </row>
        <row r="1258">
          <cell r="Q1258" t="str">
            <v>TOTAL DEFERRED ITC.NA2</v>
          </cell>
          <cell r="R1258">
            <v>0</v>
          </cell>
        </row>
        <row r="1259">
          <cell r="Q1259" t="str">
            <v>427.NA</v>
          </cell>
          <cell r="R1259">
            <v>0</v>
          </cell>
        </row>
        <row r="1260">
          <cell r="Q1260" t="str">
            <v>427.S</v>
          </cell>
          <cell r="R1260">
            <v>5170152.6116125211</v>
          </cell>
        </row>
        <row r="1261">
          <cell r="Q1261" t="str">
            <v>427.SNP</v>
          </cell>
          <cell r="R1261">
            <v>21983354.026434023</v>
          </cell>
        </row>
        <row r="1262">
          <cell r="Q1262" t="str">
            <v>427.NA1</v>
          </cell>
          <cell r="R1262">
            <v>27153506.638046544</v>
          </cell>
        </row>
        <row r="1263">
          <cell r="Q1263" t="str">
            <v>427.NA2</v>
          </cell>
          <cell r="R1263">
            <v>0</v>
          </cell>
        </row>
        <row r="1264">
          <cell r="Q1264" t="str">
            <v>428.NA</v>
          </cell>
          <cell r="R1264">
            <v>0</v>
          </cell>
        </row>
        <row r="1265">
          <cell r="Q1265" t="str">
            <v>428.SNP</v>
          </cell>
          <cell r="R1265">
            <v>271598.15647054726</v>
          </cell>
        </row>
        <row r="1266">
          <cell r="Q1266" t="str">
            <v>428.NA1</v>
          </cell>
          <cell r="R1266">
            <v>271598.15647054726</v>
          </cell>
        </row>
        <row r="1267">
          <cell r="Q1267" t="str">
            <v>428.NA2</v>
          </cell>
          <cell r="R1267">
            <v>0</v>
          </cell>
        </row>
        <row r="1268">
          <cell r="Q1268" t="str">
            <v>429.NA</v>
          </cell>
          <cell r="R1268">
            <v>0</v>
          </cell>
        </row>
        <row r="1269">
          <cell r="Q1269" t="str">
            <v>429.SNP</v>
          </cell>
          <cell r="R1269">
            <v>-671.40872782011525</v>
          </cell>
        </row>
        <row r="1270">
          <cell r="Q1270" t="str">
            <v>429.NA1</v>
          </cell>
          <cell r="R1270">
            <v>-671.40872782011525</v>
          </cell>
        </row>
        <row r="1271">
          <cell r="Q1271" t="str">
            <v>429.NA2</v>
          </cell>
          <cell r="R1271">
            <v>0</v>
          </cell>
        </row>
        <row r="1272">
          <cell r="Q1272" t="str">
            <v>431.NA</v>
          </cell>
          <cell r="R1272">
            <v>0</v>
          </cell>
        </row>
        <row r="1273">
          <cell r="Q1273" t="str">
            <v>431.OTH</v>
          </cell>
          <cell r="R1273">
            <v>0</v>
          </cell>
        </row>
        <row r="1274">
          <cell r="Q1274" t="str">
            <v>431.SO</v>
          </cell>
          <cell r="R1274">
            <v>0</v>
          </cell>
        </row>
        <row r="1275">
          <cell r="Q1275" t="str">
            <v>431.SNP</v>
          </cell>
          <cell r="R1275">
            <v>1338967.6245788431</v>
          </cell>
        </row>
        <row r="1276">
          <cell r="Q1276" t="str">
            <v>431.NA1</v>
          </cell>
          <cell r="R1276">
            <v>1338967.6245788431</v>
          </cell>
        </row>
        <row r="1277">
          <cell r="Q1277" t="str">
            <v>431.NA2</v>
          </cell>
          <cell r="R1277">
            <v>0</v>
          </cell>
        </row>
        <row r="1278">
          <cell r="Q1278" t="str">
            <v>432.NA</v>
          </cell>
          <cell r="R1278">
            <v>0</v>
          </cell>
        </row>
        <row r="1279">
          <cell r="Q1279" t="str">
            <v>432.SNP</v>
          </cell>
          <cell r="R1279">
            <v>-1550777.6401968305</v>
          </cell>
        </row>
        <row r="1280">
          <cell r="Q1280" t="str">
            <v>432.NA1</v>
          </cell>
          <cell r="R1280">
            <v>-1550777.6401968305</v>
          </cell>
        </row>
        <row r="1281">
          <cell r="Q1281" t="str">
            <v>432.NA2</v>
          </cell>
          <cell r="R1281">
            <v>0</v>
          </cell>
        </row>
        <row r="1282">
          <cell r="Q1282" t="str">
            <v>432.NA3</v>
          </cell>
          <cell r="R1282">
            <v>27212623.370171286</v>
          </cell>
        </row>
        <row r="1283">
          <cell r="Q1283" t="str">
            <v>432.NA4</v>
          </cell>
          <cell r="R1283">
            <v>0</v>
          </cell>
        </row>
        <row r="1284">
          <cell r="Q1284" t="str">
            <v>432.NA5</v>
          </cell>
          <cell r="R1284">
            <v>0</v>
          </cell>
        </row>
        <row r="1285">
          <cell r="Q1285" t="str">
            <v>432.NUTIL</v>
          </cell>
          <cell r="R1285">
            <v>0</v>
          </cell>
        </row>
        <row r="1286">
          <cell r="Q1286" t="str">
            <v>432.NUTIL1</v>
          </cell>
          <cell r="R1286">
            <v>0</v>
          </cell>
        </row>
        <row r="1287">
          <cell r="Q1287" t="str">
            <v>432.NUTIL2</v>
          </cell>
          <cell r="R1287">
            <v>0</v>
          </cell>
        </row>
        <row r="1288">
          <cell r="Q1288" t="str">
            <v>432.NUTIL3</v>
          </cell>
          <cell r="R1288">
            <v>0</v>
          </cell>
        </row>
        <row r="1289">
          <cell r="Q1289" t="str">
            <v>432.NA6</v>
          </cell>
          <cell r="R1289">
            <v>0</v>
          </cell>
        </row>
        <row r="1290">
          <cell r="Q1290" t="str">
            <v>432.NA7</v>
          </cell>
          <cell r="R1290">
            <v>0</v>
          </cell>
        </row>
        <row r="1291">
          <cell r="Q1291" t="str">
            <v>432.NA8</v>
          </cell>
          <cell r="R1291">
            <v>0</v>
          </cell>
        </row>
        <row r="1292">
          <cell r="Q1292" t="str">
            <v>432.NA9</v>
          </cell>
          <cell r="R1292">
            <v>27212623.370171286</v>
          </cell>
        </row>
        <row r="1293">
          <cell r="Q1293" t="str">
            <v>432.NA10</v>
          </cell>
          <cell r="R1293">
            <v>0</v>
          </cell>
        </row>
        <row r="1294">
          <cell r="Q1294" t="str">
            <v>432.NA11</v>
          </cell>
          <cell r="R1294">
            <v>0</v>
          </cell>
        </row>
        <row r="1295">
          <cell r="Q1295" t="str">
            <v>419.NA</v>
          </cell>
          <cell r="R1295">
            <v>0</v>
          </cell>
        </row>
        <row r="1296">
          <cell r="Q1296" t="str">
            <v>419.S</v>
          </cell>
          <cell r="R1296">
            <v>0</v>
          </cell>
        </row>
        <row r="1297">
          <cell r="Q1297" t="str">
            <v>419.SNP</v>
          </cell>
          <cell r="R1297">
            <v>-3016519.6037139692</v>
          </cell>
        </row>
        <row r="1298">
          <cell r="Q1298" t="str">
            <v>419.NA1</v>
          </cell>
          <cell r="R1298">
            <v>-3016519.6037139692</v>
          </cell>
        </row>
        <row r="1299">
          <cell r="Q1299" t="str">
            <v>419.NA2</v>
          </cell>
          <cell r="R1299">
            <v>0</v>
          </cell>
        </row>
        <row r="1300">
          <cell r="Q1300" t="str">
            <v>419.NA3</v>
          </cell>
          <cell r="R1300">
            <v>0</v>
          </cell>
        </row>
        <row r="1301">
          <cell r="Q1301" t="str">
            <v>41010.NA</v>
          </cell>
          <cell r="R1301">
            <v>0</v>
          </cell>
        </row>
        <row r="1302">
          <cell r="Q1302" t="str">
            <v>41010.S</v>
          </cell>
          <cell r="R1302">
            <v>1731860.6372</v>
          </cell>
        </row>
        <row r="1303">
          <cell r="Q1303" t="str">
            <v>41010.SCHMDEXP</v>
          </cell>
          <cell r="R1303">
            <v>0</v>
          </cell>
        </row>
        <row r="1304">
          <cell r="Q1304" t="str">
            <v>41010.CIAC</v>
          </cell>
          <cell r="R1304">
            <v>0</v>
          </cell>
        </row>
        <row r="1305">
          <cell r="Q1305" t="str">
            <v>41010.SO</v>
          </cell>
          <cell r="R1305">
            <v>30758.821877680413</v>
          </cell>
        </row>
        <row r="1306">
          <cell r="Q1306" t="str">
            <v>41010.SNP</v>
          </cell>
          <cell r="R1306">
            <v>1118472.5278824323</v>
          </cell>
        </row>
        <row r="1307">
          <cell r="Q1307" t="str">
            <v>41010.SE</v>
          </cell>
          <cell r="R1307">
            <v>0</v>
          </cell>
        </row>
        <row r="1308">
          <cell r="Q1308" t="str">
            <v>41010.SG</v>
          </cell>
          <cell r="R1308">
            <v>7928670.3703204002</v>
          </cell>
        </row>
        <row r="1309">
          <cell r="Q1309" t="str">
            <v>41010.GPS</v>
          </cell>
          <cell r="R1309">
            <v>1121823.1701610393</v>
          </cell>
        </row>
        <row r="1310">
          <cell r="Q1310" t="str">
            <v>41010.TAXDEPR</v>
          </cell>
          <cell r="R1310">
            <v>13753029.160264557</v>
          </cell>
        </row>
        <row r="1311">
          <cell r="Q1311" t="str">
            <v>41010.CAEW</v>
          </cell>
          <cell r="R1311">
            <v>0</v>
          </cell>
        </row>
        <row r="1312">
          <cell r="Q1312" t="str">
            <v>41010.CN</v>
          </cell>
          <cell r="R1312">
            <v>-12430.30301094371</v>
          </cell>
        </row>
        <row r="1313">
          <cell r="Q1313" t="str">
            <v>41010.JBE</v>
          </cell>
          <cell r="R1313">
            <v>-11061.286593741972</v>
          </cell>
        </row>
        <row r="1314">
          <cell r="Q1314" t="str">
            <v>41010.CAGW</v>
          </cell>
          <cell r="R1314">
            <v>552159.51204005652</v>
          </cell>
        </row>
        <row r="1315">
          <cell r="Q1315" t="str">
            <v>41010.CAGE</v>
          </cell>
          <cell r="R1315">
            <v>0</v>
          </cell>
        </row>
        <row r="1316">
          <cell r="Q1316" t="str">
            <v>41010.JBG</v>
          </cell>
          <cell r="R1316">
            <v>2167648.8786045355</v>
          </cell>
        </row>
        <row r="1317">
          <cell r="Q1317" t="str">
            <v>41010.CAEE</v>
          </cell>
          <cell r="R1317">
            <v>0</v>
          </cell>
        </row>
        <row r="1318">
          <cell r="Q1318" t="str">
            <v>41010.SNPD</v>
          </cell>
          <cell r="R1318">
            <v>24166.99128955081</v>
          </cell>
        </row>
        <row r="1319">
          <cell r="Q1319" t="str">
            <v>41010.NA1</v>
          </cell>
          <cell r="R1319">
            <v>28405098.480035566</v>
          </cell>
        </row>
        <row r="1320">
          <cell r="Q1320" t="str">
            <v>41010.NA2</v>
          </cell>
          <cell r="R1320">
            <v>0</v>
          </cell>
        </row>
        <row r="1321">
          <cell r="Q1321" t="str">
            <v>41010.NA3</v>
          </cell>
          <cell r="R1321">
            <v>0</v>
          </cell>
        </row>
        <row r="1322">
          <cell r="Q1322" t="str">
            <v>41010.NA4</v>
          </cell>
          <cell r="R1322">
            <v>0</v>
          </cell>
        </row>
        <row r="1323">
          <cell r="Q1323" t="str">
            <v>41110.NA</v>
          </cell>
          <cell r="R1323">
            <v>0</v>
          </cell>
        </row>
        <row r="1324">
          <cell r="Q1324" t="str">
            <v>41110.S</v>
          </cell>
          <cell r="R1324">
            <v>-9427480.6999999993</v>
          </cell>
        </row>
        <row r="1325">
          <cell r="Q1325" t="str">
            <v>41110.CIAC</v>
          </cell>
          <cell r="R1325">
            <v>-1631131.8863548962</v>
          </cell>
        </row>
        <row r="1326">
          <cell r="Q1326" t="str">
            <v>41110.SCHMDEXP</v>
          </cell>
          <cell r="R1326">
            <v>-13370394.14706195</v>
          </cell>
        </row>
        <row r="1327">
          <cell r="Q1327" t="str">
            <v>41110.SNP</v>
          </cell>
          <cell r="R1327">
            <v>-626519.59849654709</v>
          </cell>
        </row>
        <row r="1328">
          <cell r="Q1328" t="str">
            <v>41110.SG</v>
          </cell>
          <cell r="R1328">
            <v>40150.715611322819</v>
          </cell>
        </row>
        <row r="1329">
          <cell r="Q1329" t="str">
            <v>41110.SNPD</v>
          </cell>
          <cell r="R1329">
            <v>-33237.68028055891</v>
          </cell>
        </row>
        <row r="1330">
          <cell r="Q1330" t="str">
            <v>41110.SO</v>
          </cell>
          <cell r="R1330">
            <v>-20624.136707847894</v>
          </cell>
        </row>
        <row r="1331">
          <cell r="Q1331" t="str">
            <v>41110.TAXDEPR</v>
          </cell>
          <cell r="R1331">
            <v>0</v>
          </cell>
        </row>
        <row r="1332">
          <cell r="Q1332" t="str">
            <v>41110.JBG</v>
          </cell>
          <cell r="R1332">
            <v>-17140149.462375358</v>
          </cell>
        </row>
        <row r="1333">
          <cell r="Q1333" t="str">
            <v>41110.BADDEBT</v>
          </cell>
          <cell r="R1333">
            <v>-12266.438180316487</v>
          </cell>
        </row>
        <row r="1334">
          <cell r="Q1334" t="str">
            <v>41110.GPS</v>
          </cell>
          <cell r="R1334">
            <v>9738.7996242772588</v>
          </cell>
        </row>
        <row r="1335">
          <cell r="Q1335" t="str">
            <v>41110.CN</v>
          </cell>
          <cell r="R1335">
            <v>0</v>
          </cell>
        </row>
        <row r="1336">
          <cell r="Q1336" t="str">
            <v>41110.JBE</v>
          </cell>
          <cell r="R1336">
            <v>-988607.96777244902</v>
          </cell>
        </row>
        <row r="1337">
          <cell r="Q1337" t="str">
            <v>41110.CAGW</v>
          </cell>
          <cell r="R1337">
            <v>-1160824.9199567311</v>
          </cell>
        </row>
        <row r="1338">
          <cell r="Q1338" t="str">
            <v>41110.CAGE</v>
          </cell>
          <cell r="R1338">
            <v>0</v>
          </cell>
        </row>
        <row r="1339">
          <cell r="Q1339" t="str">
            <v>41110.SE</v>
          </cell>
          <cell r="R1339">
            <v>0</v>
          </cell>
        </row>
        <row r="1340">
          <cell r="Q1340" t="str">
            <v>41110.CAEE</v>
          </cell>
          <cell r="R1340">
            <v>0</v>
          </cell>
        </row>
        <row r="1341">
          <cell r="Q1341" t="str">
            <v>41110.NA1</v>
          </cell>
          <cell r="R1341">
            <v>-44361347.421951056</v>
          </cell>
        </row>
        <row r="1342">
          <cell r="Q1342" t="str">
            <v>41110.NA2</v>
          </cell>
          <cell r="R1342">
            <v>0</v>
          </cell>
        </row>
        <row r="1343">
          <cell r="Q1343" t="str">
            <v>TOTAL DEFERRED INCOME TAXES.NA</v>
          </cell>
          <cell r="R1343">
            <v>-15956248.941915488</v>
          </cell>
        </row>
        <row r="1344">
          <cell r="Q1344" t="str">
            <v>SCHMAF.NA</v>
          </cell>
          <cell r="R1344">
            <v>0</v>
          </cell>
        </row>
        <row r="1345">
          <cell r="Q1345" t="str">
            <v>SCHMAF.S</v>
          </cell>
          <cell r="R1345">
            <v>0</v>
          </cell>
        </row>
        <row r="1346">
          <cell r="Q1346" t="str">
            <v>SCHMAF.SNP</v>
          </cell>
          <cell r="R1346">
            <v>0</v>
          </cell>
        </row>
        <row r="1347">
          <cell r="Q1347" t="str">
            <v>SCHMAF.SO</v>
          </cell>
          <cell r="R1347">
            <v>0</v>
          </cell>
        </row>
        <row r="1348">
          <cell r="Q1348" t="str">
            <v>SCHMAF.SE</v>
          </cell>
          <cell r="R1348">
            <v>0</v>
          </cell>
        </row>
        <row r="1349">
          <cell r="Q1349" t="str">
            <v>SCHMAF.TROJP</v>
          </cell>
          <cell r="R1349">
            <v>0</v>
          </cell>
        </row>
        <row r="1350">
          <cell r="Q1350" t="str">
            <v>SCHMAF.DGP</v>
          </cell>
          <cell r="R1350">
            <v>0</v>
          </cell>
        </row>
        <row r="1351">
          <cell r="Q1351" t="str">
            <v>SCHMAF.NA1</v>
          </cell>
          <cell r="R1351">
            <v>0</v>
          </cell>
        </row>
        <row r="1352">
          <cell r="Q1352" t="str">
            <v>SCHMAF.NA2</v>
          </cell>
          <cell r="R1352">
            <v>0</v>
          </cell>
        </row>
        <row r="1353">
          <cell r="Q1353" t="str">
            <v>SCHMAP.NA</v>
          </cell>
          <cell r="R1353">
            <v>0</v>
          </cell>
        </row>
        <row r="1354">
          <cell r="Q1354" t="str">
            <v>SCHMAP.S</v>
          </cell>
          <cell r="R1354">
            <v>0</v>
          </cell>
        </row>
        <row r="1355">
          <cell r="Q1355" t="str">
            <v>SCHMAP.BADDEBT</v>
          </cell>
          <cell r="R1355">
            <v>0</v>
          </cell>
        </row>
        <row r="1356">
          <cell r="Q1356" t="str">
            <v>SCHMAP.JBE</v>
          </cell>
          <cell r="R1356">
            <v>4066.4833684766854</v>
          </cell>
        </row>
        <row r="1357">
          <cell r="Q1357" t="str">
            <v>SCHMAP.SCHMDEXP</v>
          </cell>
          <cell r="R1357">
            <v>9964.7547242094461</v>
          </cell>
        </row>
        <row r="1358">
          <cell r="Q1358" t="str">
            <v>SCHMAP.CAEE</v>
          </cell>
          <cell r="R1358">
            <v>0</v>
          </cell>
        </row>
        <row r="1359">
          <cell r="Q1359" t="str">
            <v>SCHMAP.CAGW</v>
          </cell>
          <cell r="R1359">
            <v>0</v>
          </cell>
        </row>
        <row r="1360">
          <cell r="Q1360" t="str">
            <v>SCHMAP.CAGE</v>
          </cell>
          <cell r="R1360">
            <v>0</v>
          </cell>
        </row>
        <row r="1361">
          <cell r="Q1361" t="str">
            <v>SCHMAP.SNP</v>
          </cell>
          <cell r="R1361">
            <v>0</v>
          </cell>
        </row>
        <row r="1362">
          <cell r="Q1362" t="str">
            <v>SCHMAP.SO</v>
          </cell>
          <cell r="R1362">
            <v>217003.04324786394</v>
          </cell>
        </row>
        <row r="1363">
          <cell r="Q1363" t="str">
            <v>SCHMAP.NA1</v>
          </cell>
          <cell r="R1363">
            <v>0</v>
          </cell>
        </row>
        <row r="1364">
          <cell r="Q1364" t="str">
            <v>SCHMAP.NA2</v>
          </cell>
          <cell r="R1364">
            <v>231034.28134055008</v>
          </cell>
        </row>
        <row r="1365">
          <cell r="Q1365" t="str">
            <v>SCHMAP.NA3</v>
          </cell>
          <cell r="R1365">
            <v>0</v>
          </cell>
        </row>
        <row r="1366">
          <cell r="Q1366" t="str">
            <v>SCHMAT.NA</v>
          </cell>
          <cell r="R1366">
            <v>0</v>
          </cell>
        </row>
        <row r="1367">
          <cell r="Q1367" t="str">
            <v>SCHMAT.S</v>
          </cell>
          <cell r="R1367">
            <v>16100339.095216047</v>
          </cell>
        </row>
        <row r="1368">
          <cell r="Q1368" t="str">
            <v>SCHMAT.JBE</v>
          </cell>
          <cell r="R1368">
            <v>4020922.2629005304</v>
          </cell>
        </row>
        <row r="1369">
          <cell r="Q1369" t="str">
            <v>SCHMAT.CIAC</v>
          </cell>
          <cell r="R1369">
            <v>6634231.1358266054</v>
          </cell>
        </row>
        <row r="1370">
          <cell r="Q1370" t="str">
            <v>SCHMAT.SNP</v>
          </cell>
          <cell r="R1370">
            <v>2548215.96260679</v>
          </cell>
        </row>
        <row r="1371">
          <cell r="Q1371" t="str">
            <v>SCHMAT.TROJD</v>
          </cell>
          <cell r="R1371">
            <v>0</v>
          </cell>
        </row>
        <row r="1372">
          <cell r="Q1372" t="str">
            <v>SCHMAT.CN</v>
          </cell>
          <cell r="R1372">
            <v>50557.188580000024</v>
          </cell>
        </row>
        <row r="1373">
          <cell r="Q1373" t="str">
            <v>SCHMAT.SE</v>
          </cell>
          <cell r="R1373">
            <v>0</v>
          </cell>
        </row>
        <row r="1374">
          <cell r="Q1374" t="str">
            <v>SCHMAT.SG</v>
          </cell>
          <cell r="R1374">
            <v>10903219.177554764</v>
          </cell>
        </row>
        <row r="1375">
          <cell r="Q1375" t="str">
            <v>SCHMAT.GPS</v>
          </cell>
          <cell r="R1375">
            <v>-39610.211969915246</v>
          </cell>
        </row>
        <row r="1376">
          <cell r="Q1376" t="str">
            <v>SCHMAT.SO</v>
          </cell>
          <cell r="R1376">
            <v>594092.81035393325</v>
          </cell>
        </row>
        <row r="1377">
          <cell r="Q1377" t="str">
            <v>SCHMAT.SNPD</v>
          </cell>
          <cell r="R1377">
            <v>135186.10823797112</v>
          </cell>
        </row>
        <row r="1378">
          <cell r="Q1378" t="str">
            <v>SCHMAT.JBG</v>
          </cell>
          <cell r="R1378">
            <v>61179315.218429595</v>
          </cell>
        </row>
        <row r="1379">
          <cell r="Q1379" t="str">
            <v>SCHMAT.BADDEBT</v>
          </cell>
          <cell r="R1379">
            <v>49890.967621604075</v>
          </cell>
        </row>
        <row r="1380">
          <cell r="Q1380" t="str">
            <v>SCHMAT.CAGW</v>
          </cell>
          <cell r="R1380">
            <v>3093030.0867727851</v>
          </cell>
        </row>
        <row r="1381">
          <cell r="Q1381" t="str">
            <v>SCHMAT.CAGE</v>
          </cell>
          <cell r="R1381">
            <v>0</v>
          </cell>
        </row>
        <row r="1382">
          <cell r="Q1382" t="str">
            <v>SCHMAT.CAEW</v>
          </cell>
          <cell r="R1382">
            <v>0</v>
          </cell>
        </row>
        <row r="1383">
          <cell r="Q1383" t="str">
            <v>SCHMAT.CAEE</v>
          </cell>
          <cell r="R1383">
            <v>0</v>
          </cell>
        </row>
        <row r="1384">
          <cell r="Q1384" t="str">
            <v>SCHMAT.SCHMDEXP</v>
          </cell>
          <cell r="R1384">
            <v>54380817.980571866</v>
          </cell>
        </row>
        <row r="1385">
          <cell r="Q1385" t="str">
            <v>SCHMAT.NA1</v>
          </cell>
          <cell r="R1385">
            <v>159650207.78270259</v>
          </cell>
        </row>
        <row r="1386">
          <cell r="Q1386" t="str">
            <v>SCHMAT.NA2</v>
          </cell>
          <cell r="R1386">
            <v>0</v>
          </cell>
        </row>
        <row r="1387">
          <cell r="Q1387" t="str">
            <v>TOTAL SCHEDULE - M ADDITIONS.NA</v>
          </cell>
          <cell r="R1387">
            <v>159881242.06404313</v>
          </cell>
        </row>
        <row r="1388">
          <cell r="Q1388" t="str">
            <v>TOTAL SCHEDULE - M ADDITIONS.NA1</v>
          </cell>
          <cell r="R1388">
            <v>0</v>
          </cell>
        </row>
        <row r="1389">
          <cell r="Q1389" t="str">
            <v>SCHMDF.NA</v>
          </cell>
          <cell r="R1389">
            <v>0</v>
          </cell>
        </row>
        <row r="1390">
          <cell r="Q1390" t="str">
            <v>SCHMDF.S</v>
          </cell>
          <cell r="R1390">
            <v>0</v>
          </cell>
        </row>
        <row r="1391">
          <cell r="Q1391" t="str">
            <v>SCHMDF.CAGW</v>
          </cell>
          <cell r="R1391">
            <v>0</v>
          </cell>
        </row>
        <row r="1392">
          <cell r="Q1392" t="str">
            <v>SCHMDF.CAGE</v>
          </cell>
          <cell r="R1392">
            <v>0</v>
          </cell>
        </row>
        <row r="1393">
          <cell r="Q1393" t="str">
            <v>SCHMDF.DGP</v>
          </cell>
          <cell r="R1393">
            <v>0</v>
          </cell>
        </row>
        <row r="1394">
          <cell r="Q1394" t="str">
            <v>SCHMDF.DGU</v>
          </cell>
          <cell r="R1394">
            <v>0</v>
          </cell>
        </row>
        <row r="1395">
          <cell r="Q1395" t="str">
            <v>SCHMDF.NA1</v>
          </cell>
          <cell r="R1395">
            <v>0</v>
          </cell>
        </row>
        <row r="1396">
          <cell r="Q1396" t="str">
            <v>SCHMDP.NA</v>
          </cell>
          <cell r="R1396">
            <v>0</v>
          </cell>
        </row>
        <row r="1397">
          <cell r="Q1397" t="str">
            <v>SCHMDP.S</v>
          </cell>
          <cell r="R1397">
            <v>0</v>
          </cell>
        </row>
        <row r="1398">
          <cell r="Q1398" t="str">
            <v>SCHMDP.SE</v>
          </cell>
          <cell r="R1398">
            <v>38389.702080008101</v>
          </cell>
        </row>
        <row r="1399">
          <cell r="Q1399" t="str">
            <v>SCHMDP.CAEW</v>
          </cell>
          <cell r="R1399">
            <v>0</v>
          </cell>
        </row>
        <row r="1400">
          <cell r="Q1400" t="str">
            <v>SCHMDP.JBE</v>
          </cell>
          <cell r="R1400">
            <v>559334.39520980429</v>
          </cell>
        </row>
        <row r="1401">
          <cell r="Q1401" t="str">
            <v>SCHMDP.SNP</v>
          </cell>
          <cell r="R1401">
            <v>6572.6099596807117</v>
          </cell>
        </row>
        <row r="1402">
          <cell r="Q1402" t="str">
            <v>SCHMDP.SG</v>
          </cell>
          <cell r="R1402">
            <v>0</v>
          </cell>
        </row>
        <row r="1403">
          <cell r="Q1403" t="str">
            <v>SCHMDP.SCHMDEXP</v>
          </cell>
          <cell r="R1403">
            <v>6.0932453925488517E-3</v>
          </cell>
        </row>
        <row r="1404">
          <cell r="Q1404" t="str">
            <v>SCHMDP.SO</v>
          </cell>
          <cell r="R1404">
            <v>0</v>
          </cell>
        </row>
        <row r="1405">
          <cell r="Q1405" t="str">
            <v>SCHMDP.NA1</v>
          </cell>
          <cell r="R1405">
            <v>604296.71334273845</v>
          </cell>
        </row>
        <row r="1406">
          <cell r="Q1406" t="str">
            <v>SCHMDP.NA2</v>
          </cell>
          <cell r="R1406">
            <v>0</v>
          </cell>
        </row>
        <row r="1407">
          <cell r="Q1407" t="str">
            <v>SCHMDT.NA</v>
          </cell>
          <cell r="R1407">
            <v>0</v>
          </cell>
        </row>
        <row r="1408">
          <cell r="Q1408" t="str">
            <v>SCHMDT.S</v>
          </cell>
          <cell r="R1408">
            <v>1309928.4689</v>
          </cell>
        </row>
        <row r="1409">
          <cell r="Q1409" t="str">
            <v>SCHMDT.BADDEBT</v>
          </cell>
          <cell r="R1409">
            <v>0</v>
          </cell>
        </row>
        <row r="1410">
          <cell r="Q1410" t="str">
            <v>SCHMDT.CN</v>
          </cell>
          <cell r="R1410">
            <v>0</v>
          </cell>
        </row>
        <row r="1411">
          <cell r="Q1411" t="str">
            <v>SCHMDT.SNP</v>
          </cell>
          <cell r="R1411">
            <v>4549114.1916480055</v>
          </cell>
        </row>
        <row r="1412">
          <cell r="Q1412" t="str">
            <v>SCHMDT.SNPD</v>
          </cell>
          <cell r="R1412">
            <v>98292.986475461585</v>
          </cell>
        </row>
        <row r="1413">
          <cell r="Q1413" t="str">
            <v>SCHMDT.JBE</v>
          </cell>
          <cell r="R1413">
            <v>-44990.216494369895</v>
          </cell>
        </row>
        <row r="1414">
          <cell r="Q1414" t="str">
            <v>SCHMDT.SE</v>
          </cell>
          <cell r="R1414">
            <v>0</v>
          </cell>
        </row>
        <row r="1415">
          <cell r="Q1415" t="str">
            <v>SCHMDT.SG</v>
          </cell>
          <cell r="R1415">
            <v>43301326.1760232</v>
          </cell>
        </row>
        <row r="1416">
          <cell r="Q1416" t="str">
            <v>SCHMDT.GPS</v>
          </cell>
          <cell r="R1416">
            <v>4562741.9560352452</v>
          </cell>
        </row>
        <row r="1417">
          <cell r="Q1417" t="str">
            <v>SCHMDT.SO</v>
          </cell>
          <cell r="R1417">
            <v>635311.55189532076</v>
          </cell>
        </row>
        <row r="1418">
          <cell r="Q1418" t="str">
            <v>SCHMDT.TAXDEPR</v>
          </cell>
          <cell r="R1418">
            <v>55937092.232560262</v>
          </cell>
        </row>
        <row r="1419">
          <cell r="Q1419" t="str">
            <v>SCHMDT.CAGW</v>
          </cell>
          <cell r="R1419">
            <v>589967.79046582733</v>
          </cell>
        </row>
        <row r="1420">
          <cell r="Q1420" t="str">
            <v>SCHMDT.CAGE</v>
          </cell>
          <cell r="R1420">
            <v>0</v>
          </cell>
        </row>
        <row r="1421">
          <cell r="Q1421" t="str">
            <v>SCHMDT.JBG</v>
          </cell>
          <cell r="R1421">
            <v>282326.00795168261</v>
          </cell>
        </row>
        <row r="1422">
          <cell r="Q1422" t="str">
            <v>SCHMDT.CAEE</v>
          </cell>
          <cell r="R1422">
            <v>0</v>
          </cell>
        </row>
        <row r="1423">
          <cell r="Q1423" t="str">
            <v>SCHMDT.TROJD</v>
          </cell>
          <cell r="R1423">
            <v>0</v>
          </cell>
        </row>
        <row r="1424">
          <cell r="Q1424" t="str">
            <v>SCHMDT.NA1</v>
          </cell>
          <cell r="R1424">
            <v>111221111.14546064</v>
          </cell>
        </row>
        <row r="1425">
          <cell r="Q1425" t="str">
            <v>SCHMDT.NA2</v>
          </cell>
          <cell r="R1425">
            <v>0</v>
          </cell>
        </row>
        <row r="1426">
          <cell r="Q1426" t="str">
            <v>TOTAL SCHEDULE - M DEDUCTIONS.NA</v>
          </cell>
          <cell r="R1426">
            <v>111825407.85880338</v>
          </cell>
        </row>
        <row r="1427">
          <cell r="Q1427" t="str">
            <v>TOTAL SCHEDULE - M DEDUCTIONS.NA1</v>
          </cell>
          <cell r="R1427">
            <v>0</v>
          </cell>
        </row>
        <row r="1428">
          <cell r="Q1428" t="str">
            <v>TOTAL SCHEDULE - M ADJUSTMENTS.NA</v>
          </cell>
          <cell r="R1428">
            <v>48055834.205239758</v>
          </cell>
        </row>
        <row r="1429">
          <cell r="Q1429" t="str">
            <v>TOTAL SCHEDULE - M ADJUSTMENTS.NA1</v>
          </cell>
          <cell r="R1429">
            <v>0</v>
          </cell>
        </row>
        <row r="1430">
          <cell r="Q1430" t="str">
            <v>TOTAL SCHEDULE - M ADJUSTMENTS.NA2</v>
          </cell>
          <cell r="R1430">
            <v>0</v>
          </cell>
        </row>
        <row r="1431">
          <cell r="Q1431" t="str">
            <v>40911.NA</v>
          </cell>
          <cell r="R1431">
            <v>0</v>
          </cell>
        </row>
        <row r="1432">
          <cell r="Q1432" t="str">
            <v>40911.IBT</v>
          </cell>
          <cell r="R1432">
            <v>0</v>
          </cell>
        </row>
        <row r="1433">
          <cell r="Q1433" t="str">
            <v>40911.IBT1</v>
          </cell>
          <cell r="R1433">
            <v>0</v>
          </cell>
        </row>
        <row r="1434">
          <cell r="Q1434" t="str">
            <v>40911.CAGE</v>
          </cell>
          <cell r="R1434">
            <v>0</v>
          </cell>
        </row>
        <row r="1435">
          <cell r="Q1435" t="str">
            <v>40911.IBT2</v>
          </cell>
          <cell r="R1435">
            <v>0</v>
          </cell>
        </row>
        <row r="1436">
          <cell r="Q1436" t="str">
            <v>TOTAL STATE TAXES.NA</v>
          </cell>
          <cell r="R1436">
            <v>0</v>
          </cell>
        </row>
        <row r="1437">
          <cell r="Q1437" t="str">
            <v>TOTAL STATE TAXES.NA1</v>
          </cell>
          <cell r="R1437">
            <v>0</v>
          </cell>
        </row>
        <row r="1438">
          <cell r="Q1438" t="str">
            <v>TOTAL STATE TAXES.NA2</v>
          </cell>
          <cell r="R1438">
            <v>0</v>
          </cell>
        </row>
        <row r="1439">
          <cell r="Q1439" t="str">
            <v>Calculation of Taxable Income:.NA</v>
          </cell>
          <cell r="R1439">
            <v>0</v>
          </cell>
        </row>
        <row r="1440">
          <cell r="Q1440" t="str">
            <v>Calculation of Taxable Income:.NA1</v>
          </cell>
          <cell r="R1440">
            <v>382591356.3649506</v>
          </cell>
        </row>
        <row r="1441">
          <cell r="Q1441" t="str">
            <v>Calculation of Taxable Income:.NA2</v>
          </cell>
          <cell r="R1441">
            <v>0</v>
          </cell>
        </row>
        <row r="1442">
          <cell r="Q1442" t="str">
            <v>Calculation of Taxable Income:.NA3</v>
          </cell>
          <cell r="R1442">
            <v>167580764.76119113</v>
          </cell>
        </row>
        <row r="1443">
          <cell r="Q1443" t="str">
            <v>Calculation of Taxable Income:.NA4</v>
          </cell>
          <cell r="R1443">
            <v>117309607.36845624</v>
          </cell>
        </row>
        <row r="1444">
          <cell r="Q1444" t="str">
            <v>Calculation of Taxable Income:.NA5</v>
          </cell>
          <cell r="R1444">
            <v>7134745.3027785588</v>
          </cell>
        </row>
        <row r="1445">
          <cell r="Q1445" t="str">
            <v>Calculation of Taxable Income:.NA6</v>
          </cell>
          <cell r="R1445">
            <v>24634547.458652232</v>
          </cell>
        </row>
        <row r="1446">
          <cell r="Q1446" t="str">
            <v>Calculation of Taxable Income:.NA7</v>
          </cell>
          <cell r="R1446">
            <v>-3016519.6037139692</v>
          </cell>
        </row>
        <row r="1447">
          <cell r="Q1447" t="str">
            <v>Calculation of Taxable Income:.NA8</v>
          </cell>
          <cell r="R1447">
            <v>65435.101564292789</v>
          </cell>
        </row>
        <row r="1448">
          <cell r="Q1448" t="str">
            <v>Calculation of Taxable Income:.NA9</v>
          </cell>
          <cell r="R1448">
            <v>313708580.38892847</v>
          </cell>
        </row>
        <row r="1449">
          <cell r="Q1449" t="str">
            <v>Calculation of Taxable Income:.NA10</v>
          </cell>
          <cell r="R1449">
            <v>0</v>
          </cell>
        </row>
        <row r="1450">
          <cell r="Q1450" t="str">
            <v>Calculation of Taxable Income:.NA11</v>
          </cell>
          <cell r="R1450">
            <v>27212623.370171286</v>
          </cell>
        </row>
        <row r="1451">
          <cell r="Q1451" t="str">
            <v>Calculation of Taxable Income:.NA12</v>
          </cell>
          <cell r="R1451">
            <v>0</v>
          </cell>
        </row>
        <row r="1452">
          <cell r="Q1452" t="str">
            <v>Calculation of Taxable Income:.NA13</v>
          </cell>
          <cell r="R1452">
            <v>48055834.205239758</v>
          </cell>
        </row>
        <row r="1453">
          <cell r="Q1453" t="str">
            <v>Calculation of Taxable Income:.NA14</v>
          </cell>
          <cell r="R1453">
            <v>0</v>
          </cell>
        </row>
        <row r="1454">
          <cell r="Q1454" t="str">
            <v>Calculation of Taxable Income:.NA15</v>
          </cell>
          <cell r="R1454">
            <v>89725986.811090589</v>
          </cell>
        </row>
        <row r="1455">
          <cell r="Q1455" t="str">
            <v>Calculation of Taxable Income:.NA16</v>
          </cell>
          <cell r="R1455">
            <v>0</v>
          </cell>
        </row>
        <row r="1456">
          <cell r="Q1456" t="str">
            <v>Calculation of Taxable Income:.NA17</v>
          </cell>
          <cell r="R1456">
            <v>0</v>
          </cell>
        </row>
        <row r="1457">
          <cell r="Q1457" t="str">
            <v>Calculation of Taxable Income:.NA18</v>
          </cell>
          <cell r="R1457">
            <v>0</v>
          </cell>
        </row>
        <row r="1458">
          <cell r="Q1458" t="str">
            <v>Total Taxable Income.NA</v>
          </cell>
          <cell r="R1458">
            <v>89725986.811090589</v>
          </cell>
        </row>
        <row r="1459">
          <cell r="Q1459" t="str">
            <v>Total Taxable Income.NA1</v>
          </cell>
          <cell r="R1459">
            <v>0</v>
          </cell>
        </row>
        <row r="1460">
          <cell r="Q1460" t="str">
            <v>Tax Rate.NA</v>
          </cell>
          <cell r="R1460">
            <v>0.21</v>
          </cell>
        </row>
        <row r="1461">
          <cell r="Q1461" t="str">
            <v>Tax Rate.NA1</v>
          </cell>
          <cell r="R1461">
            <v>0</v>
          </cell>
        </row>
        <row r="1462">
          <cell r="Q1462" t="str">
            <v>Federal Income Tax - Calculated.NA</v>
          </cell>
          <cell r="R1462">
            <v>18842457.230329022</v>
          </cell>
        </row>
        <row r="1463">
          <cell r="Q1463" t="str">
            <v>Federal Income Tax - Calculated.NA1</v>
          </cell>
          <cell r="R1463">
            <v>0</v>
          </cell>
        </row>
        <row r="1464">
          <cell r="Q1464" t="str">
            <v>Adjustments to Calculated Tax:.NA</v>
          </cell>
          <cell r="R1464">
            <v>0</v>
          </cell>
        </row>
        <row r="1465">
          <cell r="Q1465" t="str">
            <v>40910.SE</v>
          </cell>
          <cell r="R1465">
            <v>0</v>
          </cell>
        </row>
        <row r="1466">
          <cell r="Q1466" t="str">
            <v>40910.JBE</v>
          </cell>
          <cell r="R1466">
            <v>-4183.73363893443</v>
          </cell>
        </row>
        <row r="1467">
          <cell r="Q1467" t="str">
            <v>40910.SO</v>
          </cell>
          <cell r="R1467">
            <v>-2781.7003929676239</v>
          </cell>
        </row>
        <row r="1468">
          <cell r="Q1468" t="str">
            <v>40910.SG</v>
          </cell>
          <cell r="R1468">
            <v>-15107365.283422492</v>
          </cell>
        </row>
        <row r="1469">
          <cell r="Q1469" t="str">
            <v>40910.CAGW</v>
          </cell>
          <cell r="R1469">
            <v>0</v>
          </cell>
        </row>
        <row r="1470">
          <cell r="Q1470" t="str">
            <v>40910.CAEE</v>
          </cell>
          <cell r="R1470">
            <v>0</v>
          </cell>
        </row>
        <row r="1471">
          <cell r="Q1471" t="str">
            <v>FEDERAL INCOME TAX.NA</v>
          </cell>
          <cell r="R1471">
            <v>3728126.5128746275</v>
          </cell>
        </row>
        <row r="1472">
          <cell r="Q1472" t="str">
            <v>FEDERAL INCOME TAX.NA1</v>
          </cell>
          <cell r="R1472">
            <v>0</v>
          </cell>
        </row>
        <row r="1473">
          <cell r="Q1473" t="str">
            <v>TOTAL OPERATING EXPENSES.NA</v>
          </cell>
          <cell r="R1473">
            <v>304496977.56360155</v>
          </cell>
        </row>
        <row r="1474">
          <cell r="Q1474" t="str">
            <v>310.NA</v>
          </cell>
          <cell r="R1474">
            <v>0</v>
          </cell>
        </row>
        <row r="1475">
          <cell r="Q1475" t="str">
            <v>310.DGP</v>
          </cell>
          <cell r="R1475">
            <v>0</v>
          </cell>
        </row>
        <row r="1476">
          <cell r="Q1476" t="str">
            <v>310.DGU</v>
          </cell>
          <cell r="R1476">
            <v>0</v>
          </cell>
        </row>
        <row r="1477">
          <cell r="Q1477" t="str">
            <v>310.SG</v>
          </cell>
          <cell r="R1477">
            <v>0</v>
          </cell>
        </row>
        <row r="1478">
          <cell r="Q1478" t="str">
            <v>310.CAGW</v>
          </cell>
          <cell r="R1478">
            <v>385939.21107992763</v>
          </cell>
        </row>
        <row r="1479">
          <cell r="Q1479" t="str">
            <v>310.CAGE</v>
          </cell>
          <cell r="R1479">
            <v>0</v>
          </cell>
        </row>
        <row r="1480">
          <cell r="Q1480" t="str">
            <v>310.JBG</v>
          </cell>
          <cell r="R1480">
            <v>257580.06455378761</v>
          </cell>
        </row>
        <row r="1481">
          <cell r="Q1481" t="str">
            <v>310.S</v>
          </cell>
          <cell r="R1481">
            <v>0</v>
          </cell>
        </row>
        <row r="1482">
          <cell r="Q1482" t="str">
            <v>310.CAGE1</v>
          </cell>
          <cell r="R1482">
            <v>0</v>
          </cell>
        </row>
        <row r="1483">
          <cell r="Q1483" t="str">
            <v>310.NA1</v>
          </cell>
          <cell r="R1483">
            <v>643519.27563371521</v>
          </cell>
        </row>
        <row r="1484">
          <cell r="Q1484" t="str">
            <v>310.NA2</v>
          </cell>
          <cell r="R1484">
            <v>0</v>
          </cell>
        </row>
        <row r="1485">
          <cell r="Q1485" t="str">
            <v>311.NA</v>
          </cell>
          <cell r="R1485">
            <v>0</v>
          </cell>
        </row>
        <row r="1486">
          <cell r="Q1486" t="str">
            <v>311.DGP</v>
          </cell>
          <cell r="R1486">
            <v>0</v>
          </cell>
        </row>
        <row r="1487">
          <cell r="Q1487" t="str">
            <v>311.DGU</v>
          </cell>
          <cell r="R1487">
            <v>0</v>
          </cell>
        </row>
        <row r="1488">
          <cell r="Q1488" t="str">
            <v>311.SG</v>
          </cell>
          <cell r="R1488">
            <v>0</v>
          </cell>
        </row>
        <row r="1489">
          <cell r="Q1489" t="str">
            <v>311.CAGW</v>
          </cell>
          <cell r="R1489">
            <v>13617809.5442557</v>
          </cell>
        </row>
        <row r="1490">
          <cell r="Q1490" t="str">
            <v>311.CAGE</v>
          </cell>
          <cell r="R1490">
            <v>0</v>
          </cell>
        </row>
        <row r="1491">
          <cell r="Q1491" t="str">
            <v>311.JBG</v>
          </cell>
          <cell r="R1491">
            <v>32158954.560471315</v>
          </cell>
        </row>
        <row r="1492">
          <cell r="Q1492" t="str">
            <v>311.CAGE1</v>
          </cell>
          <cell r="R1492">
            <v>0</v>
          </cell>
        </row>
        <row r="1493">
          <cell r="Q1493" t="str">
            <v>311.NA1</v>
          </cell>
          <cell r="R1493">
            <v>45776764.104727015</v>
          </cell>
        </row>
        <row r="1494">
          <cell r="Q1494" t="str">
            <v>311.NA2</v>
          </cell>
          <cell r="R1494">
            <v>0</v>
          </cell>
        </row>
        <row r="1495">
          <cell r="Q1495" t="str">
            <v>312.NA</v>
          </cell>
          <cell r="R1495">
            <v>0</v>
          </cell>
        </row>
        <row r="1496">
          <cell r="Q1496" t="str">
            <v>312.DGP</v>
          </cell>
          <cell r="R1496">
            <v>0</v>
          </cell>
        </row>
        <row r="1497">
          <cell r="Q1497" t="str">
            <v>312.DGU</v>
          </cell>
          <cell r="R1497">
            <v>0</v>
          </cell>
        </row>
        <row r="1498">
          <cell r="Q1498" t="str">
            <v>312.SG</v>
          </cell>
          <cell r="R1498">
            <v>12254273.458731979</v>
          </cell>
        </row>
        <row r="1499">
          <cell r="Q1499" t="str">
            <v>312.CAGW</v>
          </cell>
          <cell r="R1499">
            <v>628249.13569485024</v>
          </cell>
        </row>
        <row r="1500">
          <cell r="Q1500" t="str">
            <v>312.CAGE</v>
          </cell>
          <cell r="R1500">
            <v>0</v>
          </cell>
        </row>
        <row r="1501">
          <cell r="Q1501" t="str">
            <v>312.JBG</v>
          </cell>
          <cell r="R1501">
            <v>170013136.34682584</v>
          </cell>
        </row>
        <row r="1502">
          <cell r="Q1502" t="str">
            <v>312.S</v>
          </cell>
          <cell r="R1502">
            <v>-119616.25699999859</v>
          </cell>
        </row>
        <row r="1503">
          <cell r="Q1503" t="str">
            <v>312.NA1</v>
          </cell>
          <cell r="R1503">
            <v>182776042.68425268</v>
          </cell>
        </row>
        <row r="1504">
          <cell r="Q1504" t="str">
            <v>312.NA2</v>
          </cell>
          <cell r="R1504">
            <v>0</v>
          </cell>
        </row>
        <row r="1505">
          <cell r="Q1505" t="str">
            <v>314.NA</v>
          </cell>
          <cell r="R1505">
            <v>0</v>
          </cell>
        </row>
        <row r="1506">
          <cell r="Q1506" t="str">
            <v>314.DGP</v>
          </cell>
          <cell r="R1506">
            <v>0</v>
          </cell>
        </row>
        <row r="1507">
          <cell r="Q1507" t="str">
            <v>314.DGU</v>
          </cell>
          <cell r="R1507">
            <v>0</v>
          </cell>
        </row>
        <row r="1508">
          <cell r="Q1508" t="str">
            <v>314.SG</v>
          </cell>
          <cell r="R1508">
            <v>0</v>
          </cell>
        </row>
        <row r="1509">
          <cell r="Q1509" t="str">
            <v>314.CAGW</v>
          </cell>
          <cell r="R1509">
            <v>8411544.4657448363</v>
          </cell>
        </row>
        <row r="1510">
          <cell r="Q1510" t="str">
            <v>314.CAGE</v>
          </cell>
          <cell r="R1510">
            <v>0</v>
          </cell>
        </row>
        <row r="1511">
          <cell r="Q1511" t="str">
            <v>314.JBG</v>
          </cell>
          <cell r="R1511">
            <v>44486336.313749619</v>
          </cell>
        </row>
        <row r="1512">
          <cell r="Q1512" t="str">
            <v>314.CAGE1</v>
          </cell>
          <cell r="R1512">
            <v>0</v>
          </cell>
        </row>
        <row r="1513">
          <cell r="Q1513" t="str">
            <v>314.NA1</v>
          </cell>
          <cell r="R1513">
            <v>52897880.779494457</v>
          </cell>
        </row>
        <row r="1514">
          <cell r="Q1514" t="str">
            <v>314.NA2</v>
          </cell>
          <cell r="R1514">
            <v>0</v>
          </cell>
        </row>
        <row r="1515">
          <cell r="Q1515" t="str">
            <v>315.NA</v>
          </cell>
          <cell r="R1515">
            <v>0</v>
          </cell>
        </row>
        <row r="1516">
          <cell r="Q1516" t="str">
            <v>315.DGP</v>
          </cell>
          <cell r="R1516">
            <v>0</v>
          </cell>
        </row>
        <row r="1517">
          <cell r="Q1517" t="str">
            <v>315.DGU</v>
          </cell>
          <cell r="R1517">
            <v>0</v>
          </cell>
        </row>
        <row r="1518">
          <cell r="Q1518" t="str">
            <v>315.SG</v>
          </cell>
          <cell r="R1518">
            <v>0</v>
          </cell>
        </row>
        <row r="1519">
          <cell r="Q1519" t="str">
            <v>315.CAGW</v>
          </cell>
          <cell r="R1519">
            <v>2020188.2665008439</v>
          </cell>
        </row>
        <row r="1520">
          <cell r="Q1520" t="str">
            <v>315.CAGE</v>
          </cell>
          <cell r="R1520">
            <v>0</v>
          </cell>
        </row>
        <row r="1521">
          <cell r="Q1521" t="str">
            <v>315.JBG</v>
          </cell>
          <cell r="R1521">
            <v>13147103.839471312</v>
          </cell>
        </row>
        <row r="1522">
          <cell r="Q1522" t="str">
            <v>315.CAGE1</v>
          </cell>
          <cell r="R1522">
            <v>0</v>
          </cell>
        </row>
        <row r="1523">
          <cell r="Q1523" t="str">
            <v>315.NA1</v>
          </cell>
          <cell r="R1523">
            <v>15167292.105972156</v>
          </cell>
        </row>
        <row r="1524">
          <cell r="Q1524" t="str">
            <v>315.NA2</v>
          </cell>
          <cell r="R1524">
            <v>0</v>
          </cell>
        </row>
        <row r="1525">
          <cell r="Q1525" t="str">
            <v>315.NA3</v>
          </cell>
          <cell r="R1525">
            <v>0</v>
          </cell>
        </row>
        <row r="1526">
          <cell r="Q1526" t="str">
            <v>315.NA4</v>
          </cell>
          <cell r="R1526">
            <v>0</v>
          </cell>
        </row>
        <row r="1527">
          <cell r="Q1527" t="str">
            <v>316.NA</v>
          </cell>
          <cell r="R1527">
            <v>0</v>
          </cell>
        </row>
        <row r="1528">
          <cell r="Q1528" t="str">
            <v>316.DGP</v>
          </cell>
          <cell r="R1528">
            <v>0</v>
          </cell>
        </row>
        <row r="1529">
          <cell r="Q1529" t="str">
            <v>316.DGU</v>
          </cell>
          <cell r="R1529">
            <v>0</v>
          </cell>
        </row>
        <row r="1530">
          <cell r="Q1530" t="str">
            <v>316.SG</v>
          </cell>
          <cell r="R1530">
            <v>0</v>
          </cell>
        </row>
        <row r="1531">
          <cell r="Q1531" t="str">
            <v>316.CAGW</v>
          </cell>
          <cell r="R1531">
            <v>93803.462205674878</v>
          </cell>
        </row>
        <row r="1532">
          <cell r="Q1532" t="str">
            <v>316.CAGE</v>
          </cell>
          <cell r="R1532">
            <v>0</v>
          </cell>
        </row>
        <row r="1533">
          <cell r="Q1533" t="str">
            <v>316.JBG</v>
          </cell>
          <cell r="R1533">
            <v>1112270.5031941724</v>
          </cell>
        </row>
        <row r="1534">
          <cell r="Q1534" t="str">
            <v>316.CAGE1</v>
          </cell>
          <cell r="R1534">
            <v>0</v>
          </cell>
        </row>
        <row r="1535">
          <cell r="Q1535" t="str">
            <v>316.NA1</v>
          </cell>
          <cell r="R1535">
            <v>1206073.9653998474</v>
          </cell>
        </row>
        <row r="1536">
          <cell r="Q1536" t="str">
            <v>316.NA2</v>
          </cell>
          <cell r="R1536">
            <v>0</v>
          </cell>
        </row>
        <row r="1537">
          <cell r="Q1537" t="str">
            <v>317.NA</v>
          </cell>
          <cell r="R1537">
            <v>0</v>
          </cell>
        </row>
        <row r="1538">
          <cell r="Q1538" t="str">
            <v>317.S</v>
          </cell>
          <cell r="R1538">
            <v>0</v>
          </cell>
        </row>
        <row r="1539">
          <cell r="Q1539" t="str">
            <v>317.NA1</v>
          </cell>
          <cell r="R1539">
            <v>0</v>
          </cell>
        </row>
        <row r="1540">
          <cell r="Q1540" t="str">
            <v>317.NA2</v>
          </cell>
          <cell r="R1540">
            <v>0</v>
          </cell>
        </row>
        <row r="1541">
          <cell r="Q1541" t="str">
            <v>SP.NA</v>
          </cell>
          <cell r="R1541">
            <v>0</v>
          </cell>
        </row>
        <row r="1542">
          <cell r="Q1542" t="str">
            <v>SP.CAGW</v>
          </cell>
          <cell r="R1542">
            <v>119359.20448769673</v>
          </cell>
        </row>
        <row r="1543">
          <cell r="Q1543" t="str">
            <v>SP.CAGE</v>
          </cell>
          <cell r="R1543">
            <v>0</v>
          </cell>
        </row>
        <row r="1544">
          <cell r="Q1544" t="str">
            <v>SP.SG</v>
          </cell>
          <cell r="R1544">
            <v>5458415.1155470908</v>
          </cell>
        </row>
        <row r="1545">
          <cell r="Q1545" t="str">
            <v>SP.NA1</v>
          </cell>
          <cell r="R1545">
            <v>5577774.3200347871</v>
          </cell>
        </row>
        <row r="1546">
          <cell r="Q1546" t="str">
            <v>SP.NA2</v>
          </cell>
          <cell r="R1546">
            <v>0</v>
          </cell>
        </row>
        <row r="1547">
          <cell r="Q1547" t="str">
            <v>SP.NA3</v>
          </cell>
          <cell r="R1547">
            <v>0</v>
          </cell>
        </row>
        <row r="1548">
          <cell r="Q1548" t="str">
            <v>Total Steam Production Plant.NA</v>
          </cell>
          <cell r="R1548">
            <v>304045347.23551464</v>
          </cell>
        </row>
        <row r="1549">
          <cell r="Q1549" t="str">
            <v>Total Steam Production Plant.NA1</v>
          </cell>
          <cell r="R1549">
            <v>0</v>
          </cell>
        </row>
        <row r="1550">
          <cell r="Q1550" t="str">
            <v>Total Steam Production Plant.NA2</v>
          </cell>
          <cell r="R1550">
            <v>0</v>
          </cell>
        </row>
        <row r="1551">
          <cell r="Q1551" t="str">
            <v>Summary of Steam Production Plant by Factor.NA</v>
          </cell>
          <cell r="R1551">
            <v>0</v>
          </cell>
        </row>
        <row r="1552">
          <cell r="Q1552" t="str">
            <v>Summary of Steam Production Plant by Factor.NA1</v>
          </cell>
          <cell r="R1552">
            <v>-119616.25699999859</v>
          </cell>
        </row>
        <row r="1553">
          <cell r="Q1553" t="str">
            <v>Summary of Steam Production Plant by Factor.NA2</v>
          </cell>
          <cell r="R1553">
            <v>261175381.62826604</v>
          </cell>
        </row>
        <row r="1554">
          <cell r="Q1554" t="str">
            <v>Summary of Steam Production Plant by Factor.NA3</v>
          </cell>
          <cell r="R1554">
            <v>0</v>
          </cell>
        </row>
        <row r="1555">
          <cell r="Q1555" t="str">
            <v>Summary of Steam Production Plant by Factor.NA4</v>
          </cell>
          <cell r="R1555">
            <v>17712688.57427907</v>
          </cell>
        </row>
        <row r="1556">
          <cell r="Q1556" t="str">
            <v>Summary of Steam Production Plant by Factor.NA5</v>
          </cell>
          <cell r="R1556">
            <v>25276893.28996953</v>
          </cell>
        </row>
        <row r="1557">
          <cell r="Q1557" t="str">
            <v>Summary of Steam Production Plant by Factor.NA6</v>
          </cell>
          <cell r="R1557">
            <v>0</v>
          </cell>
        </row>
        <row r="1558">
          <cell r="Q1558" t="str">
            <v>Summary of Steam Production Plant by Factor.NA7</v>
          </cell>
          <cell r="R1558">
            <v>0</v>
          </cell>
        </row>
        <row r="1559">
          <cell r="Q1559" t="str">
            <v>Total Steam Production Plant by Factor.NA</v>
          </cell>
          <cell r="R1559">
            <v>304045347.23551458</v>
          </cell>
        </row>
        <row r="1560">
          <cell r="Q1560" t="str">
            <v>320.NA</v>
          </cell>
          <cell r="R1560">
            <v>0</v>
          </cell>
        </row>
        <row r="1561">
          <cell r="Q1561" t="str">
            <v>320.DGP</v>
          </cell>
          <cell r="R1561">
            <v>0</v>
          </cell>
        </row>
        <row r="1562">
          <cell r="Q1562" t="str">
            <v>320.SG</v>
          </cell>
          <cell r="R1562">
            <v>0</v>
          </cell>
        </row>
        <row r="1563">
          <cell r="Q1563" t="str">
            <v>320.NA1</v>
          </cell>
          <cell r="R1563">
            <v>0</v>
          </cell>
        </row>
        <row r="1564">
          <cell r="Q1564" t="str">
            <v>320.NA2</v>
          </cell>
          <cell r="R1564">
            <v>0</v>
          </cell>
        </row>
        <row r="1565">
          <cell r="Q1565" t="str">
            <v>321.NA</v>
          </cell>
          <cell r="R1565">
            <v>0</v>
          </cell>
        </row>
        <row r="1566">
          <cell r="Q1566" t="str">
            <v>321.DGP</v>
          </cell>
          <cell r="R1566">
            <v>0</v>
          </cell>
        </row>
        <row r="1567">
          <cell r="Q1567" t="str">
            <v>321.SG</v>
          </cell>
          <cell r="R1567">
            <v>0</v>
          </cell>
        </row>
        <row r="1568">
          <cell r="Q1568" t="str">
            <v>321.NA1</v>
          </cell>
          <cell r="R1568">
            <v>0</v>
          </cell>
        </row>
        <row r="1569">
          <cell r="Q1569" t="str">
            <v>321.NA2</v>
          </cell>
          <cell r="R1569">
            <v>0</v>
          </cell>
        </row>
        <row r="1570">
          <cell r="Q1570" t="str">
            <v>322.NA</v>
          </cell>
          <cell r="R1570">
            <v>0</v>
          </cell>
        </row>
        <row r="1571">
          <cell r="Q1571" t="str">
            <v>322.DGP</v>
          </cell>
          <cell r="R1571">
            <v>0</v>
          </cell>
        </row>
        <row r="1572">
          <cell r="Q1572" t="str">
            <v>322.SG</v>
          </cell>
          <cell r="R1572">
            <v>0</v>
          </cell>
        </row>
        <row r="1573">
          <cell r="Q1573" t="str">
            <v>322.NA1</v>
          </cell>
          <cell r="R1573">
            <v>0</v>
          </cell>
        </row>
        <row r="1574">
          <cell r="Q1574" t="str">
            <v>322.NA2</v>
          </cell>
          <cell r="R1574">
            <v>0</v>
          </cell>
        </row>
        <row r="1575">
          <cell r="Q1575" t="str">
            <v>323.NA</v>
          </cell>
          <cell r="R1575">
            <v>0</v>
          </cell>
        </row>
        <row r="1576">
          <cell r="Q1576" t="str">
            <v>323.DGP</v>
          </cell>
          <cell r="R1576">
            <v>0</v>
          </cell>
        </row>
        <row r="1577">
          <cell r="Q1577" t="str">
            <v>323.SG</v>
          </cell>
          <cell r="R1577">
            <v>0</v>
          </cell>
        </row>
        <row r="1578">
          <cell r="Q1578" t="str">
            <v>323.NA1</v>
          </cell>
          <cell r="R1578">
            <v>0</v>
          </cell>
        </row>
        <row r="1579">
          <cell r="Q1579" t="str">
            <v>323.NA2</v>
          </cell>
          <cell r="R1579">
            <v>0</v>
          </cell>
        </row>
        <row r="1580">
          <cell r="Q1580" t="str">
            <v>324.NA</v>
          </cell>
          <cell r="R1580">
            <v>0</v>
          </cell>
        </row>
        <row r="1581">
          <cell r="Q1581" t="str">
            <v>324.DGP</v>
          </cell>
          <cell r="R1581">
            <v>0</v>
          </cell>
        </row>
        <row r="1582">
          <cell r="Q1582" t="str">
            <v>324.SG</v>
          </cell>
          <cell r="R1582">
            <v>0</v>
          </cell>
        </row>
        <row r="1583">
          <cell r="Q1583" t="str">
            <v>324.NA1</v>
          </cell>
          <cell r="R1583">
            <v>0</v>
          </cell>
        </row>
        <row r="1584">
          <cell r="Q1584" t="str">
            <v>324.NA2</v>
          </cell>
          <cell r="R1584">
            <v>0</v>
          </cell>
        </row>
        <row r="1585">
          <cell r="Q1585" t="str">
            <v>325.NA</v>
          </cell>
          <cell r="R1585">
            <v>0</v>
          </cell>
        </row>
        <row r="1586">
          <cell r="Q1586" t="str">
            <v>325.DGP</v>
          </cell>
          <cell r="R1586">
            <v>0</v>
          </cell>
        </row>
        <row r="1587">
          <cell r="Q1587" t="str">
            <v>325.SG</v>
          </cell>
          <cell r="R1587">
            <v>0</v>
          </cell>
        </row>
        <row r="1588">
          <cell r="Q1588" t="str">
            <v>325.NA1</v>
          </cell>
          <cell r="R1588">
            <v>0</v>
          </cell>
        </row>
        <row r="1589">
          <cell r="Q1589" t="str">
            <v>325.NA2</v>
          </cell>
          <cell r="R1589">
            <v>0</v>
          </cell>
        </row>
        <row r="1590">
          <cell r="Q1590" t="str">
            <v>325.NA3</v>
          </cell>
          <cell r="R1590">
            <v>0</v>
          </cell>
        </row>
        <row r="1591">
          <cell r="Q1591" t="str">
            <v>NP.NA</v>
          </cell>
          <cell r="R1591">
            <v>0</v>
          </cell>
        </row>
        <row r="1592">
          <cell r="Q1592" t="str">
            <v>NP.SG</v>
          </cell>
          <cell r="R1592">
            <v>0</v>
          </cell>
        </row>
        <row r="1593">
          <cell r="Q1593" t="str">
            <v>NP.NA1</v>
          </cell>
          <cell r="R1593">
            <v>0</v>
          </cell>
        </row>
        <row r="1594">
          <cell r="Q1594" t="str">
            <v>NP.NA2</v>
          </cell>
          <cell r="R1594">
            <v>0</v>
          </cell>
        </row>
        <row r="1595">
          <cell r="Q1595" t="str">
            <v>NP.NA3</v>
          </cell>
          <cell r="R1595">
            <v>0</v>
          </cell>
        </row>
        <row r="1596">
          <cell r="Q1596" t="str">
            <v>Total Nuclear Production Plant.NA</v>
          </cell>
          <cell r="R1596">
            <v>0</v>
          </cell>
        </row>
        <row r="1597">
          <cell r="Q1597" t="str">
            <v>Total Nuclear Production Plant.NA1</v>
          </cell>
          <cell r="R1597">
            <v>0</v>
          </cell>
        </row>
        <row r="1598">
          <cell r="Q1598" t="str">
            <v>Total Nuclear Production Plant.NA2</v>
          </cell>
          <cell r="R1598">
            <v>0</v>
          </cell>
        </row>
        <row r="1599">
          <cell r="Q1599" t="str">
            <v>Total Nuclear Production Plant.NA3</v>
          </cell>
          <cell r="R1599">
            <v>0</v>
          </cell>
        </row>
        <row r="1600">
          <cell r="Q1600" t="str">
            <v>Summary of Nuclear Production Plant by Factor.NA</v>
          </cell>
          <cell r="R1600">
            <v>0</v>
          </cell>
        </row>
        <row r="1601">
          <cell r="Q1601" t="str">
            <v>Summary of Nuclear Production Plant by Factor.NA1</v>
          </cell>
          <cell r="R1601">
            <v>0</v>
          </cell>
        </row>
        <row r="1602">
          <cell r="Q1602" t="str">
            <v>Summary of Nuclear Production Plant by Factor.NA2</v>
          </cell>
          <cell r="R1602">
            <v>0</v>
          </cell>
        </row>
        <row r="1603">
          <cell r="Q1603" t="str">
            <v>Summary of Nuclear Production Plant by Factor.NA3</v>
          </cell>
          <cell r="R1603">
            <v>0</v>
          </cell>
        </row>
        <row r="1604">
          <cell r="Q1604" t="str">
            <v>Summary of Nuclear Production Plant by Factor.NA4</v>
          </cell>
          <cell r="R1604">
            <v>0</v>
          </cell>
        </row>
        <row r="1605">
          <cell r="Q1605" t="str">
            <v>Total Nuclear Plant by Factor.NA</v>
          </cell>
          <cell r="R1605">
            <v>0</v>
          </cell>
        </row>
        <row r="1606">
          <cell r="Q1606" t="str">
            <v>Total Nuclear Plant by Factor.NA1</v>
          </cell>
          <cell r="R1606">
            <v>0</v>
          </cell>
        </row>
        <row r="1607">
          <cell r="Q1607" t="str">
            <v>330.NA</v>
          </cell>
          <cell r="R1607">
            <v>0</v>
          </cell>
        </row>
        <row r="1608">
          <cell r="Q1608" t="str">
            <v>330.DGP</v>
          </cell>
          <cell r="R1608">
            <v>0</v>
          </cell>
        </row>
        <row r="1609">
          <cell r="Q1609" t="str">
            <v>330.DGU</v>
          </cell>
          <cell r="R1609">
            <v>0</v>
          </cell>
        </row>
        <row r="1610">
          <cell r="Q1610" t="str">
            <v>330.CAGW</v>
          </cell>
          <cell r="R1610">
            <v>6422856.4128183629</v>
          </cell>
        </row>
        <row r="1611">
          <cell r="Q1611" t="str">
            <v>330.CAGE</v>
          </cell>
          <cell r="R1611">
            <v>0</v>
          </cell>
        </row>
        <row r="1612">
          <cell r="Q1612" t="str">
            <v>330.SG</v>
          </cell>
          <cell r="R1612">
            <v>0</v>
          </cell>
        </row>
        <row r="1613">
          <cell r="Q1613" t="str">
            <v>330.CAGE1</v>
          </cell>
          <cell r="R1613">
            <v>0</v>
          </cell>
        </row>
        <row r="1614">
          <cell r="Q1614" t="str">
            <v>330.NA1</v>
          </cell>
          <cell r="R1614">
            <v>6422856.4128183629</v>
          </cell>
        </row>
        <row r="1615">
          <cell r="Q1615" t="str">
            <v>330.NA2</v>
          </cell>
          <cell r="R1615">
            <v>0</v>
          </cell>
        </row>
        <row r="1616">
          <cell r="Q1616" t="str">
            <v>331.NA</v>
          </cell>
          <cell r="R1616">
            <v>0</v>
          </cell>
        </row>
        <row r="1617">
          <cell r="Q1617" t="str">
            <v>331.DGP</v>
          </cell>
          <cell r="R1617">
            <v>0</v>
          </cell>
        </row>
        <row r="1618">
          <cell r="Q1618" t="str">
            <v>331.DGU</v>
          </cell>
          <cell r="R1618">
            <v>0</v>
          </cell>
        </row>
        <row r="1619">
          <cell r="Q1619" t="str">
            <v>331.CAGW</v>
          </cell>
          <cell r="R1619">
            <v>56204825.082762524</v>
          </cell>
        </row>
        <row r="1620">
          <cell r="Q1620" t="str">
            <v>331.CAGE</v>
          </cell>
          <cell r="R1620">
            <v>0</v>
          </cell>
        </row>
        <row r="1621">
          <cell r="Q1621" t="str">
            <v>331.SG</v>
          </cell>
          <cell r="R1621">
            <v>0</v>
          </cell>
        </row>
        <row r="1622">
          <cell r="Q1622" t="str">
            <v>331.CAGE1</v>
          </cell>
          <cell r="R1622">
            <v>0</v>
          </cell>
        </row>
        <row r="1623">
          <cell r="Q1623" t="str">
            <v>331.NA1</v>
          </cell>
          <cell r="R1623">
            <v>56204825.082762524</v>
          </cell>
        </row>
        <row r="1624">
          <cell r="Q1624" t="str">
            <v>331.NA2</v>
          </cell>
          <cell r="R1624">
            <v>0</v>
          </cell>
        </row>
        <row r="1625">
          <cell r="Q1625" t="str">
            <v>332.NA</v>
          </cell>
          <cell r="R1625">
            <v>0</v>
          </cell>
        </row>
        <row r="1626">
          <cell r="Q1626" t="str">
            <v>332.DGP</v>
          </cell>
          <cell r="R1626">
            <v>0</v>
          </cell>
        </row>
        <row r="1627">
          <cell r="Q1627" t="str">
            <v>332.DGU</v>
          </cell>
          <cell r="R1627">
            <v>0</v>
          </cell>
        </row>
        <row r="1628">
          <cell r="Q1628" t="str">
            <v>332.CAGW</v>
          </cell>
          <cell r="R1628">
            <v>-82295268.893616006</v>
          </cell>
        </row>
        <row r="1629">
          <cell r="Q1629" t="str">
            <v>332.CAGE</v>
          </cell>
          <cell r="R1629">
            <v>0</v>
          </cell>
        </row>
        <row r="1630">
          <cell r="Q1630" t="str">
            <v>332.SG</v>
          </cell>
          <cell r="R1630">
            <v>80540695.980197445</v>
          </cell>
        </row>
        <row r="1631">
          <cell r="Q1631" t="str">
            <v>332.CAGE1</v>
          </cell>
          <cell r="R1631">
            <v>0</v>
          </cell>
        </row>
        <row r="1632">
          <cell r="Q1632" t="str">
            <v>332.NA1</v>
          </cell>
          <cell r="R1632">
            <v>-1754572.9134185612</v>
          </cell>
        </row>
        <row r="1633">
          <cell r="Q1633" t="str">
            <v>332.NA2</v>
          </cell>
          <cell r="R1633">
            <v>0</v>
          </cell>
        </row>
        <row r="1634">
          <cell r="Q1634" t="str">
            <v>333.NA</v>
          </cell>
          <cell r="R1634">
            <v>0</v>
          </cell>
        </row>
        <row r="1635">
          <cell r="Q1635" t="str">
            <v>333.DGP</v>
          </cell>
          <cell r="R1635">
            <v>0</v>
          </cell>
        </row>
        <row r="1636">
          <cell r="Q1636" t="str">
            <v>333.DGU</v>
          </cell>
          <cell r="R1636">
            <v>0</v>
          </cell>
        </row>
        <row r="1637">
          <cell r="Q1637" t="str">
            <v>333.CAGW</v>
          </cell>
          <cell r="R1637">
            <v>19737628.463180393</v>
          </cell>
        </row>
        <row r="1638">
          <cell r="Q1638" t="str">
            <v>333.CAGE</v>
          </cell>
          <cell r="R1638">
            <v>0</v>
          </cell>
        </row>
        <row r="1639">
          <cell r="Q1639" t="str">
            <v>333.SG</v>
          </cell>
          <cell r="R1639">
            <v>0</v>
          </cell>
        </row>
        <row r="1640">
          <cell r="Q1640" t="str">
            <v>333.CAGE1</v>
          </cell>
          <cell r="R1640">
            <v>0</v>
          </cell>
        </row>
        <row r="1641">
          <cell r="Q1641" t="str">
            <v>333.NA1</v>
          </cell>
          <cell r="R1641">
            <v>19737628.463180393</v>
          </cell>
        </row>
        <row r="1642">
          <cell r="Q1642" t="str">
            <v>333.NA2</v>
          </cell>
          <cell r="R1642">
            <v>0</v>
          </cell>
        </row>
        <row r="1643">
          <cell r="Q1643" t="str">
            <v>334.NA</v>
          </cell>
          <cell r="R1643">
            <v>0</v>
          </cell>
        </row>
        <row r="1644">
          <cell r="Q1644" t="str">
            <v>334.DGP</v>
          </cell>
          <cell r="R1644">
            <v>0</v>
          </cell>
        </row>
        <row r="1645">
          <cell r="Q1645" t="str">
            <v>334.DGU</v>
          </cell>
          <cell r="R1645">
            <v>0</v>
          </cell>
        </row>
        <row r="1646">
          <cell r="Q1646" t="str">
            <v>334.CAGW</v>
          </cell>
          <cell r="R1646">
            <v>15056808.532999992</v>
          </cell>
        </row>
        <row r="1647">
          <cell r="Q1647" t="str">
            <v>334.CAGE</v>
          </cell>
          <cell r="R1647">
            <v>0</v>
          </cell>
        </row>
        <row r="1648">
          <cell r="Q1648" t="str">
            <v>334.SG</v>
          </cell>
          <cell r="R1648">
            <v>0</v>
          </cell>
        </row>
        <row r="1649">
          <cell r="Q1649" t="str">
            <v>334.CAGE1</v>
          </cell>
          <cell r="R1649">
            <v>0</v>
          </cell>
        </row>
        <row r="1650">
          <cell r="Q1650" t="str">
            <v>334.NA1</v>
          </cell>
          <cell r="R1650">
            <v>15056808.532999992</v>
          </cell>
        </row>
        <row r="1651">
          <cell r="Q1651" t="str">
            <v>334.NA2</v>
          </cell>
          <cell r="R1651">
            <v>0</v>
          </cell>
        </row>
        <row r="1652">
          <cell r="Q1652" t="str">
            <v>334.NA3</v>
          </cell>
          <cell r="R1652">
            <v>0</v>
          </cell>
        </row>
        <row r="1653">
          <cell r="Q1653" t="str">
            <v>334.NA4</v>
          </cell>
          <cell r="R1653">
            <v>0</v>
          </cell>
        </row>
        <row r="1654">
          <cell r="Q1654" t="str">
            <v>335.NA</v>
          </cell>
          <cell r="R1654">
            <v>0</v>
          </cell>
        </row>
        <row r="1655">
          <cell r="Q1655" t="str">
            <v>335.DGP</v>
          </cell>
          <cell r="R1655">
            <v>0</v>
          </cell>
        </row>
        <row r="1656">
          <cell r="Q1656" t="str">
            <v>335.DGU</v>
          </cell>
          <cell r="R1656">
            <v>0</v>
          </cell>
        </row>
        <row r="1657">
          <cell r="Q1657" t="str">
            <v>335.CAGW</v>
          </cell>
          <cell r="R1657">
            <v>495321.06553625216</v>
          </cell>
        </row>
        <row r="1658">
          <cell r="Q1658" t="str">
            <v>335.CAGE</v>
          </cell>
          <cell r="R1658">
            <v>0</v>
          </cell>
        </row>
        <row r="1659">
          <cell r="Q1659" t="str">
            <v>335.SG</v>
          </cell>
          <cell r="R1659">
            <v>0</v>
          </cell>
        </row>
        <row r="1660">
          <cell r="Q1660" t="str">
            <v>335.CAGE1</v>
          </cell>
          <cell r="R1660">
            <v>0</v>
          </cell>
        </row>
        <row r="1661">
          <cell r="Q1661" t="str">
            <v>335.NA1</v>
          </cell>
          <cell r="R1661">
            <v>495321.06553625216</v>
          </cell>
        </row>
        <row r="1662">
          <cell r="Q1662" t="str">
            <v>335.NA2</v>
          </cell>
          <cell r="R1662">
            <v>0</v>
          </cell>
        </row>
        <row r="1663">
          <cell r="Q1663" t="str">
            <v>336.NA</v>
          </cell>
          <cell r="R1663">
            <v>0</v>
          </cell>
        </row>
        <row r="1664">
          <cell r="Q1664" t="str">
            <v>336.DGP</v>
          </cell>
          <cell r="R1664">
            <v>0</v>
          </cell>
        </row>
        <row r="1665">
          <cell r="Q1665" t="str">
            <v>336.DGU</v>
          </cell>
          <cell r="R1665">
            <v>0</v>
          </cell>
        </row>
        <row r="1666">
          <cell r="Q1666" t="str">
            <v>336.CAGW</v>
          </cell>
          <cell r="R1666">
            <v>4799120.0052153217</v>
          </cell>
        </row>
        <row r="1667">
          <cell r="Q1667" t="str">
            <v>336.CAGE</v>
          </cell>
          <cell r="R1667">
            <v>0</v>
          </cell>
        </row>
        <row r="1668">
          <cell r="Q1668" t="str">
            <v>336.SG</v>
          </cell>
          <cell r="R1668">
            <v>0</v>
          </cell>
        </row>
        <row r="1669">
          <cell r="Q1669" t="str">
            <v>336.CAGE1</v>
          </cell>
          <cell r="R1669">
            <v>0</v>
          </cell>
        </row>
        <row r="1670">
          <cell r="Q1670" t="str">
            <v>336.NA1</v>
          </cell>
          <cell r="R1670">
            <v>4799120.0052153217</v>
          </cell>
        </row>
        <row r="1671">
          <cell r="Q1671" t="str">
            <v>336.NA2</v>
          </cell>
          <cell r="R1671">
            <v>0</v>
          </cell>
        </row>
        <row r="1672">
          <cell r="Q1672" t="str">
            <v>337.NA</v>
          </cell>
          <cell r="R1672">
            <v>0</v>
          </cell>
        </row>
        <row r="1673">
          <cell r="Q1673" t="str">
            <v>337.S</v>
          </cell>
          <cell r="R1673">
            <v>0</v>
          </cell>
        </row>
        <row r="1674">
          <cell r="Q1674" t="str">
            <v>337.NA1</v>
          </cell>
          <cell r="R1674">
            <v>0</v>
          </cell>
        </row>
        <row r="1675">
          <cell r="Q1675" t="str">
            <v>337.NA2</v>
          </cell>
          <cell r="R1675">
            <v>0</v>
          </cell>
        </row>
        <row r="1676">
          <cell r="Q1676" t="str">
            <v>HP.NA</v>
          </cell>
          <cell r="R1676">
            <v>0</v>
          </cell>
        </row>
        <row r="1677">
          <cell r="Q1677" t="str">
            <v>HP.S</v>
          </cell>
          <cell r="R1677">
            <v>0</v>
          </cell>
        </row>
        <row r="1678">
          <cell r="Q1678" t="str">
            <v>HP.DGU</v>
          </cell>
          <cell r="R1678">
            <v>0</v>
          </cell>
        </row>
        <row r="1679">
          <cell r="Q1679" t="str">
            <v>HP.CAGW</v>
          </cell>
          <cell r="R1679">
            <v>0</v>
          </cell>
        </row>
        <row r="1680">
          <cell r="Q1680" t="str">
            <v>HP.CAGE</v>
          </cell>
          <cell r="R1680">
            <v>0</v>
          </cell>
        </row>
        <row r="1681">
          <cell r="Q1681" t="str">
            <v>HP.SG</v>
          </cell>
          <cell r="R1681">
            <v>0</v>
          </cell>
        </row>
        <row r="1682">
          <cell r="Q1682" t="str">
            <v>HP.CAGE1</v>
          </cell>
          <cell r="R1682">
            <v>0</v>
          </cell>
        </row>
        <row r="1683">
          <cell r="Q1683" t="str">
            <v>HP.NA1</v>
          </cell>
          <cell r="R1683">
            <v>0</v>
          </cell>
        </row>
        <row r="1684">
          <cell r="Q1684" t="str">
            <v>HP.NA2</v>
          </cell>
          <cell r="R1684">
            <v>0</v>
          </cell>
        </row>
        <row r="1685">
          <cell r="Q1685" t="str">
            <v>Total Hydraulic Plant.NA</v>
          </cell>
          <cell r="R1685">
            <v>100961986.64909427</v>
          </cell>
        </row>
        <row r="1686">
          <cell r="Q1686" t="str">
            <v>Total Hydraulic Plant.NA1</v>
          </cell>
          <cell r="R1686">
            <v>0</v>
          </cell>
        </row>
        <row r="1687">
          <cell r="Q1687" t="str">
            <v>Summary of Hydraulic Plant by Factor.NA</v>
          </cell>
          <cell r="R1687">
            <v>0</v>
          </cell>
        </row>
        <row r="1688">
          <cell r="Q1688" t="str">
            <v>Summary of Hydraulic Plant by Factor.NA1</v>
          </cell>
          <cell r="R1688">
            <v>0</v>
          </cell>
        </row>
        <row r="1689">
          <cell r="Q1689" t="str">
            <v>Summary of Hydraulic Plant by Factor.NA2</v>
          </cell>
          <cell r="R1689">
            <v>80540695.980197445</v>
          </cell>
        </row>
        <row r="1690">
          <cell r="Q1690" t="str">
            <v>Summary of Hydraulic Plant by Factor.NA3</v>
          </cell>
          <cell r="R1690">
            <v>20421290.668896843</v>
          </cell>
        </row>
        <row r="1691">
          <cell r="Q1691" t="str">
            <v>Summary of Hydraulic Plant by Factor.NA4</v>
          </cell>
          <cell r="R1691">
            <v>0</v>
          </cell>
        </row>
        <row r="1692">
          <cell r="Q1692" t="str">
            <v>Summary of Hydraulic Plant by Factor.NA5</v>
          </cell>
          <cell r="R1692">
            <v>0</v>
          </cell>
        </row>
        <row r="1693">
          <cell r="Q1693" t="str">
            <v>Summary of Hydraulic Plant by Factor.NA6</v>
          </cell>
          <cell r="R1693">
            <v>0</v>
          </cell>
        </row>
        <row r="1694">
          <cell r="Q1694" t="str">
            <v>Total Hydraulic Plant by Factor.NA</v>
          </cell>
          <cell r="R1694">
            <v>100961986.64909428</v>
          </cell>
        </row>
        <row r="1695">
          <cell r="Q1695" t="str">
            <v>Total Hydraulic Plant by Factor.NA1</v>
          </cell>
          <cell r="R1695">
            <v>0</v>
          </cell>
        </row>
        <row r="1696">
          <cell r="Q1696" t="str">
            <v>340.NA</v>
          </cell>
          <cell r="R1696">
            <v>0</v>
          </cell>
        </row>
        <row r="1697">
          <cell r="Q1697" t="str">
            <v>340.S</v>
          </cell>
          <cell r="R1697">
            <v>0</v>
          </cell>
        </row>
        <row r="1698">
          <cell r="Q1698" t="str">
            <v>340.SG</v>
          </cell>
          <cell r="R1698">
            <v>0</v>
          </cell>
        </row>
        <row r="1699">
          <cell r="Q1699" t="str">
            <v>340.DGU</v>
          </cell>
          <cell r="R1699">
            <v>0</v>
          </cell>
        </row>
        <row r="1700">
          <cell r="Q1700" t="str">
            <v>340.CAGW</v>
          </cell>
          <cell r="R1700">
            <v>976897.80883704626</v>
          </cell>
        </row>
        <row r="1701">
          <cell r="Q1701" t="str">
            <v>340.CAGE</v>
          </cell>
          <cell r="R1701">
            <v>0</v>
          </cell>
        </row>
        <row r="1702">
          <cell r="Q1702" t="str">
            <v>340.CAGE1</v>
          </cell>
          <cell r="R1702">
            <v>0</v>
          </cell>
        </row>
        <row r="1703">
          <cell r="Q1703" t="str">
            <v>340.NA1</v>
          </cell>
          <cell r="R1703">
            <v>976897.80883704626</v>
          </cell>
        </row>
        <row r="1704">
          <cell r="Q1704" t="str">
            <v>340.NA2</v>
          </cell>
          <cell r="R1704">
            <v>0</v>
          </cell>
        </row>
        <row r="1705">
          <cell r="Q1705" t="str">
            <v>341.NA</v>
          </cell>
          <cell r="R1705">
            <v>0</v>
          </cell>
        </row>
        <row r="1706">
          <cell r="Q1706" t="str">
            <v>341.SG</v>
          </cell>
          <cell r="R1706">
            <v>0</v>
          </cell>
        </row>
        <row r="1707">
          <cell r="Q1707" t="str">
            <v>341.DGU</v>
          </cell>
          <cell r="R1707">
            <v>0</v>
          </cell>
        </row>
        <row r="1708">
          <cell r="Q1708" t="str">
            <v>341.CAGW</v>
          </cell>
          <cell r="R1708">
            <v>12575345.454235533</v>
          </cell>
        </row>
        <row r="1709">
          <cell r="Q1709" t="str">
            <v>341.CAGE</v>
          </cell>
          <cell r="R1709">
            <v>0</v>
          </cell>
        </row>
        <row r="1710">
          <cell r="Q1710" t="str">
            <v>341.CAGE1</v>
          </cell>
          <cell r="R1710">
            <v>0</v>
          </cell>
        </row>
        <row r="1711">
          <cell r="Q1711" t="str">
            <v>341.NA1</v>
          </cell>
          <cell r="R1711">
            <v>12575345.454235533</v>
          </cell>
        </row>
        <row r="1712">
          <cell r="Q1712" t="str">
            <v>341.NA2</v>
          </cell>
          <cell r="R1712">
            <v>0</v>
          </cell>
        </row>
        <row r="1713">
          <cell r="Q1713" t="str">
            <v>342.NA</v>
          </cell>
          <cell r="R1713">
            <v>0</v>
          </cell>
        </row>
        <row r="1714">
          <cell r="Q1714" t="str">
            <v>342.SG</v>
          </cell>
          <cell r="R1714">
            <v>0</v>
          </cell>
        </row>
        <row r="1715">
          <cell r="Q1715" t="str">
            <v>342.DGU</v>
          </cell>
          <cell r="R1715">
            <v>0</v>
          </cell>
        </row>
        <row r="1716">
          <cell r="Q1716" t="str">
            <v>342.CAGW</v>
          </cell>
          <cell r="R1716">
            <v>350126.01659648248</v>
          </cell>
        </row>
        <row r="1717">
          <cell r="Q1717" t="str">
            <v>342.CAGE</v>
          </cell>
          <cell r="R1717">
            <v>0</v>
          </cell>
        </row>
        <row r="1718">
          <cell r="Q1718" t="str">
            <v>342.CAGE1</v>
          </cell>
          <cell r="R1718">
            <v>0</v>
          </cell>
        </row>
        <row r="1719">
          <cell r="Q1719" t="str">
            <v>342.NA1</v>
          </cell>
          <cell r="R1719">
            <v>350126.01659648248</v>
          </cell>
        </row>
        <row r="1720">
          <cell r="Q1720" t="str">
            <v>342.NA2</v>
          </cell>
          <cell r="R1720">
            <v>0</v>
          </cell>
        </row>
        <row r="1721">
          <cell r="Q1721" t="str">
            <v>343.NA</v>
          </cell>
          <cell r="R1721">
            <v>0</v>
          </cell>
        </row>
        <row r="1722">
          <cell r="Q1722" t="str">
            <v>343.S</v>
          </cell>
          <cell r="R1722">
            <v>0</v>
          </cell>
        </row>
        <row r="1723">
          <cell r="Q1723" t="str">
            <v>343.DGU</v>
          </cell>
          <cell r="R1723">
            <v>0</v>
          </cell>
        </row>
        <row r="1724">
          <cell r="Q1724" t="str">
            <v>343.SG</v>
          </cell>
          <cell r="R1724">
            <v>272522045.94683242</v>
          </cell>
        </row>
        <row r="1725">
          <cell r="Q1725" t="str">
            <v>343.CAGW</v>
          </cell>
          <cell r="R1725">
            <v>51794623.839613825</v>
          </cell>
        </row>
        <row r="1726">
          <cell r="Q1726" t="str">
            <v>343.CAGE</v>
          </cell>
          <cell r="R1726">
            <v>0</v>
          </cell>
        </row>
        <row r="1727">
          <cell r="Q1727" t="str">
            <v>343.CAGE1</v>
          </cell>
          <cell r="R1727">
            <v>0</v>
          </cell>
        </row>
        <row r="1728">
          <cell r="Q1728" t="str">
            <v>343.NA1</v>
          </cell>
          <cell r="R1728">
            <v>324316669.78644621</v>
          </cell>
        </row>
        <row r="1729">
          <cell r="Q1729" t="str">
            <v>343.NA2</v>
          </cell>
          <cell r="R1729">
            <v>0</v>
          </cell>
        </row>
        <row r="1730">
          <cell r="Q1730" t="str">
            <v>344.NA</v>
          </cell>
          <cell r="R1730">
            <v>0</v>
          </cell>
        </row>
        <row r="1731">
          <cell r="Q1731" t="str">
            <v>344.S</v>
          </cell>
          <cell r="R1731">
            <v>0</v>
          </cell>
        </row>
        <row r="1732">
          <cell r="Q1732" t="str">
            <v>344.DGU</v>
          </cell>
          <cell r="R1732">
            <v>0</v>
          </cell>
        </row>
        <row r="1733">
          <cell r="Q1733" t="str">
            <v>344.SG</v>
          </cell>
          <cell r="R1733">
            <v>0</v>
          </cell>
        </row>
        <row r="1734">
          <cell r="Q1734" t="str">
            <v>344.CAGW</v>
          </cell>
          <cell r="R1734">
            <v>29021301.901553459</v>
          </cell>
        </row>
        <row r="1735">
          <cell r="Q1735" t="str">
            <v>344.CAGE</v>
          </cell>
          <cell r="R1735">
            <v>0</v>
          </cell>
        </row>
        <row r="1736">
          <cell r="Q1736" t="str">
            <v>344.CAGE1</v>
          </cell>
          <cell r="R1736">
            <v>0</v>
          </cell>
        </row>
        <row r="1737">
          <cell r="Q1737" t="str">
            <v>344.NA1</v>
          </cell>
          <cell r="R1737">
            <v>29021301.901553459</v>
          </cell>
        </row>
        <row r="1738">
          <cell r="Q1738" t="str">
            <v>344.NA2</v>
          </cell>
          <cell r="R1738">
            <v>0</v>
          </cell>
        </row>
        <row r="1739">
          <cell r="Q1739" t="str">
            <v>345.NA</v>
          </cell>
          <cell r="R1739">
            <v>0</v>
          </cell>
        </row>
        <row r="1740">
          <cell r="Q1740" t="str">
            <v>345.SG</v>
          </cell>
          <cell r="R1740">
            <v>0</v>
          </cell>
        </row>
        <row r="1741">
          <cell r="Q1741" t="str">
            <v>345.DGU</v>
          </cell>
          <cell r="R1741">
            <v>0</v>
          </cell>
        </row>
        <row r="1742">
          <cell r="Q1742" t="str">
            <v>345.CAGW</v>
          </cell>
          <cell r="R1742">
            <v>19135021.713521142</v>
          </cell>
        </row>
        <row r="1743">
          <cell r="Q1743" t="str">
            <v>345.CAGE</v>
          </cell>
          <cell r="R1743">
            <v>0</v>
          </cell>
        </row>
        <row r="1744">
          <cell r="Q1744" t="str">
            <v>345.CAGE1</v>
          </cell>
          <cell r="R1744">
            <v>0</v>
          </cell>
        </row>
        <row r="1745">
          <cell r="Q1745" t="str">
            <v>345.NA1</v>
          </cell>
          <cell r="R1745">
            <v>19135021.713521142</v>
          </cell>
        </row>
        <row r="1746">
          <cell r="Q1746" t="str">
            <v>345.NA2</v>
          </cell>
          <cell r="R1746">
            <v>0</v>
          </cell>
        </row>
        <row r="1747">
          <cell r="Q1747" t="str">
            <v>345.NA3</v>
          </cell>
          <cell r="R1747">
            <v>0</v>
          </cell>
        </row>
        <row r="1748">
          <cell r="Q1748" t="str">
            <v>345.NA4</v>
          </cell>
          <cell r="R1748">
            <v>0</v>
          </cell>
        </row>
        <row r="1749">
          <cell r="Q1749" t="str">
            <v>346.NA</v>
          </cell>
          <cell r="R1749">
            <v>0</v>
          </cell>
        </row>
        <row r="1750">
          <cell r="Q1750" t="str">
            <v>346.SG</v>
          </cell>
          <cell r="R1750">
            <v>0</v>
          </cell>
        </row>
        <row r="1751">
          <cell r="Q1751" t="str">
            <v>346.DGU</v>
          </cell>
          <cell r="R1751">
            <v>0</v>
          </cell>
        </row>
        <row r="1752">
          <cell r="Q1752" t="str">
            <v>346.CAGW</v>
          </cell>
          <cell r="R1752">
            <v>881794.15030796116</v>
          </cell>
        </row>
        <row r="1753">
          <cell r="Q1753" t="str">
            <v>346.CAGE</v>
          </cell>
          <cell r="R1753">
            <v>0</v>
          </cell>
        </row>
        <row r="1754">
          <cell r="Q1754" t="str">
            <v>346.NA1</v>
          </cell>
          <cell r="R1754">
            <v>881794.15030796116</v>
          </cell>
        </row>
        <row r="1755">
          <cell r="Q1755" t="str">
            <v>346.NA2</v>
          </cell>
          <cell r="R1755">
            <v>0</v>
          </cell>
        </row>
        <row r="1756">
          <cell r="Q1756" t="str">
            <v>347.NA</v>
          </cell>
          <cell r="R1756">
            <v>0</v>
          </cell>
        </row>
        <row r="1757">
          <cell r="Q1757" t="str">
            <v>347.S</v>
          </cell>
          <cell r="R1757">
            <v>0</v>
          </cell>
        </row>
        <row r="1758">
          <cell r="Q1758" t="str">
            <v>347.NA1</v>
          </cell>
          <cell r="R1758">
            <v>0</v>
          </cell>
        </row>
        <row r="1759">
          <cell r="Q1759" t="str">
            <v>347.NA2</v>
          </cell>
          <cell r="R1759">
            <v>0</v>
          </cell>
        </row>
        <row r="1760">
          <cell r="Q1760" t="str">
            <v>OP.NA</v>
          </cell>
          <cell r="R1760">
            <v>0</v>
          </cell>
        </row>
        <row r="1761">
          <cell r="Q1761" t="str">
            <v>OP.S</v>
          </cell>
          <cell r="R1761">
            <v>0</v>
          </cell>
        </row>
        <row r="1762">
          <cell r="Q1762" t="str">
            <v>OP.SG</v>
          </cell>
          <cell r="R1762">
            <v>0</v>
          </cell>
        </row>
        <row r="1763">
          <cell r="Q1763" t="str">
            <v>OP.CAGW</v>
          </cell>
          <cell r="R1763">
            <v>-119359.20448769673</v>
          </cell>
        </row>
        <row r="1764">
          <cell r="Q1764" t="str">
            <v>OP.CAGE</v>
          </cell>
          <cell r="R1764">
            <v>0</v>
          </cell>
        </row>
        <row r="1765">
          <cell r="Q1765" t="str">
            <v>OP.NA1</v>
          </cell>
          <cell r="R1765">
            <v>-119359.20448769673</v>
          </cell>
        </row>
        <row r="1766">
          <cell r="Q1766" t="str">
            <v>OP.NA2</v>
          </cell>
          <cell r="R1766">
            <v>0</v>
          </cell>
        </row>
        <row r="1767">
          <cell r="Q1767" t="str">
            <v>Total Other Production Plant.NA</v>
          </cell>
          <cell r="R1767">
            <v>387137797.62701011</v>
          </cell>
        </row>
        <row r="1768">
          <cell r="Q1768" t="str">
            <v>Total Other Production Plant.NA1</v>
          </cell>
          <cell r="R1768">
            <v>0</v>
          </cell>
        </row>
        <row r="1769">
          <cell r="Q1769" t="str">
            <v>Summary of Other Production Plant by Factor.NA</v>
          </cell>
          <cell r="R1769">
            <v>0</v>
          </cell>
        </row>
        <row r="1770">
          <cell r="Q1770" t="str">
            <v>Summary of Other Production Plant by Factor.NA1</v>
          </cell>
          <cell r="R1770">
            <v>0</v>
          </cell>
        </row>
        <row r="1771">
          <cell r="Q1771" t="str">
            <v>Summary of Other Production Plant by Factor.NA2</v>
          </cell>
          <cell r="R1771">
            <v>0</v>
          </cell>
        </row>
        <row r="1772">
          <cell r="Q1772" t="str">
            <v>Summary of Other Production Plant by Factor.NA3</v>
          </cell>
          <cell r="R1772">
            <v>272522045.94683242</v>
          </cell>
        </row>
        <row r="1773">
          <cell r="Q1773" t="str">
            <v>Summary of Other Production Plant by Factor.NA4</v>
          </cell>
          <cell r="R1773">
            <v>114615751.68017776</v>
          </cell>
        </row>
        <row r="1774">
          <cell r="Q1774" t="str">
            <v>Summary of Other Production Plant by Factor.NA5</v>
          </cell>
          <cell r="R1774">
            <v>0</v>
          </cell>
        </row>
        <row r="1775">
          <cell r="Q1775" t="str">
            <v>Summary of Other Production Plant by Factor.NA6</v>
          </cell>
          <cell r="R1775">
            <v>0</v>
          </cell>
        </row>
        <row r="1776">
          <cell r="Q1776" t="str">
            <v>Total of Other Production Plant by Factor.NA</v>
          </cell>
          <cell r="R1776">
            <v>387137797.62701017</v>
          </cell>
        </row>
        <row r="1777">
          <cell r="Q1777" t="str">
            <v>Total of Other Production Plant by Factor.NA1</v>
          </cell>
          <cell r="R1777">
            <v>0</v>
          </cell>
        </row>
        <row r="1778">
          <cell r="Q1778" t="str">
            <v>Experimental Plant.NA</v>
          </cell>
          <cell r="R1778">
            <v>0</v>
          </cell>
        </row>
        <row r="1779">
          <cell r="Q1779" t="str">
            <v>103.NA</v>
          </cell>
          <cell r="R1779">
            <v>0</v>
          </cell>
        </row>
        <row r="1780">
          <cell r="Q1780" t="str">
            <v>103.DGP</v>
          </cell>
          <cell r="R1780">
            <v>0</v>
          </cell>
        </row>
        <row r="1781">
          <cell r="Q1781" t="str">
            <v>Total Experimental Plant.NA</v>
          </cell>
          <cell r="R1781">
            <v>0</v>
          </cell>
        </row>
        <row r="1782">
          <cell r="Q1782" t="str">
            <v>Total Experimental Plant.NA1</v>
          </cell>
          <cell r="R1782">
            <v>0</v>
          </cell>
        </row>
        <row r="1783">
          <cell r="Q1783" t="str">
            <v>TOTAL PRODUCTION PLANT.NA</v>
          </cell>
          <cell r="R1783">
            <v>792145131.51161909</v>
          </cell>
        </row>
        <row r="1784">
          <cell r="Q1784" t="str">
            <v>350.NA</v>
          </cell>
          <cell r="R1784">
            <v>0</v>
          </cell>
        </row>
        <row r="1785">
          <cell r="Q1785" t="str">
            <v>350.DGP</v>
          </cell>
          <cell r="R1785">
            <v>0</v>
          </cell>
        </row>
        <row r="1786">
          <cell r="Q1786" t="str">
            <v>350.DGU</v>
          </cell>
          <cell r="R1786">
            <v>0</v>
          </cell>
        </row>
        <row r="1787">
          <cell r="Q1787" t="str">
            <v>350.CAGW</v>
          </cell>
          <cell r="R1787">
            <v>7864250.0384147875</v>
          </cell>
        </row>
        <row r="1788">
          <cell r="Q1788" t="str">
            <v>350.CAGE</v>
          </cell>
          <cell r="R1788">
            <v>0</v>
          </cell>
        </row>
        <row r="1789">
          <cell r="Q1789" t="str">
            <v>350.JBG</v>
          </cell>
          <cell r="R1789">
            <v>498314.62268544961</v>
          </cell>
        </row>
        <row r="1790">
          <cell r="Q1790" t="str">
            <v>350.SG</v>
          </cell>
          <cell r="R1790">
            <v>7841.3932584950517</v>
          </cell>
        </row>
        <row r="1791">
          <cell r="Q1791" t="str">
            <v>350.NA1</v>
          </cell>
          <cell r="R1791">
            <v>8370406.054358732</v>
          </cell>
        </row>
        <row r="1792">
          <cell r="Q1792" t="str">
            <v>350.NA2</v>
          </cell>
          <cell r="R1792">
            <v>0</v>
          </cell>
        </row>
        <row r="1793">
          <cell r="Q1793" t="str">
            <v>352.NA</v>
          </cell>
          <cell r="R1793">
            <v>0</v>
          </cell>
        </row>
        <row r="1794">
          <cell r="Q1794" t="str">
            <v>352.S</v>
          </cell>
          <cell r="R1794">
            <v>0</v>
          </cell>
        </row>
        <row r="1795">
          <cell r="Q1795" t="str">
            <v>352.DGP</v>
          </cell>
          <cell r="R1795">
            <v>0</v>
          </cell>
        </row>
        <row r="1796">
          <cell r="Q1796" t="str">
            <v>352.DGU</v>
          </cell>
          <cell r="R1796">
            <v>0</v>
          </cell>
        </row>
        <row r="1797">
          <cell r="Q1797" t="str">
            <v>352.CAGW</v>
          </cell>
          <cell r="R1797">
            <v>15844396.694255963</v>
          </cell>
        </row>
        <row r="1798">
          <cell r="Q1798" t="str">
            <v>352.CAGE</v>
          </cell>
          <cell r="R1798">
            <v>0</v>
          </cell>
        </row>
        <row r="1799">
          <cell r="Q1799" t="str">
            <v>352.JBG</v>
          </cell>
          <cell r="R1799">
            <v>360664.03703532042</v>
          </cell>
        </row>
        <row r="1800">
          <cell r="Q1800" t="str">
            <v>352.SG</v>
          </cell>
          <cell r="R1800">
            <v>247.41516141276875</v>
          </cell>
        </row>
        <row r="1801">
          <cell r="Q1801" t="str">
            <v>352.NA1</v>
          </cell>
          <cell r="R1801">
            <v>16205308.146452695</v>
          </cell>
        </row>
        <row r="1802">
          <cell r="Q1802" t="str">
            <v>352.NA2</v>
          </cell>
          <cell r="R1802">
            <v>0</v>
          </cell>
        </row>
        <row r="1803">
          <cell r="Q1803" t="str">
            <v>353.NA</v>
          </cell>
          <cell r="R1803">
            <v>0</v>
          </cell>
        </row>
        <row r="1804">
          <cell r="Q1804" t="str">
            <v>353.DGP</v>
          </cell>
          <cell r="R1804">
            <v>0</v>
          </cell>
        </row>
        <row r="1805">
          <cell r="Q1805" t="str">
            <v>353.DGU</v>
          </cell>
          <cell r="R1805">
            <v>0</v>
          </cell>
        </row>
        <row r="1806">
          <cell r="Q1806" t="str">
            <v>353.CAGW</v>
          </cell>
          <cell r="R1806">
            <v>-233705021.11062804</v>
          </cell>
        </row>
        <row r="1807">
          <cell r="Q1807" t="str">
            <v>353.CAGE</v>
          </cell>
          <cell r="R1807">
            <v>0</v>
          </cell>
        </row>
        <row r="1808">
          <cell r="Q1808" t="str">
            <v>353.JBG</v>
          </cell>
          <cell r="R1808">
            <v>-11206163.815496951</v>
          </cell>
        </row>
        <row r="1809">
          <cell r="Q1809" t="str">
            <v>353.SG</v>
          </cell>
          <cell r="R1809">
            <v>522698746.80871063</v>
          </cell>
        </row>
        <row r="1810">
          <cell r="Q1810" t="str">
            <v>353.NA1</v>
          </cell>
          <cell r="R1810">
            <v>277787561.88258564</v>
          </cell>
        </row>
        <row r="1811">
          <cell r="Q1811" t="str">
            <v>353.NA2</v>
          </cell>
          <cell r="R1811">
            <v>0</v>
          </cell>
        </row>
        <row r="1812">
          <cell r="Q1812" t="str">
            <v>354.NA</v>
          </cell>
          <cell r="R1812">
            <v>0</v>
          </cell>
        </row>
        <row r="1813">
          <cell r="Q1813" t="str">
            <v>354.DGP</v>
          </cell>
          <cell r="R1813">
            <v>0</v>
          </cell>
        </row>
        <row r="1814">
          <cell r="Q1814" t="str">
            <v>354.DGU</v>
          </cell>
          <cell r="R1814">
            <v>0</v>
          </cell>
        </row>
        <row r="1815">
          <cell r="Q1815" t="str">
            <v>354.CAGW</v>
          </cell>
          <cell r="R1815">
            <v>39873509.520668685</v>
          </cell>
        </row>
        <row r="1816">
          <cell r="Q1816" t="str">
            <v>354.CAGE</v>
          </cell>
          <cell r="R1816">
            <v>0</v>
          </cell>
        </row>
        <row r="1817">
          <cell r="Q1817" t="str">
            <v>354.JBG</v>
          </cell>
          <cell r="R1817">
            <v>6081943.2814179193</v>
          </cell>
        </row>
        <row r="1818">
          <cell r="Q1818" t="str">
            <v>354.SG</v>
          </cell>
          <cell r="R1818">
            <v>9656.8610182530192</v>
          </cell>
        </row>
        <row r="1819">
          <cell r="Q1819" t="str">
            <v>354.NA1</v>
          </cell>
          <cell r="R1819">
            <v>45965109.663104862</v>
          </cell>
        </row>
        <row r="1820">
          <cell r="Q1820" t="str">
            <v>354.NA2</v>
          </cell>
          <cell r="R1820">
            <v>0</v>
          </cell>
        </row>
        <row r="1821">
          <cell r="Q1821" t="str">
            <v>355.NA</v>
          </cell>
          <cell r="R1821">
            <v>0</v>
          </cell>
        </row>
        <row r="1822">
          <cell r="Q1822" t="str">
            <v>355.DGP</v>
          </cell>
          <cell r="R1822">
            <v>0</v>
          </cell>
        </row>
        <row r="1823">
          <cell r="Q1823" t="str">
            <v>355.DGU</v>
          </cell>
          <cell r="R1823">
            <v>0</v>
          </cell>
        </row>
        <row r="1824">
          <cell r="Q1824" t="str">
            <v>355.CAGW</v>
          </cell>
          <cell r="R1824">
            <v>96243371.596084625</v>
          </cell>
        </row>
        <row r="1825">
          <cell r="Q1825" t="str">
            <v>355.CAGE</v>
          </cell>
          <cell r="R1825">
            <v>0</v>
          </cell>
        </row>
        <row r="1826">
          <cell r="Q1826" t="str">
            <v>355.JBG</v>
          </cell>
          <cell r="R1826">
            <v>76336.275216255221</v>
          </cell>
        </row>
        <row r="1827">
          <cell r="Q1827" t="str">
            <v>355.SG</v>
          </cell>
          <cell r="R1827">
            <v>61082351.005096726</v>
          </cell>
        </row>
        <row r="1828">
          <cell r="Q1828" t="str">
            <v>355.NA1</v>
          </cell>
          <cell r="R1828">
            <v>157402058.87639761</v>
          </cell>
        </row>
        <row r="1829">
          <cell r="Q1829" t="str">
            <v>355.NA2</v>
          </cell>
          <cell r="R1829">
            <v>0</v>
          </cell>
        </row>
        <row r="1830">
          <cell r="Q1830" t="str">
            <v>356.NA</v>
          </cell>
          <cell r="R1830">
            <v>0</v>
          </cell>
        </row>
        <row r="1831">
          <cell r="Q1831" t="str">
            <v>356.DGP</v>
          </cell>
          <cell r="R1831">
            <v>0</v>
          </cell>
        </row>
        <row r="1832">
          <cell r="Q1832" t="str">
            <v>356.DGU</v>
          </cell>
          <cell r="R1832">
            <v>0</v>
          </cell>
        </row>
        <row r="1833">
          <cell r="Q1833" t="str">
            <v>356.CAGW</v>
          </cell>
          <cell r="R1833">
            <v>72195855.998822495</v>
          </cell>
        </row>
        <row r="1834">
          <cell r="Q1834" t="str">
            <v>356.CAGE</v>
          </cell>
          <cell r="R1834">
            <v>0</v>
          </cell>
        </row>
        <row r="1835">
          <cell r="Q1835" t="str">
            <v>356.JBG</v>
          </cell>
          <cell r="R1835">
            <v>4187841.9751599776</v>
          </cell>
        </row>
        <row r="1836">
          <cell r="Q1836" t="str">
            <v>356.SG</v>
          </cell>
          <cell r="R1836">
            <v>117945.30028124209</v>
          </cell>
        </row>
        <row r="1837">
          <cell r="Q1837" t="str">
            <v>356.NA1</v>
          </cell>
          <cell r="R1837">
            <v>76501643.27426371</v>
          </cell>
        </row>
        <row r="1838">
          <cell r="Q1838" t="str">
            <v>356.NA2</v>
          </cell>
          <cell r="R1838">
            <v>0</v>
          </cell>
        </row>
        <row r="1839">
          <cell r="Q1839" t="str">
            <v>357.NA</v>
          </cell>
          <cell r="R1839">
            <v>0</v>
          </cell>
        </row>
        <row r="1840">
          <cell r="Q1840" t="str">
            <v>357.DGP</v>
          </cell>
          <cell r="R1840">
            <v>0</v>
          </cell>
        </row>
        <row r="1841">
          <cell r="Q1841" t="str">
            <v>357.DGU</v>
          </cell>
          <cell r="R1841">
            <v>0</v>
          </cell>
        </row>
        <row r="1842">
          <cell r="Q1842" t="str">
            <v>357.CAGW</v>
          </cell>
          <cell r="R1842">
            <v>95169.4819133087</v>
          </cell>
        </row>
        <row r="1843">
          <cell r="Q1843" t="str">
            <v>357.CAGE</v>
          </cell>
          <cell r="R1843">
            <v>0</v>
          </cell>
        </row>
        <row r="1844">
          <cell r="Q1844" t="str">
            <v>357.SG</v>
          </cell>
          <cell r="R1844">
            <v>0</v>
          </cell>
        </row>
        <row r="1845">
          <cell r="Q1845" t="str">
            <v>357.NA1</v>
          </cell>
          <cell r="R1845">
            <v>95169.4819133087</v>
          </cell>
        </row>
        <row r="1846">
          <cell r="Q1846" t="str">
            <v>357.NA2</v>
          </cell>
          <cell r="R1846">
            <v>0</v>
          </cell>
        </row>
        <row r="1847">
          <cell r="Q1847" t="str">
            <v>358.NA</v>
          </cell>
          <cell r="R1847">
            <v>0</v>
          </cell>
        </row>
        <row r="1848">
          <cell r="Q1848" t="str">
            <v>358.DGP</v>
          </cell>
          <cell r="R1848">
            <v>0</v>
          </cell>
        </row>
        <row r="1849">
          <cell r="Q1849" t="str">
            <v>358.DGU</v>
          </cell>
          <cell r="R1849">
            <v>0</v>
          </cell>
        </row>
        <row r="1850">
          <cell r="Q1850" t="str">
            <v>358.CAGW</v>
          </cell>
          <cell r="R1850">
            <v>66147.521128439505</v>
          </cell>
        </row>
        <row r="1851">
          <cell r="Q1851" t="str">
            <v>358.CAGE</v>
          </cell>
          <cell r="R1851">
            <v>0</v>
          </cell>
        </row>
        <row r="1852">
          <cell r="Q1852" t="str">
            <v>358.SG</v>
          </cell>
          <cell r="R1852">
            <v>0</v>
          </cell>
        </row>
        <row r="1853">
          <cell r="Q1853" t="str">
            <v>358.NA1</v>
          </cell>
          <cell r="R1853">
            <v>66147.521128439505</v>
          </cell>
        </row>
        <row r="1854">
          <cell r="Q1854" t="str">
            <v>358.NA2</v>
          </cell>
          <cell r="R1854">
            <v>0</v>
          </cell>
        </row>
        <row r="1855">
          <cell r="Q1855" t="str">
            <v>359.NA</v>
          </cell>
          <cell r="R1855">
            <v>0</v>
          </cell>
        </row>
        <row r="1856">
          <cell r="Q1856" t="str">
            <v>359.DGP</v>
          </cell>
          <cell r="R1856">
            <v>0</v>
          </cell>
        </row>
        <row r="1857">
          <cell r="Q1857" t="str">
            <v>359.JBG</v>
          </cell>
          <cell r="R1857">
            <v>1063.6239820266128</v>
          </cell>
        </row>
        <row r="1858">
          <cell r="Q1858" t="str">
            <v>359.CAGW</v>
          </cell>
          <cell r="R1858">
            <v>1522320.2593396679</v>
          </cell>
        </row>
        <row r="1859">
          <cell r="Q1859" t="str">
            <v>359.CAGE</v>
          </cell>
          <cell r="R1859">
            <v>0</v>
          </cell>
        </row>
        <row r="1860">
          <cell r="Q1860" t="str">
            <v>359.SG</v>
          </cell>
          <cell r="R1860">
            <v>1240.6384516620847</v>
          </cell>
        </row>
        <row r="1861">
          <cell r="Q1861" t="str">
            <v>359.NA1</v>
          </cell>
          <cell r="R1861">
            <v>1524624.5217733567</v>
          </cell>
        </row>
        <row r="1862">
          <cell r="Q1862" t="str">
            <v>359.NA2</v>
          </cell>
          <cell r="R1862">
            <v>0</v>
          </cell>
        </row>
        <row r="1863">
          <cell r="Q1863" t="str">
            <v>TP.NA</v>
          </cell>
          <cell r="R1863">
            <v>0</v>
          </cell>
        </row>
        <row r="1864">
          <cell r="Q1864" t="str">
            <v>TP.SG</v>
          </cell>
          <cell r="R1864">
            <v>8470059.1607269756</v>
          </cell>
        </row>
        <row r="1865">
          <cell r="Q1865" t="str">
            <v>TP.CAGW</v>
          </cell>
          <cell r="R1865">
            <v>0</v>
          </cell>
        </row>
        <row r="1866">
          <cell r="Q1866" t="str">
            <v>TP.CAGE</v>
          </cell>
          <cell r="R1866">
            <v>0</v>
          </cell>
        </row>
        <row r="1867">
          <cell r="Q1867" t="str">
            <v>TP.NA1</v>
          </cell>
          <cell r="R1867">
            <v>8470059.1607269756</v>
          </cell>
        </row>
        <row r="1868">
          <cell r="Q1868" t="str">
            <v>TP.NA2</v>
          </cell>
          <cell r="R1868">
            <v>0</v>
          </cell>
        </row>
        <row r="1869">
          <cell r="Q1869" t="str">
            <v>TS0.NA</v>
          </cell>
          <cell r="R1869">
            <v>0</v>
          </cell>
        </row>
        <row r="1870">
          <cell r="Q1870" t="str">
            <v>TS0.SG</v>
          </cell>
          <cell r="R1870">
            <v>0</v>
          </cell>
        </row>
        <row r="1871">
          <cell r="Q1871" t="str">
            <v>TS0.NA1</v>
          </cell>
          <cell r="R1871">
            <v>0</v>
          </cell>
        </row>
        <row r="1872">
          <cell r="Q1872" t="str">
            <v>TS0.NA2</v>
          </cell>
          <cell r="R1872">
            <v>0</v>
          </cell>
        </row>
        <row r="1873">
          <cell r="Q1873" t="str">
            <v>TOTAL TRANSMISSION PLANT.NA</v>
          </cell>
          <cell r="R1873">
            <v>592388088.5827055</v>
          </cell>
        </row>
        <row r="1874">
          <cell r="Q1874" t="str">
            <v>Summary of Transmission Plant by Factor.NA</v>
          </cell>
          <cell r="R1874">
            <v>0</v>
          </cell>
        </row>
        <row r="1875">
          <cell r="Q1875" t="str">
            <v>Summary of Transmission Plant by Factor.NA1</v>
          </cell>
          <cell r="R1875">
            <v>-1.4915713109076023E-9</v>
          </cell>
        </row>
        <row r="1876">
          <cell r="Q1876" t="str">
            <v>Summary of Transmission Plant by Factor.NA2</v>
          </cell>
          <cell r="R1876">
            <v>0</v>
          </cell>
        </row>
        <row r="1877">
          <cell r="Q1877" t="str">
            <v>Summary of Transmission Plant by Factor.NA3</v>
          </cell>
          <cell r="R1877">
            <v>-6.3097104430198669E-8</v>
          </cell>
        </row>
        <row r="1878">
          <cell r="Q1878" t="str">
            <v>Summary of Transmission Plant by Factor.NA4</v>
          </cell>
          <cell r="R1878">
            <v>0</v>
          </cell>
        </row>
        <row r="1879">
          <cell r="Q1879" t="str">
            <v>Summary of Transmission Plant by Factor.NA5</v>
          </cell>
          <cell r="R1879">
            <v>592388088.5827055</v>
          </cell>
        </row>
        <row r="1880">
          <cell r="Q1880" t="str">
            <v>Total Transmission Plant by Factor.NA</v>
          </cell>
          <cell r="R1880">
            <v>592388088.58270538</v>
          </cell>
        </row>
        <row r="1881">
          <cell r="Q1881" t="str">
            <v>360.NA</v>
          </cell>
          <cell r="R1881">
            <v>0</v>
          </cell>
        </row>
        <row r="1882">
          <cell r="Q1882" t="str">
            <v>360.S1</v>
          </cell>
          <cell r="R1882">
            <v>2118954.9007960064</v>
          </cell>
        </row>
        <row r="1883">
          <cell r="Q1883" t="str">
            <v>360.NA1</v>
          </cell>
          <cell r="R1883">
            <v>2118954.9007960064</v>
          </cell>
        </row>
        <row r="1884">
          <cell r="Q1884" t="str">
            <v>360.NA2</v>
          </cell>
          <cell r="R1884">
            <v>0</v>
          </cell>
        </row>
        <row r="1885">
          <cell r="Q1885" t="str">
            <v>361.NA</v>
          </cell>
          <cell r="R1885">
            <v>0</v>
          </cell>
        </row>
        <row r="1886">
          <cell r="Q1886" t="str">
            <v>361.S1</v>
          </cell>
          <cell r="R1886">
            <v>6594538.2045789845</v>
          </cell>
        </row>
        <row r="1887">
          <cell r="Q1887" t="str">
            <v>361.NA1</v>
          </cell>
          <cell r="R1887">
            <v>6594538.2045789845</v>
          </cell>
        </row>
        <row r="1888">
          <cell r="Q1888" t="str">
            <v>361.NA2</v>
          </cell>
          <cell r="R1888">
            <v>0</v>
          </cell>
        </row>
        <row r="1889">
          <cell r="Q1889" t="str">
            <v>362.NA</v>
          </cell>
          <cell r="R1889">
            <v>0</v>
          </cell>
        </row>
        <row r="1890">
          <cell r="Q1890" t="str">
            <v>362.S1</v>
          </cell>
          <cell r="R1890">
            <v>80413305.813331634</v>
          </cell>
        </row>
        <row r="1891">
          <cell r="Q1891" t="str">
            <v>362.NA1</v>
          </cell>
          <cell r="R1891">
            <v>80413305.813331634</v>
          </cell>
        </row>
        <row r="1892">
          <cell r="Q1892" t="str">
            <v>362.NA2</v>
          </cell>
          <cell r="R1892">
            <v>0</v>
          </cell>
        </row>
        <row r="1893">
          <cell r="Q1893" t="str">
            <v>363.NA</v>
          </cell>
          <cell r="R1893">
            <v>0</v>
          </cell>
        </row>
        <row r="1894">
          <cell r="Q1894" t="str">
            <v>363.S1</v>
          </cell>
          <cell r="R1894">
            <v>0</v>
          </cell>
        </row>
        <row r="1895">
          <cell r="Q1895" t="str">
            <v>363.NA1</v>
          </cell>
          <cell r="R1895">
            <v>0</v>
          </cell>
        </row>
        <row r="1896">
          <cell r="Q1896" t="str">
            <v>363.NA2</v>
          </cell>
          <cell r="R1896">
            <v>0</v>
          </cell>
        </row>
        <row r="1897">
          <cell r="Q1897" t="str">
            <v>364.NA</v>
          </cell>
          <cell r="R1897">
            <v>0</v>
          </cell>
        </row>
        <row r="1898">
          <cell r="Q1898" t="str">
            <v>364.S1</v>
          </cell>
          <cell r="R1898">
            <v>115447520.53774388</v>
          </cell>
        </row>
        <row r="1899">
          <cell r="Q1899" t="str">
            <v>364.NA1</v>
          </cell>
          <cell r="R1899">
            <v>115447520.53774388</v>
          </cell>
        </row>
        <row r="1900">
          <cell r="Q1900" t="str">
            <v>364.NA2</v>
          </cell>
          <cell r="R1900">
            <v>0</v>
          </cell>
        </row>
        <row r="1901">
          <cell r="Q1901" t="str">
            <v>365.NA</v>
          </cell>
          <cell r="R1901">
            <v>0</v>
          </cell>
        </row>
        <row r="1902">
          <cell r="Q1902" t="str">
            <v>365.S1</v>
          </cell>
          <cell r="R1902">
            <v>77678527.264030784</v>
          </cell>
        </row>
        <row r="1903">
          <cell r="Q1903" t="str">
            <v>365.NA1</v>
          </cell>
          <cell r="R1903">
            <v>77678527.264030784</v>
          </cell>
        </row>
        <row r="1904">
          <cell r="Q1904" t="str">
            <v>365.NA2</v>
          </cell>
          <cell r="R1904">
            <v>0</v>
          </cell>
        </row>
        <row r="1905">
          <cell r="Q1905" t="str">
            <v>366.NA</v>
          </cell>
          <cell r="R1905">
            <v>0</v>
          </cell>
        </row>
        <row r="1906">
          <cell r="Q1906" t="str">
            <v>366.S1</v>
          </cell>
          <cell r="R1906">
            <v>20433285.815328289</v>
          </cell>
        </row>
        <row r="1907">
          <cell r="Q1907" t="str">
            <v>366.NA1</v>
          </cell>
          <cell r="R1907">
            <v>20433285.815328289</v>
          </cell>
        </row>
        <row r="1908">
          <cell r="Q1908" t="str">
            <v>366.NA2</v>
          </cell>
          <cell r="R1908">
            <v>0</v>
          </cell>
        </row>
        <row r="1909">
          <cell r="Q1909" t="str">
            <v>366.NA3</v>
          </cell>
          <cell r="R1909">
            <v>0</v>
          </cell>
        </row>
        <row r="1910">
          <cell r="Q1910" t="str">
            <v>366.NA4</v>
          </cell>
          <cell r="R1910">
            <v>0</v>
          </cell>
        </row>
        <row r="1911">
          <cell r="Q1911" t="str">
            <v>366.NA5</v>
          </cell>
          <cell r="R1911">
            <v>0</v>
          </cell>
        </row>
        <row r="1912">
          <cell r="Q1912" t="str">
            <v>367.NA</v>
          </cell>
          <cell r="R1912">
            <v>0</v>
          </cell>
        </row>
        <row r="1913">
          <cell r="Q1913" t="str">
            <v>367.S1</v>
          </cell>
          <cell r="R1913">
            <v>32919259.532765683</v>
          </cell>
        </row>
        <row r="1914">
          <cell r="Q1914" t="str">
            <v>367.NA1</v>
          </cell>
          <cell r="R1914">
            <v>32919259.532765683</v>
          </cell>
        </row>
        <row r="1915">
          <cell r="Q1915" t="str">
            <v>367.NA2</v>
          </cell>
          <cell r="R1915">
            <v>0</v>
          </cell>
        </row>
        <row r="1916">
          <cell r="Q1916" t="str">
            <v>368.NA</v>
          </cell>
          <cell r="R1916">
            <v>0</v>
          </cell>
        </row>
        <row r="1917">
          <cell r="Q1917" t="str">
            <v>368.S1</v>
          </cell>
          <cell r="R1917">
            <v>121331428.91328639</v>
          </cell>
        </row>
        <row r="1918">
          <cell r="Q1918" t="str">
            <v>368.NA1</v>
          </cell>
          <cell r="R1918">
            <v>121331428.91328639</v>
          </cell>
        </row>
        <row r="1919">
          <cell r="Q1919" t="str">
            <v>368.NA2</v>
          </cell>
          <cell r="R1919">
            <v>0</v>
          </cell>
        </row>
        <row r="1920">
          <cell r="Q1920" t="str">
            <v>369.NA</v>
          </cell>
          <cell r="R1920">
            <v>0</v>
          </cell>
        </row>
        <row r="1921">
          <cell r="Q1921" t="str">
            <v>369.S1</v>
          </cell>
          <cell r="R1921">
            <v>70144835.560202315</v>
          </cell>
        </row>
        <row r="1922">
          <cell r="Q1922" t="str">
            <v>369.NA1</v>
          </cell>
          <cell r="R1922">
            <v>70144835.560202315</v>
          </cell>
        </row>
        <row r="1923">
          <cell r="Q1923" t="str">
            <v>369.NA2</v>
          </cell>
          <cell r="R1923">
            <v>0</v>
          </cell>
        </row>
        <row r="1924">
          <cell r="Q1924" t="str">
            <v>370.NA</v>
          </cell>
          <cell r="R1924">
            <v>0</v>
          </cell>
        </row>
        <row r="1925">
          <cell r="Q1925" t="str">
            <v>370.S1</v>
          </cell>
          <cell r="R1925">
            <v>14216852.839547347</v>
          </cell>
        </row>
        <row r="1926">
          <cell r="Q1926" t="str">
            <v>370.NA1</v>
          </cell>
          <cell r="R1926">
            <v>14216852.839547347</v>
          </cell>
        </row>
        <row r="1927">
          <cell r="Q1927" t="str">
            <v>370.NA2</v>
          </cell>
          <cell r="R1927">
            <v>0</v>
          </cell>
        </row>
        <row r="1928">
          <cell r="Q1928" t="str">
            <v>371.NA</v>
          </cell>
          <cell r="R1928">
            <v>0</v>
          </cell>
        </row>
        <row r="1929">
          <cell r="Q1929" t="str">
            <v>371.S1</v>
          </cell>
          <cell r="R1929">
            <v>546583.48480086296</v>
          </cell>
        </row>
        <row r="1930">
          <cell r="Q1930" t="str">
            <v>371.NA1</v>
          </cell>
          <cell r="R1930">
            <v>546583.48480086296</v>
          </cell>
        </row>
        <row r="1931">
          <cell r="Q1931" t="str">
            <v>371.NA2</v>
          </cell>
          <cell r="R1931">
            <v>0</v>
          </cell>
        </row>
        <row r="1932">
          <cell r="Q1932" t="str">
            <v>372.NA</v>
          </cell>
          <cell r="R1932">
            <v>0</v>
          </cell>
        </row>
        <row r="1933">
          <cell r="Q1933" t="str">
            <v>372.S1</v>
          </cell>
          <cell r="R1933">
            <v>0</v>
          </cell>
        </row>
        <row r="1934">
          <cell r="Q1934" t="str">
            <v>372.NA1</v>
          </cell>
          <cell r="R1934">
            <v>0</v>
          </cell>
        </row>
        <row r="1935">
          <cell r="Q1935" t="str">
            <v>372.NA2</v>
          </cell>
          <cell r="R1935">
            <v>0</v>
          </cell>
        </row>
        <row r="1936">
          <cell r="Q1936" t="str">
            <v>373.NA2</v>
          </cell>
          <cell r="R1936">
            <v>0</v>
          </cell>
        </row>
        <row r="1937">
          <cell r="Q1937" t="str">
            <v>373.S1</v>
          </cell>
          <cell r="R1937">
            <v>5044269.550829011</v>
          </cell>
        </row>
        <row r="1938">
          <cell r="Q1938" t="str">
            <v>373.NA3</v>
          </cell>
          <cell r="R1938">
            <v>5044269.550829011</v>
          </cell>
        </row>
        <row r="1939">
          <cell r="Q1939" t="str">
            <v>373.NA4</v>
          </cell>
          <cell r="R1939">
            <v>0</v>
          </cell>
        </row>
        <row r="1940">
          <cell r="Q1940" t="str">
            <v>DP.NA</v>
          </cell>
          <cell r="R1940">
            <v>0</v>
          </cell>
        </row>
        <row r="1941">
          <cell r="Q1941" t="str">
            <v>DP.S</v>
          </cell>
          <cell r="R1941">
            <v>4546566.7</v>
          </cell>
        </row>
        <row r="1942">
          <cell r="Q1942" t="str">
            <v>DP.NA1</v>
          </cell>
          <cell r="R1942">
            <v>4546566.7</v>
          </cell>
        </row>
        <row r="1943">
          <cell r="Q1943" t="str">
            <v>DP.NA2</v>
          </cell>
          <cell r="R1943">
            <v>0</v>
          </cell>
        </row>
        <row r="1944">
          <cell r="Q1944" t="str">
            <v>DS0.NA</v>
          </cell>
          <cell r="R1944">
            <v>0</v>
          </cell>
        </row>
        <row r="1945">
          <cell r="Q1945" t="str">
            <v>DS0.S</v>
          </cell>
          <cell r="R1945">
            <v>0</v>
          </cell>
        </row>
        <row r="1946">
          <cell r="Q1946" t="str">
            <v>DS0.NA1</v>
          </cell>
          <cell r="R1946">
            <v>0</v>
          </cell>
        </row>
        <row r="1947">
          <cell r="Q1947" t="str">
            <v>DS0.NA2</v>
          </cell>
          <cell r="R1947">
            <v>0</v>
          </cell>
        </row>
        <row r="1948">
          <cell r="Q1948" t="str">
            <v>DS0.NA3</v>
          </cell>
          <cell r="R1948">
            <v>0</v>
          </cell>
        </row>
        <row r="1949">
          <cell r="Q1949" t="str">
            <v>TOTAL DISTRIBUTION PLANT.NA</v>
          </cell>
          <cell r="R1949">
            <v>551435929.11724126</v>
          </cell>
        </row>
        <row r="1950">
          <cell r="Q1950" t="str">
            <v>TOTAL DISTRIBUTION PLANT.NA1</v>
          </cell>
          <cell r="R1950">
            <v>0</v>
          </cell>
        </row>
        <row r="1951">
          <cell r="Q1951" t="str">
            <v>Summary of Distribution Plant by Factor.NA</v>
          </cell>
          <cell r="R1951">
            <v>0</v>
          </cell>
        </row>
        <row r="1952">
          <cell r="Q1952" t="str">
            <v>Summary of Distribution Plant by Factor.NA1</v>
          </cell>
          <cell r="R1952">
            <v>551435929.11724126</v>
          </cell>
        </row>
        <row r="1953">
          <cell r="Q1953" t="str">
            <v>Summary of Distribution Plant by Factor.NA2</v>
          </cell>
          <cell r="R1953">
            <v>0</v>
          </cell>
        </row>
        <row r="1954">
          <cell r="Q1954" t="str">
            <v>Total Distribution Plant by Factor.NA</v>
          </cell>
          <cell r="R1954">
            <v>551435929.11724126</v>
          </cell>
        </row>
        <row r="1955">
          <cell r="Q1955" t="str">
            <v>389.NA</v>
          </cell>
          <cell r="R1955">
            <v>0</v>
          </cell>
        </row>
        <row r="1956">
          <cell r="Q1956" t="str">
            <v>389.S</v>
          </cell>
          <cell r="R1956">
            <v>1098826.3500000001</v>
          </cell>
        </row>
        <row r="1957">
          <cell r="Q1957" t="str">
            <v>389.CN</v>
          </cell>
          <cell r="R1957">
            <v>78274.160878202412</v>
          </cell>
        </row>
        <row r="1958">
          <cell r="Q1958" t="str">
            <v>389.DGU</v>
          </cell>
          <cell r="R1958">
            <v>0</v>
          </cell>
        </row>
        <row r="1959">
          <cell r="Q1959" t="str">
            <v>389.SG</v>
          </cell>
          <cell r="R1959">
            <v>0</v>
          </cell>
        </row>
        <row r="1960">
          <cell r="Q1960" t="str">
            <v>389.CAGW</v>
          </cell>
          <cell r="R1960">
            <v>0</v>
          </cell>
        </row>
        <row r="1961">
          <cell r="Q1961" t="str">
            <v>389.CAGE</v>
          </cell>
          <cell r="R1961">
            <v>0</v>
          </cell>
        </row>
        <row r="1962">
          <cell r="Q1962" t="str">
            <v>389.SO</v>
          </cell>
          <cell r="R1962">
            <v>503724.69182073907</v>
          </cell>
        </row>
        <row r="1963">
          <cell r="Q1963" t="str">
            <v>389.NA1</v>
          </cell>
          <cell r="R1963">
            <v>1680825.2026989416</v>
          </cell>
        </row>
        <row r="1964">
          <cell r="Q1964" t="str">
            <v>389.NA2</v>
          </cell>
          <cell r="R1964">
            <v>0</v>
          </cell>
        </row>
        <row r="1965">
          <cell r="Q1965" t="str">
            <v>390.NA</v>
          </cell>
          <cell r="R1965">
            <v>0</v>
          </cell>
        </row>
        <row r="1966">
          <cell r="Q1966" t="str">
            <v>390.S</v>
          </cell>
          <cell r="R1966">
            <v>13944364.9</v>
          </cell>
        </row>
        <row r="1967">
          <cell r="Q1967" t="str">
            <v>390.CAEE</v>
          </cell>
          <cell r="R1967">
            <v>0</v>
          </cell>
        </row>
        <row r="1968">
          <cell r="Q1968" t="str">
            <v>390.DGU</v>
          </cell>
          <cell r="R1968">
            <v>0</v>
          </cell>
        </row>
        <row r="1969">
          <cell r="Q1969" t="str">
            <v>390.CN</v>
          </cell>
          <cell r="R1969">
            <v>569294.37611125188</v>
          </cell>
        </row>
        <row r="1970">
          <cell r="Q1970" t="str">
            <v>390.SG</v>
          </cell>
          <cell r="R1970">
            <v>0</v>
          </cell>
        </row>
        <row r="1971">
          <cell r="Q1971" t="str">
            <v>390.CAGW</v>
          </cell>
          <cell r="R1971">
            <v>718671.99932019215</v>
          </cell>
        </row>
        <row r="1972">
          <cell r="Q1972" t="str">
            <v>390.CAGE</v>
          </cell>
          <cell r="R1972">
            <v>0</v>
          </cell>
        </row>
        <row r="1973">
          <cell r="Q1973" t="str">
            <v>390.JBG</v>
          </cell>
          <cell r="R1973">
            <v>4839.613294965402</v>
          </cell>
        </row>
        <row r="1974">
          <cell r="Q1974" t="str">
            <v>390.SO</v>
          </cell>
          <cell r="R1974">
            <v>6470447.4600448655</v>
          </cell>
        </row>
        <row r="1975">
          <cell r="Q1975" t="str">
            <v>390.NA1</v>
          </cell>
          <cell r="R1975">
            <v>21707618.348771274</v>
          </cell>
        </row>
        <row r="1976">
          <cell r="Q1976" t="str">
            <v>390.NA2</v>
          </cell>
          <cell r="R1976">
            <v>0</v>
          </cell>
        </row>
        <row r="1977">
          <cell r="Q1977" t="str">
            <v>391.NA</v>
          </cell>
          <cell r="R1977">
            <v>0</v>
          </cell>
        </row>
        <row r="1978">
          <cell r="Q1978" t="str">
            <v>391.S</v>
          </cell>
          <cell r="R1978">
            <v>308216.82</v>
          </cell>
        </row>
        <row r="1979">
          <cell r="Q1979" t="str">
            <v>391.DGP</v>
          </cell>
          <cell r="R1979">
            <v>0</v>
          </cell>
        </row>
        <row r="1980">
          <cell r="Q1980" t="str">
            <v>391.DGU</v>
          </cell>
          <cell r="R1980">
            <v>0</v>
          </cell>
        </row>
        <row r="1981">
          <cell r="Q1981" t="str">
            <v>391.CN</v>
          </cell>
          <cell r="R1981">
            <v>280264.82789480814</v>
          </cell>
        </row>
        <row r="1982">
          <cell r="Q1982" t="str">
            <v>391.SG</v>
          </cell>
          <cell r="R1982">
            <v>0</v>
          </cell>
        </row>
        <row r="1983">
          <cell r="Q1983" t="str">
            <v>391.SE</v>
          </cell>
          <cell r="R1983">
            <v>0</v>
          </cell>
        </row>
        <row r="1984">
          <cell r="Q1984" t="str">
            <v>391.SO</v>
          </cell>
          <cell r="R1984">
            <v>3448459.6702402425</v>
          </cell>
        </row>
        <row r="1985">
          <cell r="Q1985" t="str">
            <v>391.CAGW</v>
          </cell>
          <cell r="R1985">
            <v>113963.75839188171</v>
          </cell>
        </row>
        <row r="1986">
          <cell r="Q1986" t="str">
            <v>391.CAGE</v>
          </cell>
          <cell r="R1986">
            <v>0</v>
          </cell>
        </row>
        <row r="1987">
          <cell r="Q1987" t="str">
            <v>391.JBG</v>
          </cell>
          <cell r="R1987">
            <v>47925.07262370667</v>
          </cell>
        </row>
        <row r="1988">
          <cell r="Q1988" t="str">
            <v>391.JBE</v>
          </cell>
          <cell r="R1988">
            <v>0</v>
          </cell>
        </row>
        <row r="1989">
          <cell r="Q1989" t="str">
            <v>391.CAEE</v>
          </cell>
          <cell r="R1989">
            <v>0</v>
          </cell>
        </row>
        <row r="1990">
          <cell r="Q1990" t="str">
            <v>391.CAGE1</v>
          </cell>
          <cell r="R1990">
            <v>0</v>
          </cell>
        </row>
        <row r="1991">
          <cell r="Q1991" t="str">
            <v>391.CAGE2</v>
          </cell>
          <cell r="R1991">
            <v>0</v>
          </cell>
        </row>
        <row r="1992">
          <cell r="Q1992" t="str">
            <v>391.NA1</v>
          </cell>
          <cell r="R1992">
            <v>4198830.1491506388</v>
          </cell>
        </row>
        <row r="1993">
          <cell r="Q1993" t="str">
            <v>391.NA2</v>
          </cell>
          <cell r="R1993">
            <v>0</v>
          </cell>
        </row>
        <row r="1994">
          <cell r="Q1994" t="str">
            <v>392.NA</v>
          </cell>
          <cell r="R1994">
            <v>0</v>
          </cell>
        </row>
        <row r="1995">
          <cell r="Q1995" t="str">
            <v>392.S</v>
          </cell>
          <cell r="R1995">
            <v>5327124.99</v>
          </cell>
        </row>
        <row r="1996">
          <cell r="Q1996" t="str">
            <v>392.SO</v>
          </cell>
          <cell r="R1996">
            <v>462007.73201324884</v>
          </cell>
        </row>
        <row r="1997">
          <cell r="Q1997" t="str">
            <v>392.SG</v>
          </cell>
          <cell r="R1997">
            <v>0</v>
          </cell>
        </row>
        <row r="1998">
          <cell r="Q1998" t="str">
            <v>392.CN</v>
          </cell>
          <cell r="R1998">
            <v>0</v>
          </cell>
        </row>
        <row r="1999">
          <cell r="Q1999" t="str">
            <v>392.DGU</v>
          </cell>
          <cell r="R1999">
            <v>0</v>
          </cell>
        </row>
        <row r="2000">
          <cell r="Q2000" t="str">
            <v>392.SE</v>
          </cell>
          <cell r="R2000">
            <v>0</v>
          </cell>
        </row>
        <row r="2001">
          <cell r="Q2001" t="str">
            <v>392.DGP</v>
          </cell>
          <cell r="R2001">
            <v>0</v>
          </cell>
        </row>
        <row r="2002">
          <cell r="Q2002" t="str">
            <v>392.CAGW</v>
          </cell>
          <cell r="R2002">
            <v>1252330.2622511941</v>
          </cell>
        </row>
        <row r="2003">
          <cell r="Q2003" t="str">
            <v>392.CAGE</v>
          </cell>
          <cell r="R2003">
            <v>0</v>
          </cell>
        </row>
        <row r="2004">
          <cell r="Q2004" t="str">
            <v>392.JBG</v>
          </cell>
          <cell r="R2004">
            <v>560792.14167177107</v>
          </cell>
        </row>
        <row r="2005">
          <cell r="Q2005" t="str">
            <v>392.CAEW</v>
          </cell>
          <cell r="R2005">
            <v>0</v>
          </cell>
        </row>
        <row r="2006">
          <cell r="Q2006" t="str">
            <v>392.CAEE</v>
          </cell>
          <cell r="R2006">
            <v>0</v>
          </cell>
        </row>
        <row r="2007">
          <cell r="Q2007" t="str">
            <v>392.CAGE1</v>
          </cell>
          <cell r="R2007">
            <v>0</v>
          </cell>
        </row>
        <row r="2008">
          <cell r="Q2008" t="str">
            <v>392.CAGE2</v>
          </cell>
          <cell r="R2008">
            <v>0</v>
          </cell>
        </row>
        <row r="2009">
          <cell r="Q2009" t="str">
            <v>392.NA1</v>
          </cell>
          <cell r="R2009">
            <v>7602255.1259362139</v>
          </cell>
        </row>
        <row r="2010">
          <cell r="Q2010" t="str">
            <v>392.NA2</v>
          </cell>
          <cell r="R2010">
            <v>0</v>
          </cell>
        </row>
        <row r="2011">
          <cell r="Q2011" t="str">
            <v>393.NA</v>
          </cell>
          <cell r="R2011">
            <v>0</v>
          </cell>
        </row>
        <row r="2012">
          <cell r="Q2012" t="str">
            <v>393.S</v>
          </cell>
          <cell r="R2012">
            <v>697109.07</v>
          </cell>
        </row>
        <row r="2013">
          <cell r="Q2013" t="str">
            <v>393.DGP</v>
          </cell>
          <cell r="R2013">
            <v>0</v>
          </cell>
        </row>
        <row r="2014">
          <cell r="Q2014" t="str">
            <v>393.DGU</v>
          </cell>
          <cell r="R2014">
            <v>0</v>
          </cell>
        </row>
        <row r="2015">
          <cell r="Q2015" t="str">
            <v>393.SO</v>
          </cell>
          <cell r="R2015">
            <v>17095.161023658115</v>
          </cell>
        </row>
        <row r="2016">
          <cell r="Q2016" t="str">
            <v>393.SG</v>
          </cell>
          <cell r="R2016">
            <v>0</v>
          </cell>
        </row>
        <row r="2017">
          <cell r="Q2017" t="str">
            <v>393.CAGW</v>
          </cell>
          <cell r="R2017">
            <v>168998.49229398972</v>
          </cell>
        </row>
        <row r="2018">
          <cell r="Q2018" t="str">
            <v>393.CAGE</v>
          </cell>
          <cell r="R2018">
            <v>0</v>
          </cell>
        </row>
        <row r="2019">
          <cell r="Q2019" t="str">
            <v>393.JBG</v>
          </cell>
          <cell r="R2019">
            <v>189174.49236108482</v>
          </cell>
        </row>
        <row r="2020">
          <cell r="Q2020" t="str">
            <v>393.CAGE1</v>
          </cell>
          <cell r="R2020">
            <v>0</v>
          </cell>
        </row>
        <row r="2021">
          <cell r="Q2021" t="str">
            <v>393.NA1</v>
          </cell>
          <cell r="R2021">
            <v>1072377.2156787326</v>
          </cell>
        </row>
        <row r="2022">
          <cell r="Q2022" t="str">
            <v>393.NA2</v>
          </cell>
          <cell r="R2022">
            <v>0</v>
          </cell>
        </row>
        <row r="2023">
          <cell r="Q2023" t="str">
            <v>394.NA</v>
          </cell>
          <cell r="R2023">
            <v>0</v>
          </cell>
        </row>
        <row r="2024">
          <cell r="Q2024" t="str">
            <v>394.S</v>
          </cell>
          <cell r="R2024">
            <v>2744153.21</v>
          </cell>
        </row>
        <row r="2025">
          <cell r="Q2025" t="str">
            <v>394.DGP</v>
          </cell>
          <cell r="R2025">
            <v>0</v>
          </cell>
        </row>
        <row r="2026">
          <cell r="Q2026" t="str">
            <v>394.SG</v>
          </cell>
          <cell r="R2026">
            <v>0</v>
          </cell>
        </row>
        <row r="2027">
          <cell r="Q2027" t="str">
            <v>394.SO</v>
          </cell>
          <cell r="R2027">
            <v>142558.78085501879</v>
          </cell>
        </row>
        <row r="2028">
          <cell r="Q2028" t="str">
            <v>394.SE</v>
          </cell>
          <cell r="R2028">
            <v>0</v>
          </cell>
        </row>
        <row r="2029">
          <cell r="Q2029" t="str">
            <v>394.DGU</v>
          </cell>
          <cell r="R2029">
            <v>0</v>
          </cell>
        </row>
        <row r="2030">
          <cell r="Q2030" t="str">
            <v>394.CAGW</v>
          </cell>
          <cell r="R2030">
            <v>577591.66062297439</v>
          </cell>
        </row>
        <row r="2031">
          <cell r="Q2031" t="str">
            <v>394.CAGE</v>
          </cell>
          <cell r="R2031">
            <v>0</v>
          </cell>
        </row>
        <row r="2032">
          <cell r="Q2032" t="str">
            <v>394.JBG</v>
          </cell>
          <cell r="R2032">
            <v>661224.38073403784</v>
          </cell>
        </row>
        <row r="2033">
          <cell r="Q2033" t="str">
            <v>394.CAEW</v>
          </cell>
          <cell r="R2033">
            <v>0</v>
          </cell>
        </row>
        <row r="2034">
          <cell r="Q2034" t="str">
            <v>394.CAEE</v>
          </cell>
          <cell r="R2034">
            <v>0</v>
          </cell>
        </row>
        <row r="2035">
          <cell r="Q2035" t="str">
            <v>394.CAGE1</v>
          </cell>
          <cell r="R2035">
            <v>0</v>
          </cell>
        </row>
        <row r="2036">
          <cell r="Q2036" t="str">
            <v>394.CAGE2</v>
          </cell>
          <cell r="R2036">
            <v>0</v>
          </cell>
        </row>
        <row r="2037">
          <cell r="Q2037" t="str">
            <v>394.NA1</v>
          </cell>
          <cell r="R2037">
            <v>4125528.0322120311</v>
          </cell>
        </row>
        <row r="2038">
          <cell r="Q2038" t="str">
            <v>394.NA2</v>
          </cell>
          <cell r="R2038">
            <v>0</v>
          </cell>
        </row>
        <row r="2039">
          <cell r="Q2039" t="str">
            <v>395.NA</v>
          </cell>
          <cell r="R2039">
            <v>0</v>
          </cell>
        </row>
        <row r="2040">
          <cell r="Q2040" t="str">
            <v>395.S</v>
          </cell>
          <cell r="R2040">
            <v>1277394.56</v>
          </cell>
        </row>
        <row r="2041">
          <cell r="Q2041" t="str">
            <v>395.DGP</v>
          </cell>
          <cell r="R2041">
            <v>0</v>
          </cell>
        </row>
        <row r="2042">
          <cell r="Q2042" t="str">
            <v>395.DGU</v>
          </cell>
          <cell r="R2042">
            <v>0</v>
          </cell>
        </row>
        <row r="2043">
          <cell r="Q2043" t="str">
            <v>395.SO</v>
          </cell>
          <cell r="R2043">
            <v>333314.50957191276</v>
          </cell>
        </row>
        <row r="2044">
          <cell r="Q2044" t="str">
            <v>395.SE</v>
          </cell>
          <cell r="R2044">
            <v>0</v>
          </cell>
        </row>
        <row r="2045">
          <cell r="Q2045" t="str">
            <v>395.SG</v>
          </cell>
          <cell r="R2045">
            <v>0</v>
          </cell>
        </row>
        <row r="2046">
          <cell r="Q2046" t="str">
            <v>395.CAGW</v>
          </cell>
          <cell r="R2046">
            <v>287916.18210578075</v>
          </cell>
        </row>
        <row r="2047">
          <cell r="Q2047" t="str">
            <v>395.CAGE</v>
          </cell>
          <cell r="R2047">
            <v>0</v>
          </cell>
        </row>
        <row r="2048">
          <cell r="Q2048" t="str">
            <v>395.JBG</v>
          </cell>
          <cell r="R2048">
            <v>77193.391006874823</v>
          </cell>
        </row>
        <row r="2049">
          <cell r="Q2049" t="str">
            <v>395.CAEW</v>
          </cell>
          <cell r="R2049">
            <v>0</v>
          </cell>
        </row>
        <row r="2050">
          <cell r="Q2050" t="str">
            <v>395.CAEE</v>
          </cell>
          <cell r="R2050">
            <v>0</v>
          </cell>
        </row>
        <row r="2051">
          <cell r="Q2051" t="str">
            <v>395.CAGE1</v>
          </cell>
          <cell r="R2051">
            <v>0</v>
          </cell>
        </row>
        <row r="2052">
          <cell r="Q2052" t="str">
            <v>395.CAGE2</v>
          </cell>
          <cell r="R2052">
            <v>0</v>
          </cell>
        </row>
        <row r="2053">
          <cell r="Q2053" t="str">
            <v>395.NA1</v>
          </cell>
          <cell r="R2053">
            <v>1975818.6426845684</v>
          </cell>
        </row>
        <row r="2054">
          <cell r="Q2054" t="str">
            <v>395.NA2</v>
          </cell>
          <cell r="R2054">
            <v>0</v>
          </cell>
        </row>
        <row r="2055">
          <cell r="Q2055" t="str">
            <v>396.NA</v>
          </cell>
          <cell r="R2055">
            <v>0</v>
          </cell>
        </row>
        <row r="2056">
          <cell r="Q2056" t="str">
            <v>396.S</v>
          </cell>
          <cell r="R2056">
            <v>8938492.0700000003</v>
          </cell>
        </row>
        <row r="2057">
          <cell r="Q2057" t="str">
            <v>396.DGP</v>
          </cell>
          <cell r="R2057">
            <v>0</v>
          </cell>
        </row>
        <row r="2058">
          <cell r="Q2058" t="str">
            <v>396.SG</v>
          </cell>
          <cell r="R2058">
            <v>0</v>
          </cell>
        </row>
        <row r="2059">
          <cell r="Q2059" t="str">
            <v>396.SO</v>
          </cell>
          <cell r="R2059">
            <v>408351.28346390935</v>
          </cell>
        </row>
        <row r="2060">
          <cell r="Q2060" t="str">
            <v>396.DGU</v>
          </cell>
          <cell r="R2060">
            <v>0</v>
          </cell>
        </row>
        <row r="2061">
          <cell r="Q2061" t="str">
            <v>396.SE</v>
          </cell>
          <cell r="R2061">
            <v>0</v>
          </cell>
        </row>
        <row r="2062">
          <cell r="Q2062" t="str">
            <v>396.CAGW</v>
          </cell>
          <cell r="R2062">
            <v>774024.78967441025</v>
          </cell>
        </row>
        <row r="2063">
          <cell r="Q2063" t="str">
            <v>396.CAGE</v>
          </cell>
          <cell r="R2063">
            <v>0</v>
          </cell>
        </row>
        <row r="2064">
          <cell r="Q2064" t="str">
            <v>396.JBG</v>
          </cell>
          <cell r="R2064">
            <v>2168844.4072024617</v>
          </cell>
        </row>
        <row r="2065">
          <cell r="Q2065" t="str">
            <v>396.CAEW</v>
          </cell>
          <cell r="R2065">
            <v>0</v>
          </cell>
        </row>
        <row r="2066">
          <cell r="Q2066" t="str">
            <v>396.CAEE</v>
          </cell>
          <cell r="R2066">
            <v>0</v>
          </cell>
        </row>
        <row r="2067">
          <cell r="Q2067" t="str">
            <v>396.CAGE1</v>
          </cell>
          <cell r="R2067">
            <v>0</v>
          </cell>
        </row>
        <row r="2068">
          <cell r="Q2068" t="str">
            <v>396.CAGE2</v>
          </cell>
          <cell r="R2068">
            <v>0</v>
          </cell>
        </row>
        <row r="2069">
          <cell r="Q2069" t="str">
            <v>396.NA1</v>
          </cell>
          <cell r="R2069">
            <v>12289712.550340783</v>
          </cell>
        </row>
        <row r="2070">
          <cell r="Q2070" t="str">
            <v>397.NA</v>
          </cell>
          <cell r="R2070">
            <v>0</v>
          </cell>
        </row>
        <row r="2071">
          <cell r="Q2071" t="str">
            <v>397.S</v>
          </cell>
          <cell r="R2071">
            <v>15141287.744463166</v>
          </cell>
        </row>
        <row r="2072">
          <cell r="Q2072" t="str">
            <v>397.DGP</v>
          </cell>
          <cell r="R2072">
            <v>0</v>
          </cell>
        </row>
        <row r="2073">
          <cell r="Q2073" t="str">
            <v>397.DGU</v>
          </cell>
          <cell r="R2073">
            <v>0</v>
          </cell>
        </row>
        <row r="2074">
          <cell r="Q2074" t="str">
            <v>397.SO</v>
          </cell>
          <cell r="R2074">
            <v>7455706.8861076515</v>
          </cell>
        </row>
        <row r="2075">
          <cell r="Q2075" t="str">
            <v>397.CN</v>
          </cell>
          <cell r="R2075">
            <v>71892.992636725161</v>
          </cell>
        </row>
        <row r="2076">
          <cell r="Q2076" t="str">
            <v>397.SG</v>
          </cell>
          <cell r="R2076">
            <v>10832.713391067768</v>
          </cell>
        </row>
        <row r="2077">
          <cell r="Q2077" t="str">
            <v>397.SE</v>
          </cell>
          <cell r="R2077">
            <v>0</v>
          </cell>
        </row>
        <row r="2078">
          <cell r="Q2078" t="str">
            <v>397.CAGW</v>
          </cell>
          <cell r="R2078">
            <v>13090607.462139789</v>
          </cell>
        </row>
        <row r="2079">
          <cell r="Q2079" t="str">
            <v>397.CAGE</v>
          </cell>
          <cell r="R2079">
            <v>0</v>
          </cell>
        </row>
        <row r="2080">
          <cell r="Q2080" t="str">
            <v>397.JBG</v>
          </cell>
          <cell r="R2080">
            <v>858254.28638843982</v>
          </cell>
        </row>
        <row r="2081">
          <cell r="Q2081" t="str">
            <v>397.CAEW</v>
          </cell>
          <cell r="R2081">
            <v>0</v>
          </cell>
        </row>
        <row r="2082">
          <cell r="Q2082" t="str">
            <v>397.CAEE</v>
          </cell>
          <cell r="R2082">
            <v>0</v>
          </cell>
        </row>
        <row r="2083">
          <cell r="Q2083" t="str">
            <v>397.JBE</v>
          </cell>
          <cell r="R2083">
            <v>-72.497943240430459</v>
          </cell>
        </row>
        <row r="2084">
          <cell r="Q2084" t="str">
            <v>397.CAGE1</v>
          </cell>
          <cell r="R2084">
            <v>0</v>
          </cell>
        </row>
        <row r="2085">
          <cell r="Q2085" t="str">
            <v>397.NA1</v>
          </cell>
          <cell r="R2085">
            <v>36628509.58718361</v>
          </cell>
        </row>
        <row r="2086">
          <cell r="Q2086" t="str">
            <v>397.NA2</v>
          </cell>
          <cell r="R2086">
            <v>0</v>
          </cell>
        </row>
        <row r="2087">
          <cell r="Q2087" t="str">
            <v>398.NA</v>
          </cell>
          <cell r="R2087">
            <v>0</v>
          </cell>
        </row>
        <row r="2088">
          <cell r="Q2088" t="str">
            <v>398.S</v>
          </cell>
          <cell r="R2088">
            <v>180963.03</v>
          </cell>
        </row>
        <row r="2089">
          <cell r="Q2089" t="str">
            <v>398.DGP</v>
          </cell>
          <cell r="R2089">
            <v>0</v>
          </cell>
        </row>
        <row r="2090">
          <cell r="Q2090" t="str">
            <v>398.DGU</v>
          </cell>
          <cell r="R2090">
            <v>0</v>
          </cell>
        </row>
        <row r="2091">
          <cell r="Q2091" t="str">
            <v>398.CN</v>
          </cell>
          <cell r="R2091">
            <v>5722.0809235068846</v>
          </cell>
        </row>
        <row r="2092">
          <cell r="Q2092" t="str">
            <v>398.SO</v>
          </cell>
          <cell r="R2092">
            <v>147783.49200923034</v>
          </cell>
        </row>
        <row r="2093">
          <cell r="Q2093" t="str">
            <v>398.SE</v>
          </cell>
          <cell r="R2093">
            <v>0</v>
          </cell>
        </row>
        <row r="2094">
          <cell r="Q2094" t="str">
            <v>398.SG</v>
          </cell>
          <cell r="R2094">
            <v>0</v>
          </cell>
        </row>
        <row r="2095">
          <cell r="Q2095" t="str">
            <v>398.CAGW</v>
          </cell>
          <cell r="R2095">
            <v>88351.481707118161</v>
          </cell>
        </row>
        <row r="2096">
          <cell r="Q2096" t="str">
            <v>398.CAGE</v>
          </cell>
          <cell r="R2096">
            <v>0</v>
          </cell>
        </row>
        <row r="2097">
          <cell r="Q2097" t="str">
            <v>398.JBG</v>
          </cell>
          <cell r="R2097">
            <v>44670.006371456548</v>
          </cell>
        </row>
        <row r="2098">
          <cell r="Q2098" t="str">
            <v>398.CAEW</v>
          </cell>
          <cell r="R2098">
            <v>0</v>
          </cell>
        </row>
        <row r="2099">
          <cell r="Q2099" t="str">
            <v>398.CAEE</v>
          </cell>
          <cell r="R2099">
            <v>0</v>
          </cell>
        </row>
        <row r="2100">
          <cell r="Q2100" t="str">
            <v>398.CAGE1</v>
          </cell>
          <cell r="R2100">
            <v>0</v>
          </cell>
        </row>
        <row r="2101">
          <cell r="Q2101" t="str">
            <v>398.NA1</v>
          </cell>
          <cell r="R2101">
            <v>467490.09101131192</v>
          </cell>
        </row>
        <row r="2102">
          <cell r="Q2102" t="str">
            <v>398.NA2</v>
          </cell>
          <cell r="R2102">
            <v>0</v>
          </cell>
        </row>
        <row r="2103">
          <cell r="Q2103" t="str">
            <v>399.NA</v>
          </cell>
          <cell r="R2103">
            <v>0</v>
          </cell>
        </row>
        <row r="2104">
          <cell r="Q2104" t="str">
            <v>399.SE</v>
          </cell>
          <cell r="R2104">
            <v>0</v>
          </cell>
        </row>
        <row r="2105">
          <cell r="Q2105" t="str">
            <v>399.CAEW</v>
          </cell>
          <cell r="R2105">
            <v>0</v>
          </cell>
        </row>
        <row r="2106">
          <cell r="Q2106" t="str">
            <v>399.CAEE</v>
          </cell>
          <cell r="R2106">
            <v>0</v>
          </cell>
        </row>
        <row r="2107">
          <cell r="Q2107" t="str">
            <v>MP.JBE</v>
          </cell>
          <cell r="R2107">
            <v>68402453.89308764</v>
          </cell>
        </row>
        <row r="2108">
          <cell r="Q2108" t="str">
            <v>MP.NA</v>
          </cell>
          <cell r="R2108">
            <v>68402453.89308764</v>
          </cell>
        </row>
        <row r="2109">
          <cell r="Q2109" t="str">
            <v>MP.NA1</v>
          </cell>
          <cell r="R2109">
            <v>0</v>
          </cell>
        </row>
        <row r="2110">
          <cell r="Q2110" t="str">
            <v>399L.NA</v>
          </cell>
          <cell r="R2110">
            <v>0</v>
          </cell>
        </row>
        <row r="2111">
          <cell r="Q2111" t="str">
            <v>399L.SE</v>
          </cell>
          <cell r="R2111">
            <v>0</v>
          </cell>
        </row>
        <row r="2112">
          <cell r="Q2112" t="str">
            <v>399L.NA1</v>
          </cell>
          <cell r="R2112">
            <v>0</v>
          </cell>
        </row>
        <row r="2113">
          <cell r="Q2113" t="str">
            <v>399L.NA2</v>
          </cell>
          <cell r="R2113">
            <v>0</v>
          </cell>
        </row>
        <row r="2114">
          <cell r="Q2114" t="str">
            <v>399L.NA3</v>
          </cell>
          <cell r="R2114">
            <v>0</v>
          </cell>
        </row>
        <row r="2115">
          <cell r="Q2115" t="str">
            <v>399L.NA4</v>
          </cell>
          <cell r="R2115">
            <v>0</v>
          </cell>
        </row>
        <row r="2116">
          <cell r="Q2116" t="str">
            <v>399L.NA5</v>
          </cell>
          <cell r="R2116">
            <v>0</v>
          </cell>
        </row>
        <row r="2117">
          <cell r="Q2117" t="str">
            <v>1011390.NA</v>
          </cell>
          <cell r="R2117">
            <v>0</v>
          </cell>
        </row>
        <row r="2118">
          <cell r="Q2118" t="str">
            <v>1011390.S</v>
          </cell>
          <cell r="R2118">
            <v>0</v>
          </cell>
        </row>
        <row r="2119">
          <cell r="Q2119" t="str">
            <v>1011390.CAGW</v>
          </cell>
          <cell r="R2119">
            <v>702369.02380910586</v>
          </cell>
        </row>
        <row r="2120">
          <cell r="Q2120" t="str">
            <v>1011390.CAGE</v>
          </cell>
          <cell r="R2120">
            <v>0</v>
          </cell>
        </row>
        <row r="2121">
          <cell r="Q2121" t="str">
            <v>1011390.SO</v>
          </cell>
          <cell r="R2121">
            <v>144504.51827184588</v>
          </cell>
        </row>
        <row r="2122">
          <cell r="Q2122" t="str">
            <v>1011390.NA1</v>
          </cell>
          <cell r="R2122">
            <v>846873.54208095174</v>
          </cell>
        </row>
        <row r="2123">
          <cell r="Q2123" t="str">
            <v>1011390.NA2</v>
          </cell>
          <cell r="R2123">
            <v>0</v>
          </cell>
        </row>
        <row r="2124">
          <cell r="Q2124" t="str">
            <v>1011390.NA3</v>
          </cell>
          <cell r="R2124">
            <v>-846873.54208095174</v>
          </cell>
        </row>
        <row r="2125">
          <cell r="Q2125" t="str">
            <v>1011390.NA4</v>
          </cell>
          <cell r="R2125">
            <v>0</v>
          </cell>
        </row>
        <row r="2126">
          <cell r="Q2126" t="str">
            <v>1011390.NA5</v>
          </cell>
          <cell r="R2126">
            <v>0</v>
          </cell>
        </row>
        <row r="2127">
          <cell r="Q2127" t="str">
            <v>1011392.NA</v>
          </cell>
          <cell r="R2127">
            <v>0</v>
          </cell>
        </row>
        <row r="2128">
          <cell r="Q2128" t="str">
            <v>1011392.SO</v>
          </cell>
          <cell r="R2128">
            <v>0</v>
          </cell>
        </row>
        <row r="2129">
          <cell r="Q2129" t="str">
            <v>1011392.NA1</v>
          </cell>
          <cell r="R2129">
            <v>0</v>
          </cell>
        </row>
        <row r="2130">
          <cell r="Q2130" t="str">
            <v>1011392.NA2</v>
          </cell>
          <cell r="R2130">
            <v>0</v>
          </cell>
        </row>
        <row r="2131">
          <cell r="Q2131" t="str">
            <v>1011392.NA3</v>
          </cell>
          <cell r="R2131">
            <v>0</v>
          </cell>
        </row>
        <row r="2132">
          <cell r="Q2132" t="str">
            <v>1011392.NA4</v>
          </cell>
          <cell r="R2132">
            <v>0</v>
          </cell>
        </row>
        <row r="2133">
          <cell r="Q2133" t="str">
            <v>1011392.NA5</v>
          </cell>
          <cell r="R2133">
            <v>0</v>
          </cell>
        </row>
        <row r="2134">
          <cell r="Q2134" t="str">
            <v>GP.NA</v>
          </cell>
          <cell r="R2134">
            <v>0</v>
          </cell>
        </row>
        <row r="2135">
          <cell r="Q2135" t="str">
            <v>GP.S</v>
          </cell>
          <cell r="R2135">
            <v>0</v>
          </cell>
        </row>
        <row r="2136">
          <cell r="Q2136" t="str">
            <v>GP.SO</v>
          </cell>
          <cell r="R2136">
            <v>2642952.9115882386</v>
          </cell>
        </row>
        <row r="2137">
          <cell r="Q2137" t="str">
            <v>GP.CN</v>
          </cell>
          <cell r="R2137">
            <v>0</v>
          </cell>
        </row>
        <row r="2138">
          <cell r="Q2138" t="str">
            <v>GP.SG</v>
          </cell>
          <cell r="R2138">
            <v>0</v>
          </cell>
        </row>
        <row r="2139">
          <cell r="Q2139" t="str">
            <v>GP.CAGE</v>
          </cell>
          <cell r="R2139">
            <v>0</v>
          </cell>
        </row>
        <row r="2140">
          <cell r="Q2140" t="str">
            <v>GP.CAGW</v>
          </cell>
          <cell r="R2140">
            <v>0</v>
          </cell>
        </row>
        <row r="2141">
          <cell r="Q2141" t="str">
            <v>GP.NA1</v>
          </cell>
          <cell r="R2141">
            <v>2642952.9115882386</v>
          </cell>
        </row>
        <row r="2142">
          <cell r="Q2142" t="str">
            <v>GP.NA2</v>
          </cell>
          <cell r="R2142">
            <v>0</v>
          </cell>
        </row>
        <row r="2143">
          <cell r="Q2143" t="str">
            <v>399G.NA</v>
          </cell>
          <cell r="R2143">
            <v>0</v>
          </cell>
        </row>
        <row r="2144">
          <cell r="Q2144" t="str">
            <v>399G.S</v>
          </cell>
          <cell r="R2144">
            <v>0</v>
          </cell>
        </row>
        <row r="2145">
          <cell r="Q2145" t="str">
            <v>399G.SO</v>
          </cell>
          <cell r="R2145">
            <v>0</v>
          </cell>
        </row>
        <row r="2146">
          <cell r="Q2146" t="str">
            <v>399G.SG</v>
          </cell>
          <cell r="R2146">
            <v>0</v>
          </cell>
        </row>
        <row r="2147">
          <cell r="Q2147" t="str">
            <v>399G.DGP</v>
          </cell>
          <cell r="R2147">
            <v>0</v>
          </cell>
        </row>
        <row r="2148">
          <cell r="Q2148" t="str">
            <v>399G.DGU</v>
          </cell>
          <cell r="R2148">
            <v>0</v>
          </cell>
        </row>
        <row r="2149">
          <cell r="Q2149" t="str">
            <v>399G.NA1</v>
          </cell>
          <cell r="R2149">
            <v>0</v>
          </cell>
        </row>
        <row r="2150">
          <cell r="Q2150" t="str">
            <v>399G.NA2</v>
          </cell>
          <cell r="R2150">
            <v>0</v>
          </cell>
        </row>
        <row r="2151">
          <cell r="Q2151" t="str">
            <v>TOTAL GENERAL PLANT.NA</v>
          </cell>
          <cell r="R2151">
            <v>162794371.75034398</v>
          </cell>
        </row>
        <row r="2152">
          <cell r="Q2152" t="str">
            <v>TOTAL GENERAL PLANT.NA1</v>
          </cell>
          <cell r="R2152">
            <v>0</v>
          </cell>
        </row>
        <row r="2153">
          <cell r="Q2153" t="str">
            <v>Summary of General Plant by Factor.NA</v>
          </cell>
          <cell r="R2153">
            <v>0</v>
          </cell>
        </row>
        <row r="2154">
          <cell r="Q2154" t="str">
            <v>Summary of General Plant by Factor.NA1</v>
          </cell>
          <cell r="R2154">
            <v>49657932.744463168</v>
          </cell>
        </row>
        <row r="2155">
          <cell r="Q2155" t="str">
            <v>Summary of General Plant by Factor.NA2</v>
          </cell>
          <cell r="R2155">
            <v>4612917.7916547982</v>
          </cell>
        </row>
        <row r="2156">
          <cell r="Q2156" t="str">
            <v>Summary of General Plant by Factor.NA3</v>
          </cell>
          <cell r="R2156">
            <v>68402381.395144403</v>
          </cell>
        </row>
        <row r="2157">
          <cell r="Q2157" t="str">
            <v>Summary of General Plant by Factor.NA4</v>
          </cell>
          <cell r="R2157">
            <v>10832.713391067768</v>
          </cell>
        </row>
        <row r="2158">
          <cell r="Q2158" t="str">
            <v>Summary of General Plant by Factor.NA5</v>
          </cell>
          <cell r="R2158">
            <v>22176907.09701056</v>
          </cell>
        </row>
        <row r="2159">
          <cell r="Q2159" t="str">
            <v>Summary of General Plant by Factor.NA6</v>
          </cell>
          <cell r="R2159">
            <v>0</v>
          </cell>
        </row>
        <row r="2160">
          <cell r="Q2160" t="str">
            <v>Summary of General Plant by Factor.NA7</v>
          </cell>
          <cell r="R2160">
            <v>1005448.4384444945</v>
          </cell>
        </row>
        <row r="2161">
          <cell r="Q2161" t="str">
            <v>Summary of General Plant by Factor.NA8</v>
          </cell>
          <cell r="R2161">
            <v>0</v>
          </cell>
        </row>
        <row r="2162">
          <cell r="Q2162" t="str">
            <v>Summary of General Plant by Factor.NA9</v>
          </cell>
          <cell r="R2162">
            <v>17774825.112316437</v>
          </cell>
        </row>
        <row r="2163">
          <cell r="Q2163" t="str">
            <v>Summary of General Plant by Factor.NA10</v>
          </cell>
          <cell r="R2163">
            <v>0</v>
          </cell>
        </row>
        <row r="2164">
          <cell r="Q2164" t="str">
            <v>Summary of General Plant by Factor.NA11</v>
          </cell>
          <cell r="R2164">
            <v>0</v>
          </cell>
        </row>
        <row r="2165">
          <cell r="Q2165" t="str">
            <v>Summary of General Plant by Factor.NA12</v>
          </cell>
          <cell r="R2165">
            <v>0</v>
          </cell>
        </row>
        <row r="2166">
          <cell r="Q2166" t="str">
            <v>Summary of General Plant by Factor.NA13</v>
          </cell>
          <cell r="R2166">
            <v>0</v>
          </cell>
        </row>
        <row r="2167">
          <cell r="Q2167" t="str">
            <v>Summary of General Plant by Factor.NA14</v>
          </cell>
          <cell r="R2167">
            <v>0</v>
          </cell>
        </row>
        <row r="2168">
          <cell r="Q2168" t="str">
            <v>Summary of General Plant by Factor.NA15</v>
          </cell>
          <cell r="R2168">
            <v>-846873.54208095174</v>
          </cell>
        </row>
        <row r="2169">
          <cell r="Q2169" t="str">
            <v>Total General Plant by Factor.NA</v>
          </cell>
          <cell r="R2169">
            <v>162794371.75034398</v>
          </cell>
        </row>
        <row r="2170">
          <cell r="Q2170" t="str">
            <v>301.NA</v>
          </cell>
          <cell r="R2170">
            <v>0</v>
          </cell>
        </row>
        <row r="2171">
          <cell r="Q2171" t="str">
            <v>301.S</v>
          </cell>
          <cell r="R2171">
            <v>0</v>
          </cell>
        </row>
        <row r="2172">
          <cell r="Q2172" t="str">
            <v>301.SO</v>
          </cell>
          <cell r="R2172">
            <v>0</v>
          </cell>
        </row>
        <row r="2173">
          <cell r="Q2173" t="str">
            <v>301.CAGW</v>
          </cell>
          <cell r="R2173">
            <v>0</v>
          </cell>
        </row>
        <row r="2174">
          <cell r="Q2174" t="str">
            <v>301.CAGE</v>
          </cell>
          <cell r="R2174">
            <v>0</v>
          </cell>
        </row>
        <row r="2175">
          <cell r="Q2175" t="str">
            <v>301.SG</v>
          </cell>
          <cell r="R2175">
            <v>0</v>
          </cell>
        </row>
        <row r="2176">
          <cell r="Q2176" t="str">
            <v>301.NA1</v>
          </cell>
          <cell r="R2176">
            <v>0</v>
          </cell>
        </row>
        <row r="2177">
          <cell r="Q2177" t="str">
            <v>302.NA</v>
          </cell>
          <cell r="R2177">
            <v>0</v>
          </cell>
        </row>
        <row r="2178">
          <cell r="Q2178" t="str">
            <v>302.S</v>
          </cell>
          <cell r="R2178">
            <v>0</v>
          </cell>
        </row>
        <row r="2179">
          <cell r="Q2179" t="str">
            <v>302.SG</v>
          </cell>
          <cell r="R2179">
            <v>0</v>
          </cell>
        </row>
        <row r="2180">
          <cell r="Q2180" t="str">
            <v>302.CAGW</v>
          </cell>
          <cell r="R2180">
            <v>0</v>
          </cell>
        </row>
        <row r="2181">
          <cell r="Q2181" t="str">
            <v>302.CAGE</v>
          </cell>
          <cell r="R2181">
            <v>0</v>
          </cell>
        </row>
        <row r="2182">
          <cell r="Q2182" t="str">
            <v>302.CAGW1</v>
          </cell>
          <cell r="R2182">
            <v>39086507.538377464</v>
          </cell>
        </row>
        <row r="2183">
          <cell r="Q2183" t="str">
            <v>302.CAGE1</v>
          </cell>
          <cell r="R2183">
            <v>0</v>
          </cell>
        </row>
        <row r="2184">
          <cell r="Q2184" t="str">
            <v>302.DGP</v>
          </cell>
          <cell r="R2184">
            <v>0</v>
          </cell>
        </row>
        <row r="2185">
          <cell r="Q2185" t="str">
            <v>302.DGU</v>
          </cell>
          <cell r="R2185">
            <v>0</v>
          </cell>
        </row>
        <row r="2186">
          <cell r="Q2186" t="str">
            <v>302.NA1</v>
          </cell>
          <cell r="R2186">
            <v>39086507.538377464</v>
          </cell>
        </row>
        <row r="2187">
          <cell r="Q2187" t="str">
            <v>302.NA2</v>
          </cell>
          <cell r="R2187">
            <v>0</v>
          </cell>
        </row>
        <row r="2188">
          <cell r="Q2188" t="str">
            <v>303.NA</v>
          </cell>
          <cell r="R2188">
            <v>0</v>
          </cell>
        </row>
        <row r="2189">
          <cell r="Q2189" t="str">
            <v>303.S</v>
          </cell>
          <cell r="R2189">
            <v>2036363.08</v>
          </cell>
        </row>
        <row r="2190">
          <cell r="Q2190" t="str">
            <v>303.SG</v>
          </cell>
          <cell r="R2190">
            <v>9114341.4722751249</v>
          </cell>
        </row>
        <row r="2191">
          <cell r="Q2191" t="str">
            <v>303.SO</v>
          </cell>
          <cell r="R2191">
            <v>27021117.770287666</v>
          </cell>
        </row>
        <row r="2192">
          <cell r="Q2192" t="str">
            <v>303.SE</v>
          </cell>
          <cell r="R2192">
            <v>0</v>
          </cell>
        </row>
        <row r="2193">
          <cell r="Q2193" t="str">
            <v>303.CN</v>
          </cell>
          <cell r="R2193">
            <v>12172420.765036955</v>
          </cell>
        </row>
        <row r="2194">
          <cell r="Q2194" t="str">
            <v>303.CAGW</v>
          </cell>
          <cell r="R2194">
            <v>-6094007.685634451</v>
          </cell>
        </row>
        <row r="2195">
          <cell r="Q2195" t="str">
            <v>303.CAGE</v>
          </cell>
          <cell r="R2195">
            <v>0</v>
          </cell>
        </row>
        <row r="2196">
          <cell r="Q2196" t="str">
            <v>303.JBG</v>
          </cell>
          <cell r="R2196">
            <v>459990.05873705889</v>
          </cell>
        </row>
        <row r="2197">
          <cell r="Q2197" t="str">
            <v>303.CAEW</v>
          </cell>
          <cell r="R2197">
            <v>0</v>
          </cell>
        </row>
        <row r="2198">
          <cell r="Q2198" t="str">
            <v>303.CAEE</v>
          </cell>
          <cell r="R2198">
            <v>0</v>
          </cell>
        </row>
        <row r="2199">
          <cell r="Q2199" t="str">
            <v>303.CAGE1</v>
          </cell>
          <cell r="R2199">
            <v>0</v>
          </cell>
        </row>
        <row r="2200">
          <cell r="Q2200" t="str">
            <v>303.CAGE2</v>
          </cell>
          <cell r="R2200">
            <v>0</v>
          </cell>
        </row>
        <row r="2201">
          <cell r="Q2201" t="str">
            <v>303.NA1</v>
          </cell>
          <cell r="R2201">
            <v>44710225.46070236</v>
          </cell>
        </row>
        <row r="2202">
          <cell r="Q2202" t="str">
            <v>303.NA2</v>
          </cell>
          <cell r="R2202">
            <v>0</v>
          </cell>
        </row>
        <row r="2203">
          <cell r="Q2203" t="str">
            <v>303.S1</v>
          </cell>
          <cell r="R2203">
            <v>0</v>
          </cell>
        </row>
        <row r="2204">
          <cell r="Q2204" t="str">
            <v>303.NA3</v>
          </cell>
          <cell r="R2204">
            <v>44710225.46070236</v>
          </cell>
        </row>
        <row r="2205">
          <cell r="Q2205" t="str">
            <v>IP.NA</v>
          </cell>
          <cell r="R2205">
            <v>0</v>
          </cell>
        </row>
        <row r="2206">
          <cell r="Q2206" t="str">
            <v>IP.S</v>
          </cell>
          <cell r="R2206">
            <v>0</v>
          </cell>
        </row>
        <row r="2207">
          <cell r="Q2207" t="str">
            <v>IP.SG</v>
          </cell>
          <cell r="R2207">
            <v>0</v>
          </cell>
        </row>
        <row r="2208">
          <cell r="Q2208" t="str">
            <v>IP.DGU</v>
          </cell>
          <cell r="R2208">
            <v>0</v>
          </cell>
        </row>
        <row r="2209">
          <cell r="Q2209" t="str">
            <v>IP.SO</v>
          </cell>
          <cell r="R2209">
            <v>0</v>
          </cell>
        </row>
        <row r="2210">
          <cell r="Q2210" t="str">
            <v>IP.NA1</v>
          </cell>
          <cell r="R2210">
            <v>0</v>
          </cell>
        </row>
        <row r="2211">
          <cell r="Q2211" t="str">
            <v>IP.NA2</v>
          </cell>
          <cell r="R2211">
            <v>0</v>
          </cell>
        </row>
        <row r="2212">
          <cell r="Q2212" t="str">
            <v>TOTAL INTANGIBLE PLANT.NA</v>
          </cell>
          <cell r="R2212">
            <v>83796732.999079809</v>
          </cell>
        </row>
        <row r="2213">
          <cell r="Q2213" t="str">
            <v>TOTAL INTANGIBLE PLANT.NA1</v>
          </cell>
          <cell r="R2213">
            <v>0</v>
          </cell>
        </row>
        <row r="2214">
          <cell r="Q2214" t="str">
            <v>Summary of Intangible Plant by Factor.NA</v>
          </cell>
          <cell r="R2214">
            <v>0</v>
          </cell>
        </row>
        <row r="2215">
          <cell r="Q2215" t="str">
            <v>Summary of Intangible Plant by Factor.NA1</v>
          </cell>
          <cell r="R2215">
            <v>2036363.08</v>
          </cell>
        </row>
        <row r="2216">
          <cell r="Q2216" t="str">
            <v>Summary of Intangible Plant by Factor.NA2</v>
          </cell>
          <cell r="R2216">
            <v>459990.05873705889</v>
          </cell>
        </row>
        <row r="2217">
          <cell r="Q2217" t="str">
            <v>Summary of Intangible Plant by Factor.NA3</v>
          </cell>
          <cell r="R2217">
            <v>0</v>
          </cell>
        </row>
        <row r="2218">
          <cell r="Q2218" t="str">
            <v>Summary of Intangible Plant by Factor.NA4</v>
          </cell>
          <cell r="R2218">
            <v>9114341.4722751249</v>
          </cell>
        </row>
        <row r="2219">
          <cell r="Q2219" t="str">
            <v>Summary of Intangible Plant by Factor.NA5</v>
          </cell>
          <cell r="R2219">
            <v>27021117.770287666</v>
          </cell>
        </row>
        <row r="2220">
          <cell r="Q2220" t="str">
            <v>Summary of Intangible Plant by Factor.NA6</v>
          </cell>
          <cell r="R2220">
            <v>12172420.765036955</v>
          </cell>
        </row>
        <row r="2221">
          <cell r="Q2221" t="str">
            <v>Summary of Intangible Plant by Factor.NA7</v>
          </cell>
          <cell r="R2221">
            <v>32992499.852743015</v>
          </cell>
        </row>
        <row r="2222">
          <cell r="Q2222" t="str">
            <v>Summary of Intangible Plant by Factor.NA8</v>
          </cell>
          <cell r="R2222">
            <v>0</v>
          </cell>
        </row>
        <row r="2223">
          <cell r="Q2223" t="str">
            <v>Summary of Intangible Plant by Factor.NA9</v>
          </cell>
          <cell r="R2223">
            <v>0</v>
          </cell>
        </row>
        <row r="2224">
          <cell r="Q2224" t="str">
            <v>Summary of Intangible Plant by Factor.NA10</v>
          </cell>
          <cell r="R2224">
            <v>0</v>
          </cell>
        </row>
        <row r="2225">
          <cell r="Q2225" t="str">
            <v>Summary of Intangible Plant by Factor.NA11</v>
          </cell>
          <cell r="R2225">
            <v>0</v>
          </cell>
        </row>
        <row r="2226">
          <cell r="Q2226" t="str">
            <v>Summary of Intangible Plant by Factor.NA12</v>
          </cell>
          <cell r="R2226">
            <v>0</v>
          </cell>
        </row>
        <row r="2227">
          <cell r="Q2227" t="str">
            <v>Summary of Intangible Plant by Factor.NA13</v>
          </cell>
          <cell r="R2227">
            <v>0</v>
          </cell>
        </row>
        <row r="2228">
          <cell r="Q2228" t="str">
            <v>Total Intangible Plant by Factor.NA</v>
          </cell>
          <cell r="R2228">
            <v>83796732.999079823</v>
          </cell>
        </row>
        <row r="2229">
          <cell r="Q2229" t="str">
            <v>Summary of Unclassified Plant (Account 106).NA</v>
          </cell>
          <cell r="R2229">
            <v>0</v>
          </cell>
        </row>
        <row r="2230">
          <cell r="Q2230" t="str">
            <v>Summary of Unclassified Plant (Account 106).NA1</v>
          </cell>
          <cell r="R2230">
            <v>4546566.7</v>
          </cell>
        </row>
        <row r="2231">
          <cell r="Q2231" t="str">
            <v>Summary of Unclassified Plant (Account 106).NA2</v>
          </cell>
          <cell r="R2231">
            <v>0</v>
          </cell>
        </row>
        <row r="2232">
          <cell r="Q2232" t="str">
            <v>Summary of Unclassified Plant (Account 106).NA3</v>
          </cell>
          <cell r="R2232">
            <v>2642952.9115882386</v>
          </cell>
        </row>
        <row r="2233">
          <cell r="Q2233" t="str">
            <v>Summary of Unclassified Plant (Account 106).NA4</v>
          </cell>
          <cell r="R2233">
            <v>0</v>
          </cell>
        </row>
        <row r="2234">
          <cell r="Q2234" t="str">
            <v>Summary of Unclassified Plant (Account 106).NA5</v>
          </cell>
          <cell r="R2234">
            <v>0</v>
          </cell>
        </row>
        <row r="2235">
          <cell r="Q2235" t="str">
            <v>Summary of Unclassified Plant (Account 106).NA6</v>
          </cell>
          <cell r="R2235">
            <v>-119359.20448769673</v>
          </cell>
        </row>
        <row r="2236">
          <cell r="Q2236" t="str">
            <v>Summary of Unclassified Plant (Account 106).NA7</v>
          </cell>
          <cell r="R2236">
            <v>8470059.1607269756</v>
          </cell>
        </row>
        <row r="2237">
          <cell r="Q2237" t="str">
            <v>Summary of Unclassified Plant (Account 106).NA8</v>
          </cell>
          <cell r="R2237">
            <v>0</v>
          </cell>
        </row>
        <row r="2238">
          <cell r="Q2238" t="str">
            <v>Summary of Unclassified Plant (Account 106).NA9</v>
          </cell>
          <cell r="R2238">
            <v>0</v>
          </cell>
        </row>
        <row r="2239">
          <cell r="Q2239" t="str">
            <v>Summary of Unclassified Plant (Account 106).NA10</v>
          </cell>
          <cell r="R2239">
            <v>0</v>
          </cell>
        </row>
        <row r="2240">
          <cell r="Q2240" t="str">
            <v>Summary of Unclassified Plant (Account 106).NA11</v>
          </cell>
          <cell r="R2240">
            <v>5577774.3200347871</v>
          </cell>
        </row>
        <row r="2241">
          <cell r="Q2241" t="str">
            <v>Total Unclassified Plant by Factor.NA</v>
          </cell>
          <cell r="R2241">
            <v>21117993.887862306</v>
          </cell>
        </row>
        <row r="2242">
          <cell r="Q2242" t="str">
            <v>Total Unclassified Plant by Factor.NA1</v>
          </cell>
          <cell r="R2242">
            <v>0</v>
          </cell>
        </row>
        <row r="2243">
          <cell r="Q2243" t="str">
            <v>TOTAL ELECTRIC PLANT IN SERVICE.NA</v>
          </cell>
          <cell r="R2243">
            <v>2182560253.96099</v>
          </cell>
        </row>
        <row r="2244">
          <cell r="Q2244" t="str">
            <v>Summary of Electric Plant by Factor.NA</v>
          </cell>
          <cell r="R2244">
            <v>0</v>
          </cell>
        </row>
        <row r="2245">
          <cell r="Q2245" t="str">
            <v>Summary of Electric Plant by Factor.NA1</v>
          </cell>
          <cell r="R2245">
            <v>603010608.68470466</v>
          </cell>
        </row>
        <row r="2246">
          <cell r="Q2246" t="str">
            <v>Summary of Electric Plant by Factor.NA2</v>
          </cell>
          <cell r="R2246">
            <v>0</v>
          </cell>
        </row>
        <row r="2247">
          <cell r="Q2247" t="str">
            <v>Summary of Electric Plant by Factor.NA3</v>
          </cell>
          <cell r="R2247">
            <v>266248289.47865787</v>
          </cell>
        </row>
        <row r="2248">
          <cell r="Q2248" t="str">
            <v>Summary of Electric Plant by Factor.NA4</v>
          </cell>
          <cell r="R2248">
            <v>68402381.395144403</v>
          </cell>
        </row>
        <row r="2249">
          <cell r="Q2249" t="str">
            <v>Summary of Electric Plant by Factor.NA5</v>
          </cell>
          <cell r="R2249">
            <v>972288693.26968062</v>
          </cell>
        </row>
        <row r="2250">
          <cell r="Q2250" t="str">
            <v>Summary of Electric Plant by Factor.NA6</v>
          </cell>
          <cell r="R2250">
            <v>49198024.867298231</v>
          </cell>
        </row>
        <row r="2251">
          <cell r="Q2251" t="str">
            <v>Summary of Electric Plant by Factor.NA7</v>
          </cell>
          <cell r="R2251">
            <v>13177869.203481451</v>
          </cell>
        </row>
        <row r="2252">
          <cell r="Q2252" t="str">
            <v>Summary of Electric Plant by Factor.NA8</v>
          </cell>
          <cell r="R2252">
            <v>0</v>
          </cell>
        </row>
        <row r="2253">
          <cell r="Q2253" t="str">
            <v>Summary of Electric Plant by Factor.NA9</v>
          </cell>
          <cell r="R2253">
            <v>211081260.60410345</v>
          </cell>
        </row>
        <row r="2254">
          <cell r="Q2254" t="str">
            <v>Summary of Electric Plant by Factor.NA10</v>
          </cell>
          <cell r="R2254">
            <v>0</v>
          </cell>
        </row>
        <row r="2255">
          <cell r="Q2255" t="str">
            <v>Summary of Electric Plant by Factor.NA11</v>
          </cell>
          <cell r="R2255">
            <v>0</v>
          </cell>
        </row>
        <row r="2256">
          <cell r="Q2256" t="str">
            <v>Summary of Electric Plant by Factor.NA12</v>
          </cell>
          <cell r="R2256">
            <v>0</v>
          </cell>
        </row>
        <row r="2257">
          <cell r="Q2257" t="str">
            <v>Summary of Electric Plant by Factor.NA13</v>
          </cell>
          <cell r="R2257">
            <v>0</v>
          </cell>
        </row>
        <row r="2258">
          <cell r="Q2258" t="str">
            <v>Summary of Electric Plant by Factor.NA14</v>
          </cell>
          <cell r="R2258">
            <v>0</v>
          </cell>
        </row>
        <row r="2259">
          <cell r="Q2259" t="str">
            <v>Summary of Electric Plant by Factor.NA15</v>
          </cell>
          <cell r="R2259">
            <v>-846873.54208095174</v>
          </cell>
        </row>
        <row r="2260">
          <cell r="Q2260" t="str">
            <v>Summary of Electric Plant by Factor.NA16</v>
          </cell>
          <cell r="R2260">
            <v>2182560253.9609895</v>
          </cell>
        </row>
        <row r="2261">
          <cell r="Q2261" t="str">
            <v>105.NA</v>
          </cell>
          <cell r="R2261">
            <v>0</v>
          </cell>
        </row>
        <row r="2262">
          <cell r="Q2262" t="str">
            <v>105.S</v>
          </cell>
          <cell r="R2262">
            <v>0</v>
          </cell>
        </row>
        <row r="2263">
          <cell r="Q2263" t="str">
            <v>105.SG</v>
          </cell>
          <cell r="R2263">
            <v>0</v>
          </cell>
        </row>
        <row r="2264">
          <cell r="Q2264" t="str">
            <v>105.SG1</v>
          </cell>
          <cell r="R2264">
            <v>0</v>
          </cell>
        </row>
        <row r="2265">
          <cell r="Q2265" t="str">
            <v>105.SG2</v>
          </cell>
          <cell r="R2265">
            <v>0</v>
          </cell>
        </row>
        <row r="2266">
          <cell r="Q2266" t="str">
            <v>105.SE</v>
          </cell>
          <cell r="R2266">
            <v>0</v>
          </cell>
        </row>
        <row r="2267">
          <cell r="Q2267" t="str">
            <v>105.SG3</v>
          </cell>
          <cell r="R2267">
            <v>0</v>
          </cell>
        </row>
        <row r="2268">
          <cell r="Q2268" t="str">
            <v>105.CAGW</v>
          </cell>
          <cell r="R2268">
            <v>34942.962564657755</v>
          </cell>
        </row>
        <row r="2269">
          <cell r="Q2269" t="str">
            <v>105.CAGE</v>
          </cell>
          <cell r="R2269">
            <v>0</v>
          </cell>
        </row>
        <row r="2270">
          <cell r="Q2270" t="str">
            <v>105.CAEW</v>
          </cell>
          <cell r="R2270">
            <v>0</v>
          </cell>
        </row>
        <row r="2271">
          <cell r="Q2271" t="str">
            <v>105.CAEE</v>
          </cell>
          <cell r="R2271">
            <v>0</v>
          </cell>
        </row>
        <row r="2272">
          <cell r="Q2272" t="str">
            <v>Total Plant Held For Future Use.NA</v>
          </cell>
          <cell r="R2272">
            <v>34942.962564657755</v>
          </cell>
        </row>
        <row r="2273">
          <cell r="Q2273" t="str">
            <v>Total Plant Held For Future Use.NA1</v>
          </cell>
          <cell r="R2273">
            <v>0</v>
          </cell>
        </row>
        <row r="2274">
          <cell r="Q2274" t="str">
            <v>114.NA</v>
          </cell>
          <cell r="R2274">
            <v>0</v>
          </cell>
        </row>
        <row r="2275">
          <cell r="Q2275" t="str">
            <v>114.S</v>
          </cell>
          <cell r="R2275">
            <v>0</v>
          </cell>
        </row>
        <row r="2276">
          <cell r="Q2276" t="str">
            <v>114.SG</v>
          </cell>
          <cell r="R2276">
            <v>0</v>
          </cell>
        </row>
        <row r="2277">
          <cell r="Q2277" t="str">
            <v>114.CAGW</v>
          </cell>
          <cell r="R2277">
            <v>0</v>
          </cell>
        </row>
        <row r="2278">
          <cell r="Q2278" t="str">
            <v>114.CAGE</v>
          </cell>
          <cell r="R2278">
            <v>0</v>
          </cell>
        </row>
        <row r="2279">
          <cell r="Q2279" t="str">
            <v>114.DGP</v>
          </cell>
          <cell r="R2279">
            <v>0</v>
          </cell>
        </row>
        <row r="2280">
          <cell r="Q2280" t="str">
            <v>Total Electric Plant Acquisition Adjustments.NA</v>
          </cell>
          <cell r="R2280">
            <v>0</v>
          </cell>
        </row>
        <row r="2281">
          <cell r="Q2281" t="str">
            <v>Total Electric Plant Acquisition Adjustments.NA1</v>
          </cell>
          <cell r="R2281">
            <v>0</v>
          </cell>
        </row>
        <row r="2282">
          <cell r="Q2282" t="str">
            <v>115.NA</v>
          </cell>
          <cell r="R2282">
            <v>0</v>
          </cell>
        </row>
        <row r="2283">
          <cell r="Q2283" t="str">
            <v>115.S</v>
          </cell>
          <cell r="R2283">
            <v>0</v>
          </cell>
        </row>
        <row r="2284">
          <cell r="Q2284" t="str">
            <v>115.SG</v>
          </cell>
          <cell r="R2284">
            <v>0</v>
          </cell>
        </row>
        <row r="2285">
          <cell r="Q2285" t="str">
            <v>115.CAGW</v>
          </cell>
          <cell r="R2285">
            <v>0</v>
          </cell>
        </row>
        <row r="2286">
          <cell r="Q2286" t="str">
            <v>115.CAGE</v>
          </cell>
          <cell r="R2286">
            <v>0</v>
          </cell>
        </row>
        <row r="2287">
          <cell r="Q2287" t="str">
            <v>115.DGP</v>
          </cell>
          <cell r="R2287">
            <v>0</v>
          </cell>
        </row>
        <row r="2288">
          <cell r="Q2288" t="str">
            <v>Total Accum Provision for Asset Acq. Adj..NA</v>
          </cell>
          <cell r="R2288">
            <v>0</v>
          </cell>
        </row>
        <row r="2289">
          <cell r="Q2289" t="str">
            <v>Total Accum Provision for Asset Acq. Adj..NA1</v>
          </cell>
          <cell r="R2289">
            <v>0</v>
          </cell>
        </row>
        <row r="2290">
          <cell r="Q2290" t="str">
            <v>128.NA</v>
          </cell>
          <cell r="R2290">
            <v>0</v>
          </cell>
        </row>
        <row r="2291">
          <cell r="Q2291" t="str">
            <v>128.SO</v>
          </cell>
          <cell r="R2291">
            <v>0</v>
          </cell>
        </row>
        <row r="2292">
          <cell r="Q2292" t="str">
            <v>Total Pensions.NA</v>
          </cell>
          <cell r="R2292">
            <v>0</v>
          </cell>
        </row>
        <row r="2293">
          <cell r="Q2293" t="str">
            <v>Total Pensions.NA1</v>
          </cell>
          <cell r="R2293">
            <v>0</v>
          </cell>
        </row>
        <row r="2294">
          <cell r="Q2294" t="str">
            <v>124.NA</v>
          </cell>
          <cell r="R2294">
            <v>0</v>
          </cell>
        </row>
        <row r="2295">
          <cell r="Q2295" t="str">
            <v>124.S</v>
          </cell>
          <cell r="R2295">
            <v>5428.2650000000003</v>
          </cell>
        </row>
        <row r="2296">
          <cell r="Q2296" t="str">
            <v>124.SO</v>
          </cell>
          <cell r="R2296">
            <v>-335.62089486019738</v>
          </cell>
        </row>
        <row r="2297">
          <cell r="Q2297" t="str">
            <v>124.NA1</v>
          </cell>
          <cell r="R2297">
            <v>5092.6441051398033</v>
          </cell>
        </row>
        <row r="2298">
          <cell r="Q2298" t="str">
            <v>124.NA2</v>
          </cell>
          <cell r="R2298">
            <v>0</v>
          </cell>
        </row>
        <row r="2299">
          <cell r="Q2299" t="str">
            <v>182W.NA</v>
          </cell>
          <cell r="R2299">
            <v>0</v>
          </cell>
        </row>
        <row r="2300">
          <cell r="Q2300" t="str">
            <v>182W.S</v>
          </cell>
          <cell r="R2300">
            <v>0</v>
          </cell>
        </row>
        <row r="2301">
          <cell r="Q2301" t="str">
            <v>182W.SG</v>
          </cell>
          <cell r="R2301">
            <v>0</v>
          </cell>
        </row>
        <row r="2302">
          <cell r="Q2302" t="str">
            <v>182W.CAGE</v>
          </cell>
          <cell r="R2302">
            <v>0</v>
          </cell>
        </row>
        <row r="2303">
          <cell r="Q2303" t="str">
            <v>182W.SO</v>
          </cell>
          <cell r="R2303">
            <v>0</v>
          </cell>
        </row>
        <row r="2304">
          <cell r="Q2304" t="str">
            <v>182W.NA1</v>
          </cell>
          <cell r="R2304">
            <v>0</v>
          </cell>
        </row>
        <row r="2305">
          <cell r="Q2305" t="str">
            <v>182W.NA2</v>
          </cell>
          <cell r="R2305">
            <v>0</v>
          </cell>
        </row>
        <row r="2306">
          <cell r="Q2306" t="str">
            <v>186W.NA</v>
          </cell>
          <cell r="R2306">
            <v>0</v>
          </cell>
        </row>
        <row r="2307">
          <cell r="Q2307" t="str">
            <v>186W.S</v>
          </cell>
          <cell r="R2307">
            <v>0</v>
          </cell>
        </row>
        <row r="2308">
          <cell r="Q2308" t="str">
            <v>186W.CN</v>
          </cell>
          <cell r="R2308">
            <v>0</v>
          </cell>
        </row>
        <row r="2309">
          <cell r="Q2309" t="str">
            <v>186W.CNP</v>
          </cell>
          <cell r="R2309">
            <v>0</v>
          </cell>
        </row>
        <row r="2310">
          <cell r="Q2310" t="str">
            <v>186W.SG</v>
          </cell>
          <cell r="R2310">
            <v>0</v>
          </cell>
        </row>
        <row r="2311">
          <cell r="Q2311" t="str">
            <v>186W.SO</v>
          </cell>
          <cell r="R2311">
            <v>0</v>
          </cell>
        </row>
        <row r="2312">
          <cell r="Q2312" t="str">
            <v>186W.NA1</v>
          </cell>
          <cell r="R2312">
            <v>0</v>
          </cell>
        </row>
        <row r="2313">
          <cell r="Q2313" t="str">
            <v>186W.NA2</v>
          </cell>
          <cell r="R2313">
            <v>0</v>
          </cell>
        </row>
        <row r="2314">
          <cell r="Q2314" t="str">
            <v>Total Weatherization.NA</v>
          </cell>
          <cell r="R2314">
            <v>5092.6441051398033</v>
          </cell>
        </row>
        <row r="2315">
          <cell r="Q2315" t="str">
            <v>Total Weatherization.NA1</v>
          </cell>
          <cell r="R2315">
            <v>0</v>
          </cell>
        </row>
        <row r="2316">
          <cell r="Q2316" t="str">
            <v>151.NA</v>
          </cell>
          <cell r="R2316">
            <v>0</v>
          </cell>
        </row>
        <row r="2317">
          <cell r="Q2317" t="str">
            <v>151.DEU</v>
          </cell>
          <cell r="R2317">
            <v>0</v>
          </cell>
        </row>
        <row r="2318">
          <cell r="Q2318" t="str">
            <v>151.SE</v>
          </cell>
          <cell r="R2318">
            <v>0</v>
          </cell>
        </row>
        <row r="2319">
          <cell r="Q2319" t="str">
            <v>151.CAEW</v>
          </cell>
          <cell r="R2319">
            <v>1.57160684466362E-9</v>
          </cell>
        </row>
        <row r="2320">
          <cell r="Q2320" t="str">
            <v>151.CAEE</v>
          </cell>
          <cell r="R2320">
            <v>0</v>
          </cell>
        </row>
        <row r="2321">
          <cell r="Q2321" t="str">
            <v>151.JBE</v>
          </cell>
          <cell r="R2321">
            <v>0</v>
          </cell>
        </row>
        <row r="2322">
          <cell r="Q2322" t="str">
            <v>151.CAEE1</v>
          </cell>
          <cell r="R2322">
            <v>0</v>
          </cell>
        </row>
        <row r="2323">
          <cell r="Q2323" t="str">
            <v>151.CAEE2</v>
          </cell>
          <cell r="R2323">
            <v>0</v>
          </cell>
        </row>
        <row r="2324">
          <cell r="Q2324" t="str">
            <v>Total Fuel Stock.NA</v>
          </cell>
          <cell r="R2324">
            <v>1.57160684466362E-9</v>
          </cell>
        </row>
        <row r="2325">
          <cell r="Q2325" t="str">
            <v>Total Fuel Stock.NA1</v>
          </cell>
          <cell r="R2325">
            <v>0</v>
          </cell>
        </row>
        <row r="2326">
          <cell r="Q2326" t="str">
            <v>152.NA</v>
          </cell>
          <cell r="R2326">
            <v>0</v>
          </cell>
        </row>
        <row r="2327">
          <cell r="Q2327" t="str">
            <v>152.SE</v>
          </cell>
          <cell r="R2327">
            <v>0</v>
          </cell>
        </row>
        <row r="2328">
          <cell r="Q2328" t="str">
            <v>152.CAEW</v>
          </cell>
          <cell r="R2328">
            <v>0</v>
          </cell>
        </row>
        <row r="2329">
          <cell r="Q2329" t="str">
            <v>152.CAEE</v>
          </cell>
          <cell r="R2329">
            <v>0</v>
          </cell>
        </row>
        <row r="2330">
          <cell r="Q2330" t="str">
            <v>152.NA1</v>
          </cell>
          <cell r="R2330">
            <v>0</v>
          </cell>
        </row>
        <row r="2331">
          <cell r="Q2331" t="str">
            <v>152.NA2</v>
          </cell>
          <cell r="R2331">
            <v>0</v>
          </cell>
        </row>
        <row r="2332">
          <cell r="Q2332" t="str">
            <v>25316.NA</v>
          </cell>
          <cell r="R2332">
            <v>0</v>
          </cell>
        </row>
        <row r="2333">
          <cell r="Q2333" t="str">
            <v>25316.SE</v>
          </cell>
          <cell r="R2333">
            <v>0</v>
          </cell>
        </row>
        <row r="2334">
          <cell r="Q2334" t="str">
            <v>25316.CAEW</v>
          </cell>
          <cell r="R2334">
            <v>0</v>
          </cell>
        </row>
        <row r="2335">
          <cell r="Q2335" t="str">
            <v>25316.CAEE</v>
          </cell>
          <cell r="R2335">
            <v>0</v>
          </cell>
        </row>
        <row r="2336">
          <cell r="Q2336" t="str">
            <v>25316.NA1</v>
          </cell>
          <cell r="R2336">
            <v>0</v>
          </cell>
        </row>
        <row r="2337">
          <cell r="Q2337" t="str">
            <v>25316.NA2</v>
          </cell>
          <cell r="R2337">
            <v>0</v>
          </cell>
        </row>
        <row r="2338">
          <cell r="Q2338" t="str">
            <v>25317.NA</v>
          </cell>
          <cell r="R2338">
            <v>0</v>
          </cell>
        </row>
        <row r="2339">
          <cell r="Q2339" t="str">
            <v>25317.SE</v>
          </cell>
          <cell r="R2339">
            <v>0</v>
          </cell>
        </row>
        <row r="2340">
          <cell r="Q2340" t="str">
            <v>25317.CAEW</v>
          </cell>
          <cell r="R2340">
            <v>0</v>
          </cell>
        </row>
        <row r="2341">
          <cell r="Q2341" t="str">
            <v>25317.CAEE</v>
          </cell>
          <cell r="R2341">
            <v>0</v>
          </cell>
        </row>
        <row r="2342">
          <cell r="Q2342" t="str">
            <v>25317.NA1</v>
          </cell>
          <cell r="R2342">
            <v>0</v>
          </cell>
        </row>
        <row r="2343">
          <cell r="Q2343" t="str">
            <v>25317.NA2</v>
          </cell>
          <cell r="R2343">
            <v>0</v>
          </cell>
        </row>
        <row r="2344">
          <cell r="Q2344" t="str">
            <v>25319.NA</v>
          </cell>
          <cell r="R2344">
            <v>0</v>
          </cell>
        </row>
        <row r="2345">
          <cell r="Q2345" t="str">
            <v>25319.SE</v>
          </cell>
          <cell r="R2345">
            <v>0</v>
          </cell>
        </row>
        <row r="2346">
          <cell r="Q2346" t="str">
            <v>25319.CAEW</v>
          </cell>
          <cell r="R2346">
            <v>0</v>
          </cell>
        </row>
        <row r="2347">
          <cell r="Q2347" t="str">
            <v>25319.CAEE</v>
          </cell>
          <cell r="R2347">
            <v>0</v>
          </cell>
        </row>
        <row r="2348">
          <cell r="Q2348" t="str">
            <v>25319.NA1</v>
          </cell>
          <cell r="R2348">
            <v>0</v>
          </cell>
        </row>
        <row r="2349">
          <cell r="Q2349" t="str">
            <v>25319.NA2</v>
          </cell>
          <cell r="R2349">
            <v>0</v>
          </cell>
        </row>
        <row r="2350">
          <cell r="Q2350" t="str">
            <v>Total Fuel Stock.NA2</v>
          </cell>
          <cell r="R2350">
            <v>1.57160684466362E-9</v>
          </cell>
        </row>
        <row r="2351">
          <cell r="Q2351" t="str">
            <v>154.NA</v>
          </cell>
          <cell r="R2351">
            <v>0</v>
          </cell>
        </row>
        <row r="2352">
          <cell r="Q2352" t="str">
            <v>154.S</v>
          </cell>
          <cell r="R2352">
            <v>0</v>
          </cell>
        </row>
        <row r="2353">
          <cell r="Q2353" t="str">
            <v>154.SG</v>
          </cell>
          <cell r="R2353">
            <v>0</v>
          </cell>
        </row>
        <row r="2354">
          <cell r="Q2354" t="str">
            <v>154.SE</v>
          </cell>
          <cell r="R2354">
            <v>0</v>
          </cell>
        </row>
        <row r="2355">
          <cell r="Q2355" t="str">
            <v>154.SO</v>
          </cell>
          <cell r="R2355">
            <v>-2.1827872842550278E-11</v>
          </cell>
        </row>
        <row r="2356">
          <cell r="Q2356" t="str">
            <v>154.SNPPS</v>
          </cell>
          <cell r="R2356">
            <v>0</v>
          </cell>
        </row>
        <row r="2357">
          <cell r="Q2357" t="str">
            <v>154.SNPPH</v>
          </cell>
          <cell r="R2357">
            <v>0</v>
          </cell>
        </row>
        <row r="2358">
          <cell r="Q2358" t="str">
            <v>154.SNPD</v>
          </cell>
          <cell r="R2358">
            <v>1.1001997336279601E-4</v>
          </cell>
        </row>
        <row r="2359">
          <cell r="Q2359" t="str">
            <v>154.SNPT</v>
          </cell>
          <cell r="R2359">
            <v>0</v>
          </cell>
        </row>
        <row r="2360">
          <cell r="Q2360" t="str">
            <v>154.DGU</v>
          </cell>
          <cell r="R2360">
            <v>0</v>
          </cell>
        </row>
        <row r="2361">
          <cell r="Q2361" t="str">
            <v>154.DGP</v>
          </cell>
          <cell r="R2361">
            <v>0</v>
          </cell>
        </row>
        <row r="2362">
          <cell r="Q2362" t="str">
            <v>154.JBE</v>
          </cell>
          <cell r="R2362">
            <v>0</v>
          </cell>
        </row>
        <row r="2363">
          <cell r="Q2363" t="str">
            <v>154.SNPP</v>
          </cell>
          <cell r="R2363">
            <v>0</v>
          </cell>
        </row>
        <row r="2364">
          <cell r="Q2364" t="str">
            <v>154.CAGW</v>
          </cell>
          <cell r="R2364">
            <v>0</v>
          </cell>
        </row>
        <row r="2365">
          <cell r="Q2365" t="str">
            <v>154.CAGE</v>
          </cell>
          <cell r="R2365">
            <v>0</v>
          </cell>
        </row>
        <row r="2366">
          <cell r="Q2366" t="str">
            <v>154.JBG</v>
          </cell>
          <cell r="R2366">
            <v>0</v>
          </cell>
        </row>
        <row r="2367">
          <cell r="Q2367" t="str">
            <v>154.CAEW</v>
          </cell>
          <cell r="R2367">
            <v>0</v>
          </cell>
        </row>
        <row r="2368">
          <cell r="Q2368" t="str">
            <v>154.CAEE</v>
          </cell>
          <cell r="R2368">
            <v>0</v>
          </cell>
        </row>
        <row r="2369">
          <cell r="Q2369" t="str">
            <v>154.CAGE1</v>
          </cell>
          <cell r="R2369">
            <v>0</v>
          </cell>
        </row>
        <row r="2370">
          <cell r="Q2370" t="str">
            <v>Total Materials and Supplies - FERC 154.NA</v>
          </cell>
          <cell r="R2370">
            <v>1.1001995153492317E-4</v>
          </cell>
        </row>
        <row r="2371">
          <cell r="Q2371" t="str">
            <v>Total Materials and Supplies - FERC 154.NA1</v>
          </cell>
          <cell r="R2371">
            <v>0</v>
          </cell>
        </row>
        <row r="2372">
          <cell r="Q2372" t="str">
            <v>163.NA</v>
          </cell>
          <cell r="R2372">
            <v>0</v>
          </cell>
        </row>
        <row r="2373">
          <cell r="Q2373" t="str">
            <v>163.SO</v>
          </cell>
          <cell r="R2373">
            <v>0</v>
          </cell>
        </row>
        <row r="2374">
          <cell r="Q2374" t="str">
            <v>163.NA1</v>
          </cell>
          <cell r="R2374">
            <v>0</v>
          </cell>
        </row>
        <row r="2375">
          <cell r="Q2375" t="str">
            <v>163.NA2</v>
          </cell>
          <cell r="R2375">
            <v>0</v>
          </cell>
        </row>
        <row r="2376">
          <cell r="Q2376" t="str">
            <v>163.NA3</v>
          </cell>
          <cell r="R2376">
            <v>0</v>
          </cell>
        </row>
        <row r="2377">
          <cell r="Q2377" t="str">
            <v>25318.NA</v>
          </cell>
          <cell r="R2377">
            <v>0</v>
          </cell>
        </row>
        <row r="2378">
          <cell r="Q2378" t="str">
            <v>25318.SNPPS</v>
          </cell>
          <cell r="R2378">
            <v>0</v>
          </cell>
        </row>
        <row r="2379">
          <cell r="Q2379" t="str">
            <v>25318.CAGW</v>
          </cell>
          <cell r="R2379">
            <v>0</v>
          </cell>
        </row>
        <row r="2380">
          <cell r="Q2380" t="str">
            <v>25318.CAGE</v>
          </cell>
          <cell r="R2380">
            <v>0</v>
          </cell>
        </row>
        <row r="2381">
          <cell r="Q2381" t="str">
            <v>25318.NA1</v>
          </cell>
          <cell r="R2381">
            <v>0</v>
          </cell>
        </row>
        <row r="2382">
          <cell r="Q2382" t="str">
            <v>25318.NA2</v>
          </cell>
          <cell r="R2382">
            <v>0</v>
          </cell>
        </row>
        <row r="2383">
          <cell r="Q2383" t="str">
            <v>Total Materials &amp; Supplies (Net).NA</v>
          </cell>
          <cell r="R2383">
            <v>1.1001995153492317E-4</v>
          </cell>
        </row>
        <row r="2384">
          <cell r="Q2384" t="str">
            <v>Total Materials &amp; Supplies (Net).NA1</v>
          </cell>
          <cell r="R2384">
            <v>0</v>
          </cell>
        </row>
        <row r="2385">
          <cell r="Q2385" t="str">
            <v>165.NA</v>
          </cell>
          <cell r="R2385">
            <v>0</v>
          </cell>
        </row>
        <row r="2386">
          <cell r="Q2386" t="str">
            <v>165.S</v>
          </cell>
          <cell r="R2386">
            <v>0</v>
          </cell>
        </row>
        <row r="2387">
          <cell r="Q2387" t="str">
            <v>165.GPS</v>
          </cell>
          <cell r="R2387">
            <v>0</v>
          </cell>
        </row>
        <row r="2388">
          <cell r="Q2388" t="str">
            <v>165.SG</v>
          </cell>
          <cell r="R2388">
            <v>-3.0559021979570389E-10</v>
          </cell>
        </row>
        <row r="2389">
          <cell r="Q2389" t="str">
            <v>165.CAGW</v>
          </cell>
          <cell r="R2389">
            <v>6.9849193096160889E-10</v>
          </cell>
        </row>
        <row r="2390">
          <cell r="Q2390" t="str">
            <v>165.CAGE</v>
          </cell>
          <cell r="R2390">
            <v>0</v>
          </cell>
        </row>
        <row r="2391">
          <cell r="Q2391" t="str">
            <v>165.CAEW</v>
          </cell>
          <cell r="R2391">
            <v>0</v>
          </cell>
        </row>
        <row r="2392">
          <cell r="Q2392" t="str">
            <v>165.CAEE</v>
          </cell>
          <cell r="R2392">
            <v>0</v>
          </cell>
        </row>
        <row r="2393">
          <cell r="Q2393" t="str">
            <v>165.SE</v>
          </cell>
          <cell r="R2393">
            <v>0</v>
          </cell>
        </row>
        <row r="2394">
          <cell r="Q2394" t="str">
            <v>165.SO</v>
          </cell>
          <cell r="R2394">
            <v>0</v>
          </cell>
        </row>
        <row r="2395">
          <cell r="Q2395" t="str">
            <v>Total Prepayments.NA</v>
          </cell>
          <cell r="R2395">
            <v>3.92901711165905E-10</v>
          </cell>
        </row>
        <row r="2396">
          <cell r="Q2396" t="str">
            <v>Total Prepayments.NA1</v>
          </cell>
          <cell r="R2396">
            <v>0</v>
          </cell>
        </row>
        <row r="2397">
          <cell r="Q2397" t="str">
            <v>182M.NA</v>
          </cell>
          <cell r="R2397">
            <v>0</v>
          </cell>
        </row>
        <row r="2398">
          <cell r="Q2398" t="str">
            <v>182M.S</v>
          </cell>
          <cell r="R2398">
            <v>250184.92583333334</v>
          </cell>
        </row>
        <row r="2399">
          <cell r="Q2399" t="str">
            <v>182M.SG</v>
          </cell>
          <cell r="R2399">
            <v>0</v>
          </cell>
        </row>
        <row r="2400">
          <cell r="Q2400" t="str">
            <v>182M.CAGE</v>
          </cell>
          <cell r="R2400">
            <v>0</v>
          </cell>
        </row>
        <row r="2401">
          <cell r="Q2401" t="str">
            <v>182M.CAGE1</v>
          </cell>
          <cell r="R2401">
            <v>0</v>
          </cell>
        </row>
        <row r="2402">
          <cell r="Q2402" t="str">
            <v>182M.CAGW</v>
          </cell>
          <cell r="R2402">
            <v>0</v>
          </cell>
        </row>
        <row r="2403">
          <cell r="Q2403" t="str">
            <v>182M.JBG</v>
          </cell>
          <cell r="R2403">
            <v>0</v>
          </cell>
        </row>
        <row r="2404">
          <cell r="Q2404" t="str">
            <v>182M.SE</v>
          </cell>
          <cell r="R2404">
            <v>0</v>
          </cell>
        </row>
        <row r="2405">
          <cell r="Q2405" t="str">
            <v>182M.CAEW</v>
          </cell>
          <cell r="R2405">
            <v>0</v>
          </cell>
        </row>
        <row r="2406">
          <cell r="Q2406" t="str">
            <v>182M.CAEE</v>
          </cell>
          <cell r="R2406">
            <v>0</v>
          </cell>
        </row>
        <row r="2407">
          <cell r="Q2407" t="str">
            <v>182M.SO</v>
          </cell>
          <cell r="R2407">
            <v>0</v>
          </cell>
        </row>
        <row r="2408">
          <cell r="Q2408" t="str">
            <v>182M.NA1</v>
          </cell>
          <cell r="R2408">
            <v>250184.92583333334</v>
          </cell>
        </row>
        <row r="2409">
          <cell r="Q2409" t="str">
            <v>182M.NA2</v>
          </cell>
          <cell r="R2409">
            <v>0</v>
          </cell>
        </row>
        <row r="2410">
          <cell r="Q2410" t="str">
            <v>186M.NA</v>
          </cell>
          <cell r="R2410">
            <v>0</v>
          </cell>
        </row>
        <row r="2411">
          <cell r="Q2411" t="str">
            <v>186M.S</v>
          </cell>
          <cell r="R2411">
            <v>0</v>
          </cell>
        </row>
        <row r="2412">
          <cell r="Q2412" t="str">
            <v>186M.CAEW</v>
          </cell>
          <cell r="R2412">
            <v>0</v>
          </cell>
        </row>
        <row r="2413">
          <cell r="Q2413" t="str">
            <v>186M.CAEE</v>
          </cell>
          <cell r="R2413">
            <v>0</v>
          </cell>
        </row>
        <row r="2414">
          <cell r="Q2414" t="str">
            <v>186M.SG</v>
          </cell>
          <cell r="R2414">
            <v>-2.6775524020195007E-9</v>
          </cell>
        </row>
        <row r="2415">
          <cell r="Q2415" t="str">
            <v>186M.SO</v>
          </cell>
          <cell r="R2415">
            <v>4.7293724492192268E-11</v>
          </cell>
        </row>
        <row r="2416">
          <cell r="Q2416" t="str">
            <v>186M.SE</v>
          </cell>
          <cell r="R2416">
            <v>0</v>
          </cell>
        </row>
        <row r="2417">
          <cell r="Q2417" t="str">
            <v>186M.CAGW</v>
          </cell>
          <cell r="R2417">
            <v>-1.4435499906539917E-8</v>
          </cell>
        </row>
        <row r="2418">
          <cell r="Q2418" t="str">
            <v>186M.CAGE</v>
          </cell>
          <cell r="R2418">
            <v>0</v>
          </cell>
        </row>
        <row r="2419">
          <cell r="Q2419" t="str">
            <v>186M.CAEW1</v>
          </cell>
          <cell r="R2419">
            <v>0</v>
          </cell>
        </row>
        <row r="2420">
          <cell r="Q2420" t="str">
            <v>186M.CAEE1</v>
          </cell>
          <cell r="R2420">
            <v>0</v>
          </cell>
        </row>
        <row r="2421">
          <cell r="Q2421" t="str">
            <v>186M.JBE</v>
          </cell>
          <cell r="R2421">
            <v>430387.13048055297</v>
          </cell>
        </row>
        <row r="2422">
          <cell r="Q2422" t="str">
            <v>186M.EXCTAX</v>
          </cell>
          <cell r="R2422">
            <v>0</v>
          </cell>
        </row>
        <row r="2423">
          <cell r="Q2423" t="str">
            <v>Total Misc. Deferred Debits.NA</v>
          </cell>
          <cell r="R2423">
            <v>430387.13048053591</v>
          </cell>
        </row>
        <row r="2424">
          <cell r="Q2424" t="str">
            <v>Total Misc. Deferred Debits.NA1</v>
          </cell>
          <cell r="R2424">
            <v>0</v>
          </cell>
        </row>
        <row r="2425">
          <cell r="Q2425" t="str">
            <v>Working Capital.NA</v>
          </cell>
          <cell r="R2425">
            <v>0</v>
          </cell>
        </row>
        <row r="2426">
          <cell r="Q2426" t="str">
            <v>CWC.NA</v>
          </cell>
          <cell r="R2426">
            <v>0</v>
          </cell>
        </row>
        <row r="2427">
          <cell r="Q2427" t="str">
            <v>CWC.S</v>
          </cell>
          <cell r="R2427">
            <v>23459504.952025533</v>
          </cell>
        </row>
        <row r="2428">
          <cell r="Q2428" t="str">
            <v>CWC.SO</v>
          </cell>
          <cell r="R2428">
            <v>0</v>
          </cell>
        </row>
        <row r="2429">
          <cell r="Q2429" t="str">
            <v>CWC.SE</v>
          </cell>
          <cell r="R2429">
            <v>0</v>
          </cell>
        </row>
        <row r="2430">
          <cell r="Q2430" t="str">
            <v>CWC.NA1</v>
          </cell>
          <cell r="R2430">
            <v>23459504.952025533</v>
          </cell>
        </row>
        <row r="2431">
          <cell r="Q2431" t="str">
            <v>CWC.NA2</v>
          </cell>
          <cell r="R2431">
            <v>0</v>
          </cell>
        </row>
        <row r="2432">
          <cell r="Q2432" t="str">
            <v>OWC.NA</v>
          </cell>
          <cell r="R2432">
            <v>0</v>
          </cell>
        </row>
        <row r="2433">
          <cell r="Q2433" t="str">
            <v>131.SNP</v>
          </cell>
          <cell r="R2433">
            <v>0</v>
          </cell>
        </row>
        <row r="2434">
          <cell r="Q2434" t="str">
            <v>135.SG</v>
          </cell>
          <cell r="R2434">
            <v>0</v>
          </cell>
        </row>
        <row r="2435">
          <cell r="Q2435" t="str">
            <v>141.SO</v>
          </cell>
          <cell r="R2435">
            <v>0</v>
          </cell>
        </row>
        <row r="2436">
          <cell r="Q2436" t="str">
            <v>143.SO</v>
          </cell>
          <cell r="R2436">
            <v>0</v>
          </cell>
        </row>
        <row r="2437">
          <cell r="Q2437" t="str">
            <v>232.SE</v>
          </cell>
          <cell r="R2437">
            <v>0</v>
          </cell>
        </row>
        <row r="2438">
          <cell r="Q2438" t="str">
            <v>232.SO</v>
          </cell>
          <cell r="R2438">
            <v>0</v>
          </cell>
        </row>
        <row r="2439">
          <cell r="Q2439" t="str">
            <v>232.CAEE</v>
          </cell>
          <cell r="R2439">
            <v>0</v>
          </cell>
        </row>
        <row r="2440">
          <cell r="Q2440" t="str">
            <v>232.SG</v>
          </cell>
          <cell r="R2440">
            <v>0</v>
          </cell>
        </row>
        <row r="2441">
          <cell r="Q2441" t="str">
            <v>232.S</v>
          </cell>
          <cell r="R2441">
            <v>0</v>
          </cell>
        </row>
        <row r="2442">
          <cell r="Q2442" t="str">
            <v>2533.OTHER</v>
          </cell>
          <cell r="R2442">
            <v>0</v>
          </cell>
        </row>
        <row r="2443">
          <cell r="Q2443" t="str">
            <v>2533.CAGE</v>
          </cell>
          <cell r="R2443">
            <v>0</v>
          </cell>
        </row>
        <row r="2444">
          <cell r="Q2444" t="str">
            <v>2533.CAGE1</v>
          </cell>
          <cell r="R2444">
            <v>0</v>
          </cell>
        </row>
        <row r="2445">
          <cell r="Q2445" t="str">
            <v>230.SE</v>
          </cell>
          <cell r="R2445">
            <v>0</v>
          </cell>
        </row>
        <row r="2446">
          <cell r="Q2446" t="str">
            <v>230.CAEW</v>
          </cell>
          <cell r="R2446">
            <v>0</v>
          </cell>
        </row>
        <row r="2447">
          <cell r="Q2447" t="str">
            <v>230.CAEE</v>
          </cell>
          <cell r="R2447">
            <v>0</v>
          </cell>
        </row>
        <row r="2448">
          <cell r="Q2448" t="str">
            <v>230.S</v>
          </cell>
          <cell r="R2448">
            <v>0</v>
          </cell>
        </row>
        <row r="2449">
          <cell r="Q2449" t="str">
            <v>254105.S</v>
          </cell>
          <cell r="R2449">
            <v>0</v>
          </cell>
        </row>
        <row r="2450">
          <cell r="Q2450" t="str">
            <v>254105.SE</v>
          </cell>
          <cell r="R2450">
            <v>0</v>
          </cell>
        </row>
        <row r="2451">
          <cell r="Q2451" t="str">
            <v>254105.CAGE</v>
          </cell>
          <cell r="R2451">
            <v>0</v>
          </cell>
        </row>
        <row r="2452">
          <cell r="Q2452" t="str">
            <v>254105.CAEE</v>
          </cell>
          <cell r="R2452">
            <v>0</v>
          </cell>
        </row>
        <row r="2453">
          <cell r="Q2453" t="str">
            <v>2533.CAEE</v>
          </cell>
          <cell r="R2453">
            <v>0</v>
          </cell>
        </row>
        <row r="2454">
          <cell r="Q2454" t="str">
            <v>2533.NA</v>
          </cell>
          <cell r="R2454">
            <v>0</v>
          </cell>
        </row>
        <row r="2455">
          <cell r="Q2455" t="str">
            <v>2533.NA1</v>
          </cell>
          <cell r="R2455">
            <v>0</v>
          </cell>
        </row>
        <row r="2456">
          <cell r="Q2456" t="str">
            <v>Total Working Capital.NA</v>
          </cell>
          <cell r="R2456">
            <v>23459504.952025533</v>
          </cell>
        </row>
        <row r="2457">
          <cell r="Q2457" t="str">
            <v>Miscellaneous Rate Base.NA</v>
          </cell>
          <cell r="R2457">
            <v>0</v>
          </cell>
        </row>
        <row r="2458">
          <cell r="Q2458" t="str">
            <v>18221.NA</v>
          </cell>
          <cell r="R2458">
            <v>0</v>
          </cell>
        </row>
        <row r="2459">
          <cell r="Q2459" t="str">
            <v>18221.S</v>
          </cell>
          <cell r="R2459">
            <v>0</v>
          </cell>
        </row>
        <row r="2460">
          <cell r="Q2460" t="str">
            <v>18221.NA1</v>
          </cell>
          <cell r="R2460">
            <v>0</v>
          </cell>
        </row>
        <row r="2461">
          <cell r="Q2461" t="str">
            <v>18221.NA2</v>
          </cell>
          <cell r="R2461">
            <v>0</v>
          </cell>
        </row>
        <row r="2462">
          <cell r="Q2462" t="str">
            <v>18221.NA3</v>
          </cell>
          <cell r="R2462">
            <v>0</v>
          </cell>
        </row>
        <row r="2463">
          <cell r="Q2463" t="str">
            <v>18222.NA</v>
          </cell>
          <cell r="R2463">
            <v>0</v>
          </cell>
        </row>
        <row r="2464">
          <cell r="Q2464" t="str">
            <v>18222.S</v>
          </cell>
          <cell r="R2464">
            <v>0</v>
          </cell>
        </row>
        <row r="2465">
          <cell r="Q2465" t="str">
            <v>18222.TROJP</v>
          </cell>
          <cell r="R2465">
            <v>0</v>
          </cell>
        </row>
        <row r="2466">
          <cell r="Q2466" t="str">
            <v>18222.TROJD</v>
          </cell>
          <cell r="R2466">
            <v>0</v>
          </cell>
        </row>
        <row r="2467">
          <cell r="Q2467" t="str">
            <v>18222.NA1</v>
          </cell>
          <cell r="R2467">
            <v>0</v>
          </cell>
        </row>
        <row r="2468">
          <cell r="Q2468" t="str">
            <v>18222.NA2</v>
          </cell>
          <cell r="R2468">
            <v>0</v>
          </cell>
        </row>
        <row r="2469">
          <cell r="Q2469" t="str">
            <v>18222.NA3</v>
          </cell>
          <cell r="R2469">
            <v>0</v>
          </cell>
        </row>
        <row r="2470">
          <cell r="Q2470" t="str">
            <v>18222.NA4</v>
          </cell>
          <cell r="R2470">
            <v>0</v>
          </cell>
        </row>
        <row r="2471">
          <cell r="Q2471" t="str">
            <v>1869.NA</v>
          </cell>
          <cell r="R2471">
            <v>0</v>
          </cell>
        </row>
        <row r="2472">
          <cell r="Q2472" t="str">
            <v>1869.S</v>
          </cell>
          <cell r="R2472">
            <v>0</v>
          </cell>
        </row>
        <row r="2473">
          <cell r="Q2473" t="str">
            <v>1869.SNPPN</v>
          </cell>
          <cell r="R2473">
            <v>0</v>
          </cell>
        </row>
        <row r="2474">
          <cell r="Q2474" t="str">
            <v>1869.NA1</v>
          </cell>
          <cell r="R2474">
            <v>0</v>
          </cell>
        </row>
        <row r="2475">
          <cell r="Q2475" t="str">
            <v>1869.NA2</v>
          </cell>
          <cell r="R2475">
            <v>0</v>
          </cell>
        </row>
        <row r="2476">
          <cell r="Q2476" t="str">
            <v>TOTAL MISCELLANEOUS RATE BASE.NA</v>
          </cell>
          <cell r="R2476">
            <v>0</v>
          </cell>
        </row>
        <row r="2477">
          <cell r="Q2477" t="str">
            <v>TOTAL MISCELLANEOUS RATE BASE.NA1</v>
          </cell>
          <cell r="R2477">
            <v>0</v>
          </cell>
        </row>
        <row r="2478">
          <cell r="Q2478" t="str">
            <v>TOTAL RATE BASE ADDITIONS.NA</v>
          </cell>
          <cell r="R2478">
            <v>24180112.615119219</v>
          </cell>
        </row>
        <row r="2479">
          <cell r="Q2479" t="str">
            <v>235.NA</v>
          </cell>
          <cell r="R2479">
            <v>0</v>
          </cell>
        </row>
        <row r="2480">
          <cell r="Q2480" t="str">
            <v>235.S</v>
          </cell>
          <cell r="R2480">
            <v>-2829106.1541666668</v>
          </cell>
        </row>
        <row r="2481">
          <cell r="Q2481" t="str">
            <v>235.CN</v>
          </cell>
          <cell r="R2481">
            <v>0</v>
          </cell>
        </row>
        <row r="2482">
          <cell r="Q2482" t="str">
            <v>Total Customer Service Deposits.NA</v>
          </cell>
          <cell r="R2482">
            <v>-2829106.1541666668</v>
          </cell>
        </row>
        <row r="2483">
          <cell r="Q2483" t="str">
            <v>Total Customer Service Deposits.NA1</v>
          </cell>
          <cell r="R2483">
            <v>0</v>
          </cell>
        </row>
        <row r="2484">
          <cell r="Q2484" t="str">
            <v>2281.S</v>
          </cell>
          <cell r="R2484">
            <v>0</v>
          </cell>
        </row>
        <row r="2485">
          <cell r="Q2485" t="str">
            <v>2282.SO</v>
          </cell>
          <cell r="R2485">
            <v>0</v>
          </cell>
        </row>
        <row r="2486">
          <cell r="Q2486" t="str">
            <v>2283.SO</v>
          </cell>
          <cell r="R2486">
            <v>0</v>
          </cell>
        </row>
        <row r="2487">
          <cell r="Q2487" t="str">
            <v>2282.S</v>
          </cell>
          <cell r="R2487">
            <v>0</v>
          </cell>
        </row>
        <row r="2488">
          <cell r="Q2488" t="str">
            <v>254.SO</v>
          </cell>
          <cell r="R2488">
            <v>0</v>
          </cell>
        </row>
        <row r="2489">
          <cell r="Q2489" t="str">
            <v>254.NA</v>
          </cell>
          <cell r="R2489">
            <v>0</v>
          </cell>
        </row>
        <row r="2490">
          <cell r="Q2490" t="str">
            <v>254.NA1</v>
          </cell>
          <cell r="R2490">
            <v>0</v>
          </cell>
        </row>
        <row r="2491">
          <cell r="Q2491" t="str">
            <v>22841.NA</v>
          </cell>
          <cell r="R2491">
            <v>0</v>
          </cell>
        </row>
        <row r="2492">
          <cell r="Q2492" t="str">
            <v>22841.S</v>
          </cell>
          <cell r="R2492">
            <v>0</v>
          </cell>
        </row>
        <row r="2493">
          <cell r="Q2493" t="str">
            <v>22841.CAGW</v>
          </cell>
          <cell r="R2493">
            <v>-123389.23719499439</v>
          </cell>
        </row>
        <row r="2494">
          <cell r="Q2494" t="str">
            <v>22841.NA1</v>
          </cell>
          <cell r="R2494">
            <v>-123389.23719499439</v>
          </cell>
        </row>
        <row r="2495">
          <cell r="Q2495" t="str">
            <v>22841.NA2</v>
          </cell>
          <cell r="R2495">
            <v>0</v>
          </cell>
        </row>
        <row r="2496">
          <cell r="Q2496" t="str">
            <v>254.JBG</v>
          </cell>
          <cell r="R2496">
            <v>-3037826.5434690067</v>
          </cell>
        </row>
        <row r="2497">
          <cell r="Q2497" t="str">
            <v>254.CAGW</v>
          </cell>
          <cell r="R2497">
            <v>-87168.730043882126</v>
          </cell>
        </row>
        <row r="2498">
          <cell r="Q2498" t="str">
            <v>254105.S1</v>
          </cell>
          <cell r="R2498">
            <v>0</v>
          </cell>
        </row>
        <row r="2499">
          <cell r="Q2499" t="str">
            <v>2533.CAEE1</v>
          </cell>
          <cell r="R2499">
            <v>0</v>
          </cell>
        </row>
        <row r="2500">
          <cell r="Q2500" t="str">
            <v>254.SE</v>
          </cell>
          <cell r="R2500">
            <v>0</v>
          </cell>
        </row>
        <row r="2501">
          <cell r="Q2501" t="str">
            <v>254.S</v>
          </cell>
          <cell r="R2501">
            <v>-44041830.913750023</v>
          </cell>
        </row>
        <row r="2502">
          <cell r="Q2502" t="str">
            <v>254.NA2</v>
          </cell>
          <cell r="R2502">
            <v>-47166826.187262908</v>
          </cell>
        </row>
        <row r="2503">
          <cell r="Q2503" t="str">
            <v>254.NA3</v>
          </cell>
          <cell r="R2503">
            <v>0</v>
          </cell>
        </row>
        <row r="2504">
          <cell r="Q2504" t="str">
            <v>252.NA</v>
          </cell>
          <cell r="R2504">
            <v>0</v>
          </cell>
        </row>
        <row r="2505">
          <cell r="Q2505" t="str">
            <v>252.S</v>
          </cell>
          <cell r="R2505">
            <v>-426191.15666666673</v>
          </cell>
        </row>
        <row r="2506">
          <cell r="Q2506" t="str">
            <v>252.SG</v>
          </cell>
          <cell r="R2506">
            <v>-2053622.1688592487</v>
          </cell>
        </row>
        <row r="2507">
          <cell r="Q2507" t="str">
            <v>252.CAGE</v>
          </cell>
          <cell r="R2507">
            <v>0</v>
          </cell>
        </row>
        <row r="2508">
          <cell r="Q2508" t="str">
            <v>252.CAGW</v>
          </cell>
          <cell r="R2508">
            <v>0</v>
          </cell>
        </row>
        <row r="2509">
          <cell r="Q2509" t="str">
            <v>252.CN</v>
          </cell>
          <cell r="R2509">
            <v>0</v>
          </cell>
        </row>
        <row r="2510">
          <cell r="Q2510" t="str">
            <v>Total Customer Advances for Constr..NA</v>
          </cell>
          <cell r="R2510">
            <v>-2479813.3255259153</v>
          </cell>
        </row>
        <row r="2511">
          <cell r="Q2511" t="str">
            <v>Total Customer Advances for Constr..NA1</v>
          </cell>
          <cell r="R2511">
            <v>0</v>
          </cell>
        </row>
        <row r="2512">
          <cell r="Q2512" t="str">
            <v>25398.NA</v>
          </cell>
          <cell r="R2512">
            <v>0</v>
          </cell>
        </row>
        <row r="2513">
          <cell r="Q2513" t="str">
            <v>25398.S</v>
          </cell>
          <cell r="R2513">
            <v>0</v>
          </cell>
        </row>
        <row r="2514">
          <cell r="Q2514" t="str">
            <v>25398.NA1</v>
          </cell>
          <cell r="R2514">
            <v>0</v>
          </cell>
        </row>
        <row r="2515">
          <cell r="Q2515" t="str">
            <v>25398.NA2</v>
          </cell>
          <cell r="R2515">
            <v>0</v>
          </cell>
        </row>
        <row r="2516">
          <cell r="Q2516" t="str">
            <v>25399.NA</v>
          </cell>
          <cell r="R2516">
            <v>0</v>
          </cell>
        </row>
        <row r="2517">
          <cell r="Q2517" t="str">
            <v>25399.S</v>
          </cell>
          <cell r="R2517">
            <v>-303028.54041666701</v>
          </cell>
        </row>
        <row r="2518">
          <cell r="Q2518" t="str">
            <v>25399.GPS</v>
          </cell>
          <cell r="R2518">
            <v>0</v>
          </cell>
        </row>
        <row r="2519">
          <cell r="Q2519" t="str">
            <v>25399.SO</v>
          </cell>
          <cell r="R2519">
            <v>-3732743.241386496</v>
          </cell>
        </row>
        <row r="2520">
          <cell r="Q2520" t="str">
            <v>25399.CAGW</v>
          </cell>
          <cell r="R2520">
            <v>-86662.39622226599</v>
          </cell>
        </row>
        <row r="2521">
          <cell r="Q2521" t="str">
            <v>25399.CAGE</v>
          </cell>
          <cell r="R2521">
            <v>0</v>
          </cell>
        </row>
        <row r="2522">
          <cell r="Q2522" t="str">
            <v>25399.SG</v>
          </cell>
          <cell r="R2522">
            <v>-543016.62902315217</v>
          </cell>
        </row>
        <row r="2523">
          <cell r="Q2523" t="str">
            <v>25399.CAEW</v>
          </cell>
          <cell r="R2523">
            <v>0</v>
          </cell>
        </row>
        <row r="2524">
          <cell r="Q2524" t="str">
            <v>25399.CAEE</v>
          </cell>
          <cell r="R2524">
            <v>0</v>
          </cell>
        </row>
        <row r="2525">
          <cell r="Q2525" t="str">
            <v>25399.SE</v>
          </cell>
          <cell r="R2525">
            <v>0</v>
          </cell>
        </row>
        <row r="2526">
          <cell r="Q2526" t="str">
            <v>25399.NA1</v>
          </cell>
          <cell r="R2526">
            <v>-4665450.8070485806</v>
          </cell>
        </row>
        <row r="2527">
          <cell r="Q2527" t="str">
            <v>25399.NA2</v>
          </cell>
          <cell r="R2527">
            <v>0</v>
          </cell>
        </row>
        <row r="2528">
          <cell r="Q2528" t="str">
            <v>190.NA</v>
          </cell>
          <cell r="R2528">
            <v>0</v>
          </cell>
        </row>
        <row r="2529">
          <cell r="Q2529" t="str">
            <v>190.S</v>
          </cell>
          <cell r="R2529">
            <v>8860708.5999999996</v>
          </cell>
        </row>
        <row r="2530">
          <cell r="Q2530" t="str">
            <v>190.CN</v>
          </cell>
          <cell r="R2530">
            <v>0</v>
          </cell>
        </row>
        <row r="2531">
          <cell r="Q2531" t="str">
            <v>190.SO</v>
          </cell>
          <cell r="R2531">
            <v>932328.12359469116</v>
          </cell>
        </row>
        <row r="2532">
          <cell r="Q2532" t="str">
            <v>190.IBT</v>
          </cell>
          <cell r="R2532">
            <v>0</v>
          </cell>
        </row>
        <row r="2533">
          <cell r="Q2533" t="str">
            <v>190.BADDEBT</v>
          </cell>
          <cell r="R2533">
            <v>318772.08093302697</v>
          </cell>
        </row>
        <row r="2534">
          <cell r="Q2534" t="str">
            <v>190.TROJD</v>
          </cell>
          <cell r="R2534">
            <v>0</v>
          </cell>
        </row>
        <row r="2535">
          <cell r="Q2535" t="str">
            <v>190.SG</v>
          </cell>
          <cell r="R2535">
            <v>596327.57926729182</v>
          </cell>
        </row>
        <row r="2536">
          <cell r="Q2536" t="str">
            <v>190.SE</v>
          </cell>
          <cell r="R2536">
            <v>0</v>
          </cell>
        </row>
        <row r="2537">
          <cell r="Q2537" t="str">
            <v>190.SNP</v>
          </cell>
          <cell r="R2537">
            <v>0</v>
          </cell>
        </row>
        <row r="2538">
          <cell r="Q2538" t="str">
            <v>190.CAGW</v>
          </cell>
          <cell r="R2538">
            <v>51768.54307860745</v>
          </cell>
        </row>
        <row r="2539">
          <cell r="Q2539" t="str">
            <v>190.CAGE</v>
          </cell>
          <cell r="R2539">
            <v>0</v>
          </cell>
        </row>
        <row r="2540">
          <cell r="Q2540" t="str">
            <v>190.JBG</v>
          </cell>
          <cell r="R2540">
            <v>746898.84270969837</v>
          </cell>
        </row>
        <row r="2541">
          <cell r="Q2541" t="str">
            <v>190.CAEE</v>
          </cell>
          <cell r="R2541">
            <v>0</v>
          </cell>
        </row>
        <row r="2542">
          <cell r="Q2542" t="str">
            <v>190.JBE</v>
          </cell>
          <cell r="R2542">
            <v>-2793885.9394330932</v>
          </cell>
        </row>
        <row r="2543">
          <cell r="Q2543" t="str">
            <v>190.SNPD</v>
          </cell>
          <cell r="R2543">
            <v>87655.737153907394</v>
          </cell>
        </row>
        <row r="2544">
          <cell r="Q2544" t="str">
            <v>190.NA1</v>
          </cell>
          <cell r="R2544">
            <v>0</v>
          </cell>
        </row>
        <row r="2545">
          <cell r="Q2545" t="str">
            <v>Total Accum Deferred Income Taxes.NA</v>
          </cell>
          <cell r="R2545">
            <v>8800573.5673041288</v>
          </cell>
        </row>
        <row r="2546">
          <cell r="Q2546" t="str">
            <v>Total Accum Deferred Income Taxes.NA1</v>
          </cell>
          <cell r="R2546">
            <v>0</v>
          </cell>
        </row>
        <row r="2547">
          <cell r="Q2547" t="str">
            <v>281.NA</v>
          </cell>
          <cell r="R2547">
            <v>0</v>
          </cell>
        </row>
        <row r="2548">
          <cell r="Q2548" t="str">
            <v>281.S</v>
          </cell>
          <cell r="R2548">
            <v>0</v>
          </cell>
        </row>
        <row r="2549">
          <cell r="Q2549" t="str">
            <v>281.SG</v>
          </cell>
          <cell r="R2549">
            <v>-1.0414779292396379E-2</v>
          </cell>
        </row>
        <row r="2550">
          <cell r="Q2550" t="str">
            <v>281.CAGW</v>
          </cell>
          <cell r="R2550">
            <v>0</v>
          </cell>
        </row>
        <row r="2551">
          <cell r="Q2551" t="str">
            <v>281.CAGE</v>
          </cell>
          <cell r="R2551">
            <v>0</v>
          </cell>
        </row>
        <row r="2552">
          <cell r="Q2552" t="str">
            <v>281.SNPT</v>
          </cell>
          <cell r="R2552">
            <v>0</v>
          </cell>
        </row>
        <row r="2553">
          <cell r="Q2553" t="str">
            <v>281.NA1</v>
          </cell>
          <cell r="R2553">
            <v>-1.0414779292396379E-2</v>
          </cell>
        </row>
        <row r="2554">
          <cell r="Q2554" t="str">
            <v>281.NA2</v>
          </cell>
          <cell r="R2554">
            <v>0</v>
          </cell>
        </row>
        <row r="2555">
          <cell r="Q2555" t="str">
            <v>282.NA</v>
          </cell>
          <cell r="R2555">
            <v>0</v>
          </cell>
        </row>
        <row r="2556">
          <cell r="Q2556" t="str">
            <v>282.S</v>
          </cell>
          <cell r="R2556">
            <v>-247624661.31003326</v>
          </cell>
        </row>
        <row r="2557">
          <cell r="Q2557" t="str">
            <v>282.CIAC</v>
          </cell>
          <cell r="R2557">
            <v>0</v>
          </cell>
        </row>
        <row r="2558">
          <cell r="Q2558" t="str">
            <v>282.DITBAL</v>
          </cell>
          <cell r="R2558">
            <v>0.41164354926701319</v>
          </cell>
        </row>
        <row r="2559">
          <cell r="Q2559" t="str">
            <v>282.JBE</v>
          </cell>
          <cell r="R2559">
            <v>-1813370.8336466833</v>
          </cell>
        </row>
        <row r="2560">
          <cell r="Q2560" t="str">
            <v>282.SO</v>
          </cell>
          <cell r="R2560">
            <v>-236184.00743269268</v>
          </cell>
        </row>
        <row r="2561">
          <cell r="Q2561" t="str">
            <v>282.SNPD</v>
          </cell>
          <cell r="R2561">
            <v>0</v>
          </cell>
        </row>
        <row r="2562">
          <cell r="Q2562" t="str">
            <v>282.SNP</v>
          </cell>
          <cell r="R2562">
            <v>0</v>
          </cell>
        </row>
        <row r="2563">
          <cell r="Q2563" t="str">
            <v>282.CAGW</v>
          </cell>
          <cell r="R2563">
            <v>2106041.2169198859</v>
          </cell>
        </row>
        <row r="2564">
          <cell r="Q2564" t="str">
            <v>282.CAGE</v>
          </cell>
          <cell r="R2564">
            <v>0</v>
          </cell>
        </row>
        <row r="2565">
          <cell r="Q2565" t="str">
            <v>282.SE</v>
          </cell>
          <cell r="R2565">
            <v>0</v>
          </cell>
        </row>
        <row r="2566">
          <cell r="Q2566" t="str">
            <v>282.CAEE</v>
          </cell>
          <cell r="R2566">
            <v>0</v>
          </cell>
        </row>
        <row r="2567">
          <cell r="Q2567" t="str">
            <v>282.CN</v>
          </cell>
          <cell r="R2567">
            <v>6215.2208663573483</v>
          </cell>
        </row>
        <row r="2568">
          <cell r="Q2568" t="str">
            <v>282.JBG</v>
          </cell>
          <cell r="R2568">
            <v>9086341.4768929966</v>
          </cell>
        </row>
        <row r="2569">
          <cell r="Q2569" t="str">
            <v>282.SG</v>
          </cell>
          <cell r="R2569">
            <v>-5873054.4238714175</v>
          </cell>
        </row>
        <row r="2570">
          <cell r="Q2570" t="str">
            <v>282.NA1</v>
          </cell>
          <cell r="R2570">
            <v>-244348672.24866128</v>
          </cell>
        </row>
        <row r="2571">
          <cell r="Q2571" t="str">
            <v>282.NA2</v>
          </cell>
          <cell r="R2571">
            <v>0</v>
          </cell>
        </row>
        <row r="2572">
          <cell r="Q2572" t="str">
            <v>283.NA</v>
          </cell>
          <cell r="R2572">
            <v>0</v>
          </cell>
        </row>
        <row r="2573">
          <cell r="Q2573" t="str">
            <v>283.S</v>
          </cell>
          <cell r="R2573">
            <v>76999.222083333007</v>
          </cell>
        </row>
        <row r="2574">
          <cell r="Q2574" t="str">
            <v>283.SG</v>
          </cell>
          <cell r="R2574">
            <v>-373.40374725936078</v>
          </cell>
        </row>
        <row r="2575">
          <cell r="Q2575" t="str">
            <v>283.SE</v>
          </cell>
          <cell r="R2575">
            <v>0</v>
          </cell>
        </row>
        <row r="2576">
          <cell r="Q2576" t="str">
            <v>283.SO</v>
          </cell>
          <cell r="R2576">
            <v>-63198.615737185115</v>
          </cell>
        </row>
        <row r="2577">
          <cell r="Q2577" t="str">
            <v>283.GPS</v>
          </cell>
          <cell r="R2577">
            <v>-230854.38068992412</v>
          </cell>
        </row>
        <row r="2578">
          <cell r="Q2578" t="str">
            <v>283.SNP</v>
          </cell>
          <cell r="R2578">
            <v>-68194.589608705544</v>
          </cell>
        </row>
        <row r="2579">
          <cell r="Q2579" t="str">
            <v>283.TROJD</v>
          </cell>
          <cell r="R2579">
            <v>0</v>
          </cell>
        </row>
        <row r="2580">
          <cell r="Q2580" t="str">
            <v>283.SGCT</v>
          </cell>
          <cell r="R2580">
            <v>0</v>
          </cell>
        </row>
        <row r="2581">
          <cell r="Q2581" t="str">
            <v>283.CAGW</v>
          </cell>
          <cell r="R2581">
            <v>-160157.77932930388</v>
          </cell>
        </row>
        <row r="2582">
          <cell r="Q2582" t="str">
            <v>283.CAGE</v>
          </cell>
          <cell r="R2582">
            <v>0</v>
          </cell>
        </row>
        <row r="2583">
          <cell r="Q2583" t="str">
            <v>283.CAEW</v>
          </cell>
          <cell r="R2583">
            <v>0</v>
          </cell>
        </row>
        <row r="2584">
          <cell r="Q2584" t="str">
            <v>283.CAEE</v>
          </cell>
          <cell r="R2584">
            <v>0</v>
          </cell>
        </row>
        <row r="2585">
          <cell r="Q2585" t="str">
            <v>283.JBE</v>
          </cell>
          <cell r="R2585">
            <v>-5069.2951108237385</v>
          </cell>
        </row>
        <row r="2586">
          <cell r="Q2586" t="str">
            <v>283.SGCT1</v>
          </cell>
          <cell r="R2586">
            <v>0</v>
          </cell>
        </row>
        <row r="2587">
          <cell r="Q2587" t="str">
            <v>283.NA1</v>
          </cell>
          <cell r="R2587">
            <v>0</v>
          </cell>
        </row>
        <row r="2588">
          <cell r="Q2588" t="str">
            <v>283.NA2</v>
          </cell>
          <cell r="R2588">
            <v>-450848.84213986876</v>
          </cell>
        </row>
        <row r="2589">
          <cell r="Q2589" t="str">
            <v>283.NA3</v>
          </cell>
          <cell r="R2589">
            <v>0</v>
          </cell>
        </row>
        <row r="2590">
          <cell r="Q2590" t="str">
            <v>TOTAL ACCUM DEF INCOME TAX.NA</v>
          </cell>
          <cell r="R2590">
            <v>-235998947.53391179</v>
          </cell>
        </row>
        <row r="2591">
          <cell r="Q2591" t="str">
            <v>255.NA</v>
          </cell>
          <cell r="R2591">
            <v>0</v>
          </cell>
        </row>
        <row r="2592">
          <cell r="Q2592" t="str">
            <v>255.S</v>
          </cell>
          <cell r="R2592">
            <v>0</v>
          </cell>
        </row>
        <row r="2593">
          <cell r="Q2593" t="str">
            <v>255.ITC84</v>
          </cell>
          <cell r="R2593">
            <v>0</v>
          </cell>
        </row>
        <row r="2594">
          <cell r="Q2594" t="str">
            <v>255.ITC85</v>
          </cell>
          <cell r="R2594">
            <v>0</v>
          </cell>
        </row>
        <row r="2595">
          <cell r="Q2595" t="str">
            <v>255.ITC86</v>
          </cell>
          <cell r="R2595">
            <v>0</v>
          </cell>
        </row>
        <row r="2596">
          <cell r="Q2596" t="str">
            <v>255.ITC88</v>
          </cell>
          <cell r="R2596">
            <v>0</v>
          </cell>
        </row>
        <row r="2597">
          <cell r="Q2597" t="str">
            <v>255.ITC89</v>
          </cell>
          <cell r="R2597">
            <v>0</v>
          </cell>
        </row>
        <row r="2598">
          <cell r="Q2598" t="str">
            <v>255.ITC90</v>
          </cell>
          <cell r="R2598">
            <v>-2227.471704</v>
          </cell>
        </row>
        <row r="2599">
          <cell r="Q2599" t="str">
            <v>255.SG</v>
          </cell>
          <cell r="R2599">
            <v>-17369.988623859608</v>
          </cell>
        </row>
        <row r="2600">
          <cell r="Q2600" t="str">
            <v>Total Accumulated ITC.NA</v>
          </cell>
          <cell r="R2600">
            <v>-19597.460327859608</v>
          </cell>
        </row>
        <row r="2601">
          <cell r="Q2601" t="str">
            <v>Total Accumulated ITC.NA1</v>
          </cell>
          <cell r="R2601">
            <v>0</v>
          </cell>
        </row>
        <row r="2602">
          <cell r="Q2602" t="str">
            <v>TOTAL RATE BASE DEDUCTIONS.NA</v>
          </cell>
          <cell r="R2602">
            <v>-293283130.70543873</v>
          </cell>
        </row>
        <row r="2603">
          <cell r="Q2603" t="str">
            <v>TOTAL RATE BASE DEDUCTIONS.NA1</v>
          </cell>
          <cell r="R2603">
            <v>0</v>
          </cell>
        </row>
        <row r="2604">
          <cell r="Q2604" t="str">
            <v>TOTAL RATE BASE DEDUCTIONS.NA2</v>
          </cell>
          <cell r="R2604">
            <v>0</v>
          </cell>
        </row>
        <row r="2605">
          <cell r="Q2605" t="str">
            <v>TOTAL RATE BASE DEDUCTIONS.NA3</v>
          </cell>
          <cell r="R2605">
            <v>0</v>
          </cell>
        </row>
        <row r="2606">
          <cell r="Q2606" t="str">
            <v>108SP.NA</v>
          </cell>
          <cell r="R2606">
            <v>0</v>
          </cell>
        </row>
        <row r="2607">
          <cell r="Q2607" t="str">
            <v>108SP.S</v>
          </cell>
          <cell r="R2607">
            <v>0</v>
          </cell>
        </row>
        <row r="2608">
          <cell r="Q2608" t="str">
            <v>108SP.DGP</v>
          </cell>
          <cell r="R2608">
            <v>0</v>
          </cell>
        </row>
        <row r="2609">
          <cell r="Q2609" t="str">
            <v>108SP.DGU</v>
          </cell>
          <cell r="R2609">
            <v>0</v>
          </cell>
        </row>
        <row r="2610">
          <cell r="Q2610" t="str">
            <v>108SP.SG</v>
          </cell>
          <cell r="R2610">
            <v>-7275532.3668136876</v>
          </cell>
        </row>
        <row r="2611">
          <cell r="Q2611" t="str">
            <v>108SP.CAGW</v>
          </cell>
          <cell r="R2611">
            <v>-9147374.6324637718</v>
          </cell>
        </row>
        <row r="2612">
          <cell r="Q2612" t="str">
            <v>108SP.CAGE</v>
          </cell>
          <cell r="R2612">
            <v>0</v>
          </cell>
        </row>
        <row r="2613">
          <cell r="Q2613" t="str">
            <v>108SP.JBG</v>
          </cell>
          <cell r="R2613">
            <v>-151789285.80289385</v>
          </cell>
        </row>
        <row r="2614">
          <cell r="Q2614" t="str">
            <v>108SP.CAGE1</v>
          </cell>
          <cell r="R2614">
            <v>0</v>
          </cell>
        </row>
        <row r="2615">
          <cell r="Q2615" t="str">
            <v>108SP.NA1</v>
          </cell>
          <cell r="R2615">
            <v>-168212192.80217132</v>
          </cell>
        </row>
        <row r="2616">
          <cell r="Q2616" t="str">
            <v>108SP.NA2</v>
          </cell>
          <cell r="R2616">
            <v>0</v>
          </cell>
        </row>
        <row r="2617">
          <cell r="Q2617" t="str">
            <v>108NP.NA</v>
          </cell>
          <cell r="R2617">
            <v>0</v>
          </cell>
        </row>
        <row r="2618">
          <cell r="Q2618" t="str">
            <v>108NP.DGP</v>
          </cell>
          <cell r="R2618">
            <v>0</v>
          </cell>
        </row>
        <row r="2619">
          <cell r="Q2619" t="str">
            <v>108NP.DGU</v>
          </cell>
          <cell r="R2619">
            <v>0</v>
          </cell>
        </row>
        <row r="2620">
          <cell r="Q2620" t="str">
            <v>108NP.SG</v>
          </cell>
          <cell r="R2620">
            <v>0</v>
          </cell>
        </row>
        <row r="2621">
          <cell r="Q2621" t="str">
            <v>108NP.NA1</v>
          </cell>
          <cell r="R2621">
            <v>0</v>
          </cell>
        </row>
        <row r="2622">
          <cell r="Q2622" t="str">
            <v>108NP.NA2</v>
          </cell>
          <cell r="R2622">
            <v>0</v>
          </cell>
        </row>
        <row r="2623">
          <cell r="Q2623" t="str">
            <v>108NP.NA3</v>
          </cell>
          <cell r="R2623">
            <v>0</v>
          </cell>
        </row>
        <row r="2624">
          <cell r="Q2624" t="str">
            <v>108HP.NA</v>
          </cell>
          <cell r="R2624">
            <v>0</v>
          </cell>
        </row>
        <row r="2625">
          <cell r="Q2625" t="str">
            <v>108HP.S</v>
          </cell>
          <cell r="R2625">
            <v>0</v>
          </cell>
        </row>
        <row r="2626">
          <cell r="Q2626" t="str">
            <v>108HP.SG</v>
          </cell>
          <cell r="R2626">
            <v>-30964535.473304197</v>
          </cell>
        </row>
        <row r="2627">
          <cell r="Q2627" t="str">
            <v>108HP.DGU</v>
          </cell>
          <cell r="R2627">
            <v>0</v>
          </cell>
        </row>
        <row r="2628">
          <cell r="Q2628" t="str">
            <v>108HP.CAGW</v>
          </cell>
          <cell r="R2628">
            <v>-20296016.789145097</v>
          </cell>
        </row>
        <row r="2629">
          <cell r="Q2629" t="str">
            <v>108HP.CAGE</v>
          </cell>
          <cell r="R2629">
            <v>0</v>
          </cell>
        </row>
        <row r="2630">
          <cell r="Q2630" t="str">
            <v>108HP.CAGW1</v>
          </cell>
          <cell r="R2630">
            <v>0</v>
          </cell>
        </row>
        <row r="2631">
          <cell r="Q2631" t="str">
            <v>108HP.CAGE1</v>
          </cell>
          <cell r="R2631">
            <v>0</v>
          </cell>
        </row>
        <row r="2632">
          <cell r="Q2632" t="str">
            <v>108HP.NA1</v>
          </cell>
          <cell r="R2632">
            <v>-51260552.262449294</v>
          </cell>
        </row>
        <row r="2633">
          <cell r="Q2633" t="str">
            <v>108HP.NA2</v>
          </cell>
          <cell r="R2633">
            <v>0</v>
          </cell>
        </row>
        <row r="2634">
          <cell r="Q2634" t="str">
            <v>108OP.NA</v>
          </cell>
          <cell r="R2634">
            <v>0</v>
          </cell>
        </row>
        <row r="2635">
          <cell r="Q2635" t="str">
            <v>108OP.S</v>
          </cell>
          <cell r="R2635">
            <v>0</v>
          </cell>
        </row>
        <row r="2636">
          <cell r="Q2636" t="str">
            <v>108OP.DGU</v>
          </cell>
          <cell r="R2636">
            <v>0</v>
          </cell>
        </row>
        <row r="2637">
          <cell r="Q2637" t="str">
            <v>108OP.DGP</v>
          </cell>
          <cell r="R2637">
            <v>0</v>
          </cell>
        </row>
        <row r="2638">
          <cell r="Q2638" t="str">
            <v>108OP.SG</v>
          </cell>
          <cell r="R2638">
            <v>25935761.323484868</v>
          </cell>
        </row>
        <row r="2639">
          <cell r="Q2639" t="str">
            <v>108OP.CAGW</v>
          </cell>
          <cell r="R2639">
            <v>-46978665.272633523</v>
          </cell>
        </row>
        <row r="2640">
          <cell r="Q2640" t="str">
            <v>108OP.CAGE</v>
          </cell>
          <cell r="R2640">
            <v>0</v>
          </cell>
        </row>
        <row r="2641">
          <cell r="Q2641" t="str">
            <v>108OP.CAGE1</v>
          </cell>
          <cell r="R2641">
            <v>0</v>
          </cell>
        </row>
        <row r="2642">
          <cell r="Q2642" t="str">
            <v>108OP.NA1</v>
          </cell>
          <cell r="R2642">
            <v>-21042903.949148655</v>
          </cell>
        </row>
        <row r="2643">
          <cell r="Q2643" t="str">
            <v>108OP.NA2</v>
          </cell>
          <cell r="R2643">
            <v>0</v>
          </cell>
        </row>
        <row r="2644">
          <cell r="Q2644" t="str">
            <v>108EP.NA</v>
          </cell>
          <cell r="R2644">
            <v>0</v>
          </cell>
        </row>
        <row r="2645">
          <cell r="Q2645" t="str">
            <v>108EP.DGP</v>
          </cell>
          <cell r="R2645">
            <v>0</v>
          </cell>
        </row>
        <row r="2646">
          <cell r="Q2646" t="str">
            <v>108EP.SG</v>
          </cell>
          <cell r="R2646">
            <v>0</v>
          </cell>
        </row>
        <row r="2647">
          <cell r="Q2647" t="str">
            <v>108EP.NA1</v>
          </cell>
          <cell r="R2647">
            <v>0</v>
          </cell>
        </row>
        <row r="2648">
          <cell r="Q2648" t="str">
            <v>108EP.NA2</v>
          </cell>
          <cell r="R2648">
            <v>0</v>
          </cell>
        </row>
        <row r="2649">
          <cell r="Q2649" t="str">
            <v>TOTAL PRODUCTION PLANT DEPR.NA</v>
          </cell>
          <cell r="R2649">
            <v>-240515649.01376927</v>
          </cell>
        </row>
        <row r="2650">
          <cell r="Q2650" t="str">
            <v>TOTAL PRODUCTION PLANT DEPR.NA1</v>
          </cell>
          <cell r="R2650">
            <v>0</v>
          </cell>
        </row>
        <row r="2651">
          <cell r="Q2651" t="str">
            <v>Summary of Prod Plant Depreciation by Factor.NA</v>
          </cell>
          <cell r="R2651">
            <v>0</v>
          </cell>
        </row>
        <row r="2652">
          <cell r="Q2652" t="str">
            <v>Summary of Prod Plant Depreciation by Factor.NA1</v>
          </cell>
          <cell r="R2652">
            <v>0</v>
          </cell>
        </row>
        <row r="2653">
          <cell r="Q2653" t="str">
            <v>Summary of Prod Plant Depreciation by Factor.NA2</v>
          </cell>
          <cell r="R2653">
            <v>0</v>
          </cell>
        </row>
        <row r="2654">
          <cell r="Q2654" t="str">
            <v>Summary of Prod Plant Depreciation by Factor.NA3</v>
          </cell>
          <cell r="R2654">
            <v>0</v>
          </cell>
        </row>
        <row r="2655">
          <cell r="Q2655" t="str">
            <v>Summary of Prod Plant Depreciation by Factor.NA4</v>
          </cell>
          <cell r="R2655">
            <v>-12304306.516633019</v>
          </cell>
        </row>
        <row r="2656">
          <cell r="Q2656" t="str">
            <v>Summary of Prod Plant Depreciation by Factor.NA5</v>
          </cell>
          <cell r="R2656">
            <v>-76422056.694242388</v>
          </cell>
        </row>
        <row r="2657">
          <cell r="Q2657" t="str">
            <v>Summary of Prod Plant Depreciation by Factor.NA6</v>
          </cell>
          <cell r="R2657">
            <v>0</v>
          </cell>
        </row>
        <row r="2658">
          <cell r="Q2658" t="str">
            <v>Summary of Prod Plant Depreciation by Factor.NA7</v>
          </cell>
          <cell r="R2658">
            <v>-151789285.80289385</v>
          </cell>
        </row>
        <row r="2659">
          <cell r="Q2659" t="str">
            <v>Summary of Prod Plant Depreciation by Factor.NA8</v>
          </cell>
          <cell r="R2659">
            <v>0</v>
          </cell>
        </row>
        <row r="2660">
          <cell r="Q2660" t="str">
            <v>Total of Prod Plant Depreciation by Factor.NA</v>
          </cell>
          <cell r="R2660">
            <v>-240515649.01376927</v>
          </cell>
        </row>
        <row r="2661">
          <cell r="Q2661" t="str">
            <v>Total of Prod Plant Depreciation by Factor.NA1</v>
          </cell>
          <cell r="R2661">
            <v>0</v>
          </cell>
        </row>
        <row r="2662">
          <cell r="Q2662" t="str">
            <v>Total of Prod Plant Depreciation by Factor.NA2</v>
          </cell>
          <cell r="R2662">
            <v>0</v>
          </cell>
        </row>
        <row r="2663">
          <cell r="Q2663" t="str">
            <v>108TP.NA</v>
          </cell>
          <cell r="R2663">
            <v>0</v>
          </cell>
        </row>
        <row r="2664">
          <cell r="Q2664" t="str">
            <v>108TP.DGP</v>
          </cell>
          <cell r="R2664">
            <v>0</v>
          </cell>
        </row>
        <row r="2665">
          <cell r="Q2665" t="str">
            <v>108TP.DGU</v>
          </cell>
          <cell r="R2665">
            <v>0</v>
          </cell>
        </row>
        <row r="2666">
          <cell r="Q2666" t="str">
            <v>108TP.CAGW</v>
          </cell>
          <cell r="R2666">
            <v>-47371.596052333713</v>
          </cell>
        </row>
        <row r="2667">
          <cell r="Q2667" t="str">
            <v>108TP.CAGE</v>
          </cell>
          <cell r="R2667">
            <v>0</v>
          </cell>
        </row>
        <row r="2668">
          <cell r="Q2668" t="str">
            <v>108TP.JBG</v>
          </cell>
          <cell r="R2668">
            <v>-407990.59501318634</v>
          </cell>
        </row>
        <row r="2669">
          <cell r="Q2669" t="str">
            <v>108TP.SG</v>
          </cell>
          <cell r="R2669">
            <v>-153602962.65431464</v>
          </cell>
        </row>
        <row r="2670">
          <cell r="Q2670" t="str">
            <v>TOTAL TRANS PLANT ACCUM DEPR.NA</v>
          </cell>
          <cell r="R2670">
            <v>-154058324.84538016</v>
          </cell>
        </row>
        <row r="2671">
          <cell r="Q2671" t="str">
            <v>108360.NA</v>
          </cell>
          <cell r="R2671">
            <v>0</v>
          </cell>
        </row>
        <row r="2672">
          <cell r="Q2672" t="str">
            <v>108360.S</v>
          </cell>
          <cell r="R2672">
            <v>-340137.93776479212</v>
          </cell>
        </row>
        <row r="2673">
          <cell r="Q2673" t="str">
            <v>108360.NA1</v>
          </cell>
          <cell r="R2673">
            <v>-340137.93776479212</v>
          </cell>
        </row>
        <row r="2674">
          <cell r="Q2674" t="str">
            <v>108360.NA2</v>
          </cell>
          <cell r="R2674">
            <v>0</v>
          </cell>
        </row>
        <row r="2675">
          <cell r="Q2675" t="str">
            <v>108361.NA</v>
          </cell>
          <cell r="R2675">
            <v>0</v>
          </cell>
        </row>
        <row r="2676">
          <cell r="Q2676" t="str">
            <v>108361.S</v>
          </cell>
          <cell r="R2676">
            <v>-1499292.0224534813</v>
          </cell>
        </row>
        <row r="2677">
          <cell r="Q2677" t="str">
            <v>108361.NA1</v>
          </cell>
          <cell r="R2677">
            <v>-1499292.0224534813</v>
          </cell>
        </row>
        <row r="2678">
          <cell r="Q2678" t="str">
            <v>108361.NA2</v>
          </cell>
          <cell r="R2678">
            <v>0</v>
          </cell>
        </row>
        <row r="2679">
          <cell r="Q2679" t="str">
            <v>108362.NA</v>
          </cell>
          <cell r="R2679">
            <v>0</v>
          </cell>
        </row>
        <row r="2680">
          <cell r="Q2680" t="str">
            <v>108362.S</v>
          </cell>
          <cell r="R2680">
            <v>-25511466.445360575</v>
          </cell>
        </row>
        <row r="2681">
          <cell r="Q2681" t="str">
            <v>108362.NA1</v>
          </cell>
          <cell r="R2681">
            <v>-25511466.445360575</v>
          </cell>
        </row>
        <row r="2682">
          <cell r="Q2682" t="str">
            <v>108362.NA2</v>
          </cell>
          <cell r="R2682">
            <v>0</v>
          </cell>
        </row>
        <row r="2683">
          <cell r="Q2683" t="str">
            <v>108363.NA</v>
          </cell>
          <cell r="R2683">
            <v>0</v>
          </cell>
        </row>
        <row r="2684">
          <cell r="Q2684" t="str">
            <v>108363.S</v>
          </cell>
          <cell r="R2684">
            <v>0</v>
          </cell>
        </row>
        <row r="2685">
          <cell r="Q2685" t="str">
            <v>108363.NA1</v>
          </cell>
          <cell r="R2685">
            <v>0</v>
          </cell>
        </row>
        <row r="2686">
          <cell r="Q2686" t="str">
            <v>108363.NA2</v>
          </cell>
          <cell r="R2686">
            <v>0</v>
          </cell>
        </row>
        <row r="2687">
          <cell r="Q2687" t="str">
            <v>108364.NA</v>
          </cell>
          <cell r="R2687">
            <v>0</v>
          </cell>
        </row>
        <row r="2688">
          <cell r="Q2688" t="str">
            <v>108364.S</v>
          </cell>
          <cell r="R2688">
            <v>-74342788.67411077</v>
          </cell>
        </row>
        <row r="2689">
          <cell r="Q2689" t="str">
            <v>108364.NA1</v>
          </cell>
          <cell r="R2689">
            <v>-74342788.67411077</v>
          </cell>
        </row>
        <row r="2690">
          <cell r="Q2690" t="str">
            <v>108364.NA2</v>
          </cell>
          <cell r="R2690">
            <v>0</v>
          </cell>
        </row>
        <row r="2691">
          <cell r="Q2691" t="str">
            <v>108365.NA</v>
          </cell>
          <cell r="R2691">
            <v>0</v>
          </cell>
        </row>
        <row r="2692">
          <cell r="Q2692" t="str">
            <v>108365.S</v>
          </cell>
          <cell r="R2692">
            <v>-36334315.766321488</v>
          </cell>
        </row>
        <row r="2693">
          <cell r="Q2693" t="str">
            <v>108365.NA1</v>
          </cell>
          <cell r="R2693">
            <v>-36334315.766321488</v>
          </cell>
        </row>
        <row r="2694">
          <cell r="Q2694" t="str">
            <v>108365.NA2</v>
          </cell>
          <cell r="R2694">
            <v>0</v>
          </cell>
        </row>
        <row r="2695">
          <cell r="Q2695" t="str">
            <v>108366.NA</v>
          </cell>
          <cell r="R2695">
            <v>0</v>
          </cell>
        </row>
        <row r="2696">
          <cell r="Q2696" t="str">
            <v>108366.S</v>
          </cell>
          <cell r="R2696">
            <v>-12252024.424455926</v>
          </cell>
        </row>
        <row r="2697">
          <cell r="Q2697" t="str">
            <v>108366.NA1</v>
          </cell>
          <cell r="R2697">
            <v>-12252024.424455926</v>
          </cell>
        </row>
        <row r="2698">
          <cell r="Q2698" t="str">
            <v>108366.NA2</v>
          </cell>
          <cell r="R2698">
            <v>0</v>
          </cell>
        </row>
        <row r="2699">
          <cell r="Q2699" t="str">
            <v>108367.NA</v>
          </cell>
          <cell r="R2699">
            <v>0</v>
          </cell>
        </row>
        <row r="2700">
          <cell r="Q2700" t="str">
            <v>108367.S</v>
          </cell>
          <cell r="R2700">
            <v>-15899562.431960732</v>
          </cell>
        </row>
        <row r="2701">
          <cell r="Q2701" t="str">
            <v>108367.NA1</v>
          </cell>
          <cell r="R2701">
            <v>-15899562.431960732</v>
          </cell>
        </row>
        <row r="2702">
          <cell r="Q2702" t="str">
            <v>108367.NA2</v>
          </cell>
          <cell r="R2702">
            <v>0</v>
          </cell>
        </row>
        <row r="2703">
          <cell r="Q2703" t="str">
            <v>108368.NA</v>
          </cell>
          <cell r="R2703">
            <v>0</v>
          </cell>
        </row>
        <row r="2704">
          <cell r="Q2704" t="str">
            <v>108368.S</v>
          </cell>
          <cell r="R2704">
            <v>-64568972.76185485</v>
          </cell>
        </row>
        <row r="2705">
          <cell r="Q2705" t="str">
            <v>108368.NA1</v>
          </cell>
          <cell r="R2705">
            <v>-64568972.76185485</v>
          </cell>
        </row>
        <row r="2706">
          <cell r="Q2706" t="str">
            <v>108368.NA2</v>
          </cell>
          <cell r="R2706">
            <v>0</v>
          </cell>
        </row>
        <row r="2707">
          <cell r="Q2707" t="str">
            <v>108369.NA</v>
          </cell>
          <cell r="R2707">
            <v>0</v>
          </cell>
        </row>
        <row r="2708">
          <cell r="Q2708" t="str">
            <v>108369.S</v>
          </cell>
          <cell r="R2708">
            <v>-31461451.897854395</v>
          </cell>
        </row>
        <row r="2709">
          <cell r="Q2709" t="str">
            <v>108369.NA1</v>
          </cell>
          <cell r="R2709">
            <v>-31461451.897854395</v>
          </cell>
        </row>
        <row r="2710">
          <cell r="Q2710" t="str">
            <v>108369.NA2</v>
          </cell>
          <cell r="R2710">
            <v>0</v>
          </cell>
        </row>
        <row r="2711">
          <cell r="Q2711" t="str">
            <v>108370.NA</v>
          </cell>
          <cell r="R2711">
            <v>0</v>
          </cell>
        </row>
        <row r="2712">
          <cell r="Q2712" t="str">
            <v>108370.S</v>
          </cell>
          <cell r="R2712">
            <v>-6004966.2802861473</v>
          </cell>
        </row>
        <row r="2713">
          <cell r="Q2713" t="str">
            <v>108370.NA1</v>
          </cell>
          <cell r="R2713">
            <v>-6004966.2802861473</v>
          </cell>
        </row>
        <row r="2714">
          <cell r="Q2714" t="str">
            <v>108370.NA2</v>
          </cell>
          <cell r="R2714">
            <v>0</v>
          </cell>
        </row>
        <row r="2715">
          <cell r="Q2715" t="str">
            <v>108370.NA3</v>
          </cell>
          <cell r="R2715">
            <v>0</v>
          </cell>
        </row>
        <row r="2716">
          <cell r="Q2716" t="str">
            <v>108370.NA4</v>
          </cell>
          <cell r="R2716">
            <v>0</v>
          </cell>
        </row>
        <row r="2717">
          <cell r="Q2717" t="str">
            <v>108371.NA</v>
          </cell>
          <cell r="R2717">
            <v>0</v>
          </cell>
        </row>
        <row r="2718">
          <cell r="Q2718" t="str">
            <v>108371.S</v>
          </cell>
          <cell r="R2718">
            <v>-381179.30636343086</v>
          </cell>
        </row>
        <row r="2719">
          <cell r="Q2719" t="str">
            <v>108371.NA1</v>
          </cell>
          <cell r="R2719">
            <v>-381179.30636343086</v>
          </cell>
        </row>
        <row r="2720">
          <cell r="Q2720" t="str">
            <v>108371.NA2</v>
          </cell>
          <cell r="R2720">
            <v>0</v>
          </cell>
        </row>
        <row r="2721">
          <cell r="Q2721" t="str">
            <v>108372.NA</v>
          </cell>
          <cell r="R2721">
            <v>0</v>
          </cell>
        </row>
        <row r="2722">
          <cell r="Q2722" t="str">
            <v>108372.S</v>
          </cell>
          <cell r="R2722">
            <v>0</v>
          </cell>
        </row>
        <row r="2723">
          <cell r="Q2723" t="str">
            <v>108372.NA1</v>
          </cell>
          <cell r="R2723">
            <v>0</v>
          </cell>
        </row>
        <row r="2724">
          <cell r="Q2724" t="str">
            <v>108372.NA2</v>
          </cell>
          <cell r="R2724">
            <v>0</v>
          </cell>
        </row>
        <row r="2725">
          <cell r="Q2725" t="str">
            <v>108373.NA</v>
          </cell>
          <cell r="R2725">
            <v>0</v>
          </cell>
        </row>
        <row r="2726">
          <cell r="Q2726" t="str">
            <v>108373.S</v>
          </cell>
          <cell r="R2726">
            <v>-2362957.0242237644</v>
          </cell>
        </row>
        <row r="2727">
          <cell r="Q2727" t="str">
            <v>108373.NA1</v>
          </cell>
          <cell r="R2727">
            <v>-2362957.0242237644</v>
          </cell>
        </row>
        <row r="2728">
          <cell r="Q2728" t="str">
            <v>108373.NA2</v>
          </cell>
          <cell r="R2728">
            <v>0</v>
          </cell>
        </row>
        <row r="2729">
          <cell r="Q2729" t="str">
            <v>108D00.NA</v>
          </cell>
          <cell r="R2729">
            <v>0</v>
          </cell>
        </row>
        <row r="2730">
          <cell r="Q2730" t="str">
            <v>108D00.S</v>
          </cell>
          <cell r="R2730">
            <v>0</v>
          </cell>
        </row>
        <row r="2731">
          <cell r="Q2731" t="str">
            <v>108D00.NA1</v>
          </cell>
          <cell r="R2731">
            <v>0</v>
          </cell>
        </row>
        <row r="2732">
          <cell r="Q2732" t="str">
            <v>108D00.NA2</v>
          </cell>
          <cell r="R2732">
            <v>0</v>
          </cell>
        </row>
        <row r="2733">
          <cell r="Q2733" t="str">
            <v>108DS.NA</v>
          </cell>
          <cell r="R2733">
            <v>0</v>
          </cell>
        </row>
        <row r="2734">
          <cell r="Q2734" t="str">
            <v>108DS.S</v>
          </cell>
          <cell r="R2734">
            <v>0</v>
          </cell>
        </row>
        <row r="2735">
          <cell r="Q2735" t="str">
            <v>108DS.NA1</v>
          </cell>
          <cell r="R2735">
            <v>0</v>
          </cell>
        </row>
        <row r="2736">
          <cell r="Q2736" t="str">
            <v>108DS.NA2</v>
          </cell>
          <cell r="R2736">
            <v>0</v>
          </cell>
        </row>
        <row r="2737">
          <cell r="Q2737" t="str">
            <v>108DP.NA</v>
          </cell>
          <cell r="R2737">
            <v>0</v>
          </cell>
        </row>
        <row r="2738">
          <cell r="Q2738" t="str">
            <v>108DP.S</v>
          </cell>
          <cell r="R2738">
            <v>352743</v>
          </cell>
        </row>
        <row r="2739">
          <cell r="Q2739" t="str">
            <v>108DP.NA1</v>
          </cell>
          <cell r="R2739">
            <v>352743</v>
          </cell>
        </row>
        <row r="2740">
          <cell r="Q2740" t="str">
            <v>108DP.NA2</v>
          </cell>
          <cell r="R2740">
            <v>0</v>
          </cell>
        </row>
        <row r="2741">
          <cell r="Q2741" t="str">
            <v>108DP.NA3</v>
          </cell>
          <cell r="R2741">
            <v>0</v>
          </cell>
        </row>
        <row r="2742">
          <cell r="Q2742" t="str">
            <v>TOTAL DISTRIBUTION PLANT DEPR.NA</v>
          </cell>
          <cell r="R2742">
            <v>-270606371.9730103</v>
          </cell>
        </row>
        <row r="2743">
          <cell r="Q2743" t="str">
            <v>TOTAL DISTRIBUTION PLANT DEPR.NA1</v>
          </cell>
          <cell r="R2743">
            <v>0</v>
          </cell>
        </row>
        <row r="2744">
          <cell r="Q2744" t="str">
            <v>Summary of Distribution Plant Depr by Factor.NA</v>
          </cell>
          <cell r="R2744">
            <v>0</v>
          </cell>
        </row>
        <row r="2745">
          <cell r="Q2745" t="str">
            <v>Summary of Distribution Plant Depr by Factor.NA1</v>
          </cell>
          <cell r="R2745">
            <v>-270606371.9730103</v>
          </cell>
        </row>
        <row r="2746">
          <cell r="Q2746" t="str">
            <v>Summary of Distribution Plant Depr by Factor.NA2</v>
          </cell>
          <cell r="R2746">
            <v>0</v>
          </cell>
        </row>
        <row r="2747">
          <cell r="Q2747" t="str">
            <v>Total Distribution Depreciation by Factor.NA</v>
          </cell>
          <cell r="R2747">
            <v>-270606371.9730103</v>
          </cell>
        </row>
        <row r="2748">
          <cell r="Q2748" t="str">
            <v>108GP.NA</v>
          </cell>
          <cell r="R2748">
            <v>0</v>
          </cell>
        </row>
        <row r="2749">
          <cell r="Q2749" t="str">
            <v>108GP.S</v>
          </cell>
          <cell r="R2749">
            <v>-25429456.711387705</v>
          </cell>
        </row>
        <row r="2750">
          <cell r="Q2750" t="str">
            <v>108GP.DGP</v>
          </cell>
          <cell r="R2750">
            <v>0</v>
          </cell>
        </row>
        <row r="2751">
          <cell r="Q2751" t="str">
            <v>108GP.DGU</v>
          </cell>
          <cell r="R2751">
            <v>0</v>
          </cell>
        </row>
        <row r="2752">
          <cell r="Q2752" t="str">
            <v>108GP.SG</v>
          </cell>
          <cell r="R2752">
            <v>1931.598069928471</v>
          </cell>
        </row>
        <row r="2753">
          <cell r="Q2753" t="str">
            <v>108GP.CN</v>
          </cell>
          <cell r="R2753">
            <v>-332175.91108839225</v>
          </cell>
        </row>
        <row r="2754">
          <cell r="Q2754" t="str">
            <v>108GP.SO</v>
          </cell>
          <cell r="R2754">
            <v>-7130526.3291732334</v>
          </cell>
        </row>
        <row r="2755">
          <cell r="Q2755" t="str">
            <v>108GP.SE</v>
          </cell>
          <cell r="R2755">
            <v>0</v>
          </cell>
        </row>
        <row r="2756">
          <cell r="Q2756" t="str">
            <v>108GP.CAGW</v>
          </cell>
          <cell r="R2756">
            <v>-7791522.7139448579</v>
          </cell>
        </row>
        <row r="2757">
          <cell r="Q2757" t="str">
            <v>108GP.CAGE</v>
          </cell>
          <cell r="R2757">
            <v>0</v>
          </cell>
        </row>
        <row r="2758">
          <cell r="Q2758" t="str">
            <v>108GP.JBG</v>
          </cell>
          <cell r="R2758">
            <v>-1312646.2266117241</v>
          </cell>
        </row>
        <row r="2759">
          <cell r="Q2759" t="str">
            <v>108GP.JBE</v>
          </cell>
          <cell r="R2759">
            <v>72.497943240430459</v>
          </cell>
        </row>
        <row r="2760">
          <cell r="Q2760" t="str">
            <v>108GP.CAEE</v>
          </cell>
          <cell r="R2760">
            <v>0</v>
          </cell>
        </row>
        <row r="2761">
          <cell r="Q2761" t="str">
            <v>108GP.CAGE1</v>
          </cell>
          <cell r="R2761">
            <v>0</v>
          </cell>
        </row>
        <row r="2762">
          <cell r="Q2762" t="str">
            <v>108GP.CAGE2</v>
          </cell>
          <cell r="R2762">
            <v>0</v>
          </cell>
        </row>
        <row r="2763">
          <cell r="Q2763" t="str">
            <v>108GP.NA1</v>
          </cell>
          <cell r="R2763">
            <v>-41994323.79619275</v>
          </cell>
        </row>
        <row r="2764">
          <cell r="Q2764" t="str">
            <v>108GP.NA2</v>
          </cell>
          <cell r="R2764">
            <v>0</v>
          </cell>
        </row>
        <row r="2765">
          <cell r="Q2765" t="str">
            <v>108GP.NA3</v>
          </cell>
          <cell r="R2765">
            <v>0</v>
          </cell>
        </row>
        <row r="2766">
          <cell r="Q2766" t="str">
            <v>108MP.NA</v>
          </cell>
          <cell r="R2766">
            <v>0</v>
          </cell>
        </row>
        <row r="2767">
          <cell r="Q2767" t="str">
            <v>108MP.S</v>
          </cell>
          <cell r="R2767">
            <v>0</v>
          </cell>
        </row>
        <row r="2768">
          <cell r="Q2768" t="str">
            <v>108MP.CAEW</v>
          </cell>
          <cell r="R2768">
            <v>0</v>
          </cell>
        </row>
        <row r="2769">
          <cell r="Q2769" t="str">
            <v>108MP.CAEE</v>
          </cell>
          <cell r="R2769">
            <v>0</v>
          </cell>
        </row>
        <row r="2770">
          <cell r="Q2770" t="str">
            <v>108MP.JBE</v>
          </cell>
          <cell r="R2770">
            <v>-57337030.203123763</v>
          </cell>
        </row>
        <row r="2771">
          <cell r="Q2771" t="str">
            <v>108MP.NA1</v>
          </cell>
          <cell r="R2771">
            <v>-57337030.203123763</v>
          </cell>
        </row>
        <row r="2772">
          <cell r="Q2772" t="str">
            <v>108MP.NA2</v>
          </cell>
          <cell r="R2772">
            <v>0</v>
          </cell>
        </row>
        <row r="2773">
          <cell r="Q2773" t="str">
            <v>108MP.S1</v>
          </cell>
          <cell r="R2773">
            <v>0</v>
          </cell>
        </row>
        <row r="2774">
          <cell r="Q2774" t="str">
            <v>108MP.NA3</v>
          </cell>
          <cell r="R2774">
            <v>-57337030.203123763</v>
          </cell>
        </row>
        <row r="2775">
          <cell r="Q2775" t="str">
            <v>108MP.NA4</v>
          </cell>
          <cell r="R2775">
            <v>0</v>
          </cell>
        </row>
        <row r="2776">
          <cell r="Q2776" t="str">
            <v>1081390.NA</v>
          </cell>
          <cell r="R2776">
            <v>0</v>
          </cell>
        </row>
        <row r="2777">
          <cell r="Q2777" t="str">
            <v>1081390.SO</v>
          </cell>
          <cell r="R2777">
            <v>0</v>
          </cell>
        </row>
        <row r="2778">
          <cell r="Q2778" t="str">
            <v>1081390.NA1</v>
          </cell>
          <cell r="R2778">
            <v>0</v>
          </cell>
        </row>
        <row r="2779">
          <cell r="Q2779" t="str">
            <v>1081390.NA2</v>
          </cell>
          <cell r="R2779">
            <v>0</v>
          </cell>
        </row>
        <row r="2780">
          <cell r="Q2780" t="str">
            <v>1081390.NA3</v>
          </cell>
          <cell r="R2780">
            <v>0</v>
          </cell>
        </row>
        <row r="2781">
          <cell r="Q2781" t="str">
            <v>1081390.NA4</v>
          </cell>
          <cell r="R2781">
            <v>0</v>
          </cell>
        </row>
        <row r="2782">
          <cell r="Q2782" t="str">
            <v>1081390.NA5</v>
          </cell>
          <cell r="R2782">
            <v>0</v>
          </cell>
        </row>
        <row r="2783">
          <cell r="Q2783" t="str">
            <v>1081399.NA</v>
          </cell>
          <cell r="R2783">
            <v>0</v>
          </cell>
        </row>
        <row r="2784">
          <cell r="Q2784" t="str">
            <v>1081399.S</v>
          </cell>
          <cell r="R2784">
            <v>0</v>
          </cell>
        </row>
        <row r="2785">
          <cell r="Q2785" t="str">
            <v>1081399.SE</v>
          </cell>
          <cell r="R2785">
            <v>0</v>
          </cell>
        </row>
        <row r="2786">
          <cell r="Q2786" t="str">
            <v>1081399.NA1</v>
          </cell>
          <cell r="R2786">
            <v>0</v>
          </cell>
        </row>
        <row r="2787">
          <cell r="Q2787" t="str">
            <v>1081399.NA2</v>
          </cell>
          <cell r="R2787">
            <v>0</v>
          </cell>
        </row>
        <row r="2788">
          <cell r="Q2788" t="str">
            <v>1081399.NA3</v>
          </cell>
          <cell r="R2788">
            <v>0</v>
          </cell>
        </row>
        <row r="2789">
          <cell r="Q2789" t="str">
            <v>1081399.NA4</v>
          </cell>
          <cell r="R2789">
            <v>0</v>
          </cell>
        </row>
        <row r="2790">
          <cell r="Q2790" t="str">
            <v>1081399.NA5</v>
          </cell>
          <cell r="R2790">
            <v>0</v>
          </cell>
        </row>
        <row r="2791">
          <cell r="Q2791" t="str">
            <v>1081399.NA6</v>
          </cell>
          <cell r="R2791">
            <v>0</v>
          </cell>
        </row>
        <row r="2792">
          <cell r="Q2792" t="str">
            <v>TOTAL GENERAL PLANT ACCUM DEPR.NA</v>
          </cell>
          <cell r="R2792">
            <v>-99331353.999316514</v>
          </cell>
        </row>
        <row r="2793">
          <cell r="Q2793" t="str">
            <v>TOTAL GENERAL PLANT ACCUM DEPR.NA1</v>
          </cell>
          <cell r="R2793">
            <v>0</v>
          </cell>
        </row>
        <row r="2794">
          <cell r="Q2794" t="str">
            <v>TOTAL GENERAL PLANT ACCUM DEPR.NA2</v>
          </cell>
          <cell r="R2794">
            <v>0</v>
          </cell>
        </row>
        <row r="2795">
          <cell r="Q2795" t="str">
            <v>TOTAL GENERAL PLANT ACCUM DEPR.NA3</v>
          </cell>
          <cell r="R2795">
            <v>0</v>
          </cell>
        </row>
        <row r="2796">
          <cell r="Q2796" t="str">
            <v>Summary of General Depreciation by Factor.NA</v>
          </cell>
          <cell r="R2796">
            <v>0</v>
          </cell>
        </row>
        <row r="2797">
          <cell r="Q2797" t="str">
            <v>Summary of General Depreciation by Factor.NA1</v>
          </cell>
          <cell r="R2797">
            <v>-25429456.711387705</v>
          </cell>
        </row>
        <row r="2798">
          <cell r="Q2798" t="str">
            <v>Summary of General Depreciation by Factor.NA2</v>
          </cell>
          <cell r="R2798">
            <v>0</v>
          </cell>
        </row>
        <row r="2799">
          <cell r="Q2799" t="str">
            <v>Summary of General Depreciation by Factor.NA3</v>
          </cell>
          <cell r="R2799">
            <v>0</v>
          </cell>
        </row>
        <row r="2800">
          <cell r="Q2800" t="str">
            <v>Summary of General Depreciation by Factor.NA4</v>
          </cell>
          <cell r="R2800">
            <v>0</v>
          </cell>
        </row>
        <row r="2801">
          <cell r="Q2801" t="str">
            <v>Summary of General Depreciation by Factor.NA5</v>
          </cell>
          <cell r="R2801">
            <v>-7130526.3291732334</v>
          </cell>
        </row>
        <row r="2802">
          <cell r="Q2802" t="str">
            <v>Summary of General Depreciation by Factor.NA6</v>
          </cell>
          <cell r="R2802">
            <v>-332175.91108839225</v>
          </cell>
        </row>
        <row r="2803">
          <cell r="Q2803" t="str">
            <v>Summary of General Depreciation by Factor.NA7</v>
          </cell>
          <cell r="R2803">
            <v>1931.598069928471</v>
          </cell>
        </row>
        <row r="2804">
          <cell r="Q2804" t="str">
            <v>Summary of General Depreciation by Factor.NA8</v>
          </cell>
          <cell r="R2804">
            <v>0</v>
          </cell>
        </row>
        <row r="2805">
          <cell r="Q2805" t="str">
            <v>Summary of General Depreciation by Factor.NA9</v>
          </cell>
          <cell r="R2805">
            <v>-7791522.7139448579</v>
          </cell>
        </row>
        <row r="2806">
          <cell r="Q2806" t="str">
            <v>Summary of General Depreciation by Factor.NA10</v>
          </cell>
          <cell r="R2806">
            <v>0</v>
          </cell>
        </row>
        <row r="2807">
          <cell r="Q2807" t="str">
            <v>Summary of General Depreciation by Factor.NA11</v>
          </cell>
          <cell r="R2807">
            <v>0</v>
          </cell>
        </row>
        <row r="2808">
          <cell r="Q2808" t="str">
            <v>Summary of General Depreciation by Factor.NA12</v>
          </cell>
          <cell r="R2808">
            <v>0</v>
          </cell>
        </row>
        <row r="2809">
          <cell r="Q2809" t="str">
            <v>Summary of General Depreciation by Factor.NA13</v>
          </cell>
          <cell r="R2809">
            <v>0</v>
          </cell>
        </row>
        <row r="2810">
          <cell r="Q2810" t="str">
            <v>Summary of General Depreciation by Factor.NA14</v>
          </cell>
          <cell r="R2810">
            <v>-1312646.2266117241</v>
          </cell>
        </row>
        <row r="2811">
          <cell r="Q2811" t="str">
            <v>Summary of General Depreciation by Factor.NA15</v>
          </cell>
          <cell r="R2811">
            <v>0</v>
          </cell>
        </row>
        <row r="2812">
          <cell r="Q2812" t="str">
            <v>Total General Depreciation by Factor.NA</v>
          </cell>
          <cell r="R2812">
            <v>-41994396.294135988</v>
          </cell>
        </row>
        <row r="2813">
          <cell r="Q2813" t="str">
            <v>Total General Depreciation by Factor.NA1</v>
          </cell>
          <cell r="R2813">
            <v>0</v>
          </cell>
        </row>
        <row r="2814">
          <cell r="Q2814" t="str">
            <v>Total General Depreciation by Factor.NA2</v>
          </cell>
          <cell r="R2814">
            <v>0</v>
          </cell>
        </row>
        <row r="2815">
          <cell r="Q2815" t="str">
            <v>TOTAL ACCUM DEPR - PLANT IN SERV.NA</v>
          </cell>
          <cell r="R2815">
            <v>-764511699.83147621</v>
          </cell>
        </row>
        <row r="2816">
          <cell r="Q2816" t="str">
            <v>111SP.NA</v>
          </cell>
          <cell r="R2816">
            <v>0</v>
          </cell>
        </row>
        <row r="2817">
          <cell r="Q2817" t="str">
            <v>111SP.CAGW</v>
          </cell>
          <cell r="R2817">
            <v>0</v>
          </cell>
        </row>
        <row r="2818">
          <cell r="Q2818" t="str">
            <v>111SP.CAGW1</v>
          </cell>
          <cell r="R2818">
            <v>0</v>
          </cell>
        </row>
        <row r="2819">
          <cell r="Q2819" t="str">
            <v>111SP.CAGE</v>
          </cell>
          <cell r="R2819">
            <v>0</v>
          </cell>
        </row>
        <row r="2820">
          <cell r="Q2820" t="str">
            <v>111SP.SG</v>
          </cell>
          <cell r="R2820">
            <v>0</v>
          </cell>
        </row>
        <row r="2821">
          <cell r="Q2821" t="str">
            <v>111SP.NA1</v>
          </cell>
          <cell r="R2821">
            <v>0</v>
          </cell>
        </row>
        <row r="2822">
          <cell r="Q2822" t="str">
            <v>111SP.NA2</v>
          </cell>
          <cell r="R2822">
            <v>0</v>
          </cell>
        </row>
        <row r="2823">
          <cell r="Q2823" t="str">
            <v>111SP.NA3</v>
          </cell>
          <cell r="R2823">
            <v>0</v>
          </cell>
        </row>
        <row r="2824">
          <cell r="Q2824" t="str">
            <v>111GP.NA</v>
          </cell>
          <cell r="R2824">
            <v>0</v>
          </cell>
        </row>
        <row r="2825">
          <cell r="Q2825" t="str">
            <v>111GP.S</v>
          </cell>
          <cell r="R2825">
            <v>-1811790.4050000003</v>
          </cell>
        </row>
        <row r="2826">
          <cell r="Q2826" t="str">
            <v>111GP.CN</v>
          </cell>
          <cell r="R2826">
            <v>0</v>
          </cell>
        </row>
        <row r="2827">
          <cell r="Q2827" t="str">
            <v>111GP.SG</v>
          </cell>
          <cell r="R2827">
            <v>0</v>
          </cell>
        </row>
        <row r="2828">
          <cell r="Q2828" t="str">
            <v>111GP.SO</v>
          </cell>
          <cell r="R2828">
            <v>-259306.78856897121</v>
          </cell>
        </row>
        <row r="2829">
          <cell r="Q2829" t="str">
            <v>111GP.CAGW</v>
          </cell>
          <cell r="R2829">
            <v>0</v>
          </cell>
        </row>
        <row r="2830">
          <cell r="Q2830" t="str">
            <v>111GP.CAGE</v>
          </cell>
          <cell r="R2830">
            <v>0</v>
          </cell>
        </row>
        <row r="2831">
          <cell r="Q2831" t="str">
            <v>111GP.CAEW</v>
          </cell>
          <cell r="R2831">
            <v>0</v>
          </cell>
        </row>
        <row r="2832">
          <cell r="Q2832" t="str">
            <v>111GP.CAEE</v>
          </cell>
          <cell r="R2832">
            <v>0</v>
          </cell>
        </row>
        <row r="2833">
          <cell r="Q2833" t="str">
            <v>111GP.SE</v>
          </cell>
          <cell r="R2833">
            <v>0</v>
          </cell>
        </row>
        <row r="2834">
          <cell r="Q2834" t="str">
            <v>111GP.NA1</v>
          </cell>
          <cell r="R2834">
            <v>-2071097.1935689715</v>
          </cell>
        </row>
        <row r="2835">
          <cell r="Q2835" t="str">
            <v>111GP.NA2</v>
          </cell>
          <cell r="R2835">
            <v>0</v>
          </cell>
        </row>
        <row r="2836">
          <cell r="Q2836" t="str">
            <v>111GP.NA3</v>
          </cell>
          <cell r="R2836">
            <v>0</v>
          </cell>
        </row>
        <row r="2837">
          <cell r="Q2837" t="str">
            <v>111HP.NA</v>
          </cell>
          <cell r="R2837">
            <v>0</v>
          </cell>
        </row>
        <row r="2838">
          <cell r="Q2838" t="str">
            <v>111HP.DGP</v>
          </cell>
          <cell r="R2838">
            <v>0</v>
          </cell>
        </row>
        <row r="2839">
          <cell r="Q2839" t="str">
            <v>111HP.DGU</v>
          </cell>
          <cell r="R2839">
            <v>0</v>
          </cell>
        </row>
        <row r="2840">
          <cell r="Q2840" t="str">
            <v>111HP.SG</v>
          </cell>
          <cell r="R2840">
            <v>0</v>
          </cell>
        </row>
        <row r="2841">
          <cell r="Q2841" t="str">
            <v>111HP.CAGW</v>
          </cell>
          <cell r="R2841">
            <v>-643731.16798202484</v>
          </cell>
        </row>
        <row r="2842">
          <cell r="Q2842" t="str">
            <v>111HP.CAGE</v>
          </cell>
          <cell r="R2842">
            <v>0</v>
          </cell>
        </row>
        <row r="2843">
          <cell r="Q2843" t="str">
            <v>111HP.CAGE1</v>
          </cell>
          <cell r="R2843">
            <v>0</v>
          </cell>
        </row>
        <row r="2844">
          <cell r="Q2844" t="str">
            <v>111HP.NA1</v>
          </cell>
          <cell r="R2844">
            <v>-643731.16798202484</v>
          </cell>
        </row>
        <row r="2845">
          <cell r="Q2845" t="str">
            <v>111HP.NA2</v>
          </cell>
          <cell r="R2845">
            <v>0</v>
          </cell>
        </row>
        <row r="2846">
          <cell r="Q2846" t="str">
            <v>111HP.NA3</v>
          </cell>
          <cell r="R2846">
            <v>0</v>
          </cell>
        </row>
        <row r="2847">
          <cell r="Q2847" t="str">
            <v>111IP.NA</v>
          </cell>
          <cell r="R2847">
            <v>0</v>
          </cell>
        </row>
        <row r="2848">
          <cell r="Q2848" t="str">
            <v>111IP.S</v>
          </cell>
          <cell r="R2848">
            <v>-9070.8000000000084</v>
          </cell>
        </row>
        <row r="2849">
          <cell r="Q2849" t="str">
            <v>111IP.DGP</v>
          </cell>
          <cell r="R2849">
            <v>0</v>
          </cell>
        </row>
        <row r="2850">
          <cell r="Q2850" t="str">
            <v>111IP.DGU</v>
          </cell>
          <cell r="R2850">
            <v>0</v>
          </cell>
        </row>
        <row r="2851">
          <cell r="Q2851" t="str">
            <v>111IP.CAEW</v>
          </cell>
          <cell r="R2851">
            <v>0</v>
          </cell>
        </row>
        <row r="2852">
          <cell r="Q2852" t="str">
            <v>111IP.CAEE</v>
          </cell>
          <cell r="R2852">
            <v>0</v>
          </cell>
        </row>
        <row r="2853">
          <cell r="Q2853" t="str">
            <v>111IP.SE</v>
          </cell>
          <cell r="R2853">
            <v>0</v>
          </cell>
        </row>
        <row r="2854">
          <cell r="Q2854" t="str">
            <v>111IP.SG</v>
          </cell>
          <cell r="R2854">
            <v>-5677951.4320653491</v>
          </cell>
        </row>
        <row r="2855">
          <cell r="Q2855" t="str">
            <v>111IP.CAGW</v>
          </cell>
          <cell r="R2855">
            <v>0</v>
          </cell>
        </row>
        <row r="2856">
          <cell r="Q2856" t="str">
            <v>111IP.CAGE</v>
          </cell>
          <cell r="R2856">
            <v>0</v>
          </cell>
        </row>
        <row r="2857">
          <cell r="Q2857" t="str">
            <v>111IP.CN</v>
          </cell>
          <cell r="R2857">
            <v>-10574359.873286717</v>
          </cell>
        </row>
        <row r="2858">
          <cell r="Q2858" t="str">
            <v>111IP.CAGE1</v>
          </cell>
          <cell r="R2858">
            <v>0</v>
          </cell>
        </row>
        <row r="2859">
          <cell r="Q2859" t="str">
            <v>111IP.CAGE2</v>
          </cell>
          <cell r="R2859">
            <v>0</v>
          </cell>
        </row>
        <row r="2860">
          <cell r="Q2860" t="str">
            <v>111IP.CAGW1</v>
          </cell>
          <cell r="R2860">
            <v>-22784835.882376481</v>
          </cell>
        </row>
        <row r="2861">
          <cell r="Q2861" t="str">
            <v>111IP.CAGE3</v>
          </cell>
          <cell r="R2861">
            <v>0</v>
          </cell>
        </row>
        <row r="2862">
          <cell r="Q2862" t="str">
            <v>111IP.JBG</v>
          </cell>
          <cell r="R2862">
            <v>-356466.20281539264</v>
          </cell>
        </row>
        <row r="2863">
          <cell r="Q2863" t="str">
            <v>111IP.SO</v>
          </cell>
          <cell r="R2863">
            <v>-19756284.061505537</v>
          </cell>
        </row>
        <row r="2864">
          <cell r="Q2864" t="str">
            <v>111IP.NA1</v>
          </cell>
          <cell r="R2864">
            <v>-59158968.252049476</v>
          </cell>
        </row>
        <row r="2865">
          <cell r="Q2865" t="str">
            <v>111IP.NA2</v>
          </cell>
          <cell r="R2865">
            <v>0</v>
          </cell>
        </row>
        <row r="2866">
          <cell r="Q2866" t="str">
            <v>111IP.OTH</v>
          </cell>
          <cell r="R2866">
            <v>0</v>
          </cell>
        </row>
        <row r="2867">
          <cell r="Q2867" t="str">
            <v>111IP.NA3</v>
          </cell>
          <cell r="R2867">
            <v>-59158968.252049476</v>
          </cell>
        </row>
        <row r="2868">
          <cell r="Q2868" t="str">
            <v>111IP.NA4</v>
          </cell>
          <cell r="R2868">
            <v>0</v>
          </cell>
        </row>
        <row r="2869">
          <cell r="Q2869" t="str">
            <v>111390.NA</v>
          </cell>
          <cell r="R2869">
            <v>0</v>
          </cell>
        </row>
        <row r="2870">
          <cell r="Q2870" t="str">
            <v>111390.S</v>
          </cell>
          <cell r="R2870">
            <v>0</v>
          </cell>
        </row>
        <row r="2871">
          <cell r="Q2871" t="str">
            <v>111390.SG</v>
          </cell>
          <cell r="R2871">
            <v>0</v>
          </cell>
        </row>
        <row r="2872">
          <cell r="Q2872" t="str">
            <v>111390.CAGE</v>
          </cell>
          <cell r="R2872">
            <v>0</v>
          </cell>
        </row>
        <row r="2873">
          <cell r="Q2873" t="str">
            <v>111390.CAGW</v>
          </cell>
          <cell r="R2873">
            <v>0</v>
          </cell>
        </row>
        <row r="2874">
          <cell r="Q2874" t="str">
            <v>111390.SO</v>
          </cell>
          <cell r="R2874">
            <v>0</v>
          </cell>
        </row>
        <row r="2875">
          <cell r="Q2875" t="str">
            <v>111390.NA1</v>
          </cell>
          <cell r="R2875">
            <v>0</v>
          </cell>
        </row>
        <row r="2876">
          <cell r="Q2876" t="str">
            <v>111390.NA2</v>
          </cell>
          <cell r="R2876">
            <v>0</v>
          </cell>
        </row>
        <row r="2877">
          <cell r="Q2877" t="str">
            <v>111390.NA3</v>
          </cell>
          <cell r="R2877">
            <v>0</v>
          </cell>
        </row>
        <row r="2878">
          <cell r="Q2878" t="str">
            <v>111390.NA4</v>
          </cell>
          <cell r="R2878">
            <v>0</v>
          </cell>
        </row>
        <row r="2879">
          <cell r="Q2879" t="str">
            <v>TOTAL ACCUM PROV FOR AMORTIZ.NA</v>
          </cell>
          <cell r="R2879">
            <v>-61873796.613600463</v>
          </cell>
        </row>
        <row r="2880">
          <cell r="Q2880" t="str">
            <v>TOTAL ACCUM PROV FOR AMORTIZ.NA1</v>
          </cell>
          <cell r="R2880">
            <v>0</v>
          </cell>
        </row>
        <row r="2881">
          <cell r="Q2881" t="str">
            <v>TOTAL ACCUM PROV FOR AMORTIZ.NA2</v>
          </cell>
          <cell r="R2881">
            <v>0</v>
          </cell>
        </row>
        <row r="2882">
          <cell r="Q2882" t="str">
            <v>TOTAL ACCUM PROV FOR AMORTIZ.NA3</v>
          </cell>
          <cell r="R2882">
            <v>0</v>
          </cell>
        </row>
        <row r="2883">
          <cell r="Q2883" t="str">
            <v>TOTAL ACCUM PROV FOR AMORTIZ.NA4</v>
          </cell>
          <cell r="R2883">
            <v>0</v>
          </cell>
        </row>
        <row r="2884">
          <cell r="Q2884" t="str">
            <v>Summary of Amortization by Factor.NA</v>
          </cell>
          <cell r="R2884">
            <v>0</v>
          </cell>
        </row>
      </sheetData>
      <sheetData sheetId="33">
        <row r="5">
          <cell r="B5" t="str">
            <v>Base Case</v>
          </cell>
          <cell r="C5" t="str">
            <v>MSP</v>
          </cell>
          <cell r="D5" t="str">
            <v>WCA</v>
          </cell>
          <cell r="E5" t="str">
            <v>Option1</v>
          </cell>
          <cell r="F5" t="str">
            <v>COS Rulemaking</v>
          </cell>
          <cell r="H5" t="str">
            <v>Base Case</v>
          </cell>
          <cell r="I5" t="str">
            <v>MSP</v>
          </cell>
          <cell r="J5" t="str">
            <v>WCA</v>
          </cell>
          <cell r="K5" t="str">
            <v>Option1</v>
          </cell>
          <cell r="L5" t="str">
            <v>Option2</v>
          </cell>
        </row>
        <row r="8">
          <cell r="B8" t="str">
            <v>NONE</v>
          </cell>
          <cell r="C8" t="str">
            <v>NONE</v>
          </cell>
          <cell r="D8" t="str">
            <v>NONE</v>
          </cell>
          <cell r="E8" t="str">
            <v>NONE</v>
          </cell>
          <cell r="F8" t="str">
            <v>NONE</v>
          </cell>
          <cell r="H8" t="str">
            <v>DRB</v>
          </cell>
          <cell r="I8" t="str">
            <v>DRB</v>
          </cell>
          <cell r="J8" t="str">
            <v>DRB</v>
          </cell>
          <cell r="K8" t="str">
            <v>DRB</v>
          </cell>
          <cell r="L8" t="str">
            <v>DRB</v>
          </cell>
        </row>
        <row r="13">
          <cell r="B13" t="str">
            <v>NONE</v>
          </cell>
          <cell r="C13" t="str">
            <v>NONE</v>
          </cell>
          <cell r="D13" t="str">
            <v>NONE</v>
          </cell>
          <cell r="E13" t="str">
            <v>NONE</v>
          </cell>
          <cell r="F13" t="str">
            <v>NONE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</v>
          </cell>
          <cell r="C14" t="str">
            <v>P</v>
          </cell>
          <cell r="D14" t="str">
            <v>P</v>
          </cell>
          <cell r="E14" t="str">
            <v>P</v>
          </cell>
          <cell r="F14" t="str">
            <v>P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5">
          <cell r="B15" t="str">
            <v>PT</v>
          </cell>
          <cell r="C15" t="str">
            <v>PT</v>
          </cell>
          <cell r="D15" t="str">
            <v>PT</v>
          </cell>
          <cell r="E15" t="str">
            <v>PT</v>
          </cell>
          <cell r="F15" t="str">
            <v>PT</v>
          </cell>
          <cell r="H15" t="str">
            <v>DRB</v>
          </cell>
          <cell r="I15" t="str">
            <v>DRB</v>
          </cell>
          <cell r="J15" t="str">
            <v>DRB</v>
          </cell>
          <cell r="K15" t="str">
            <v>DRB</v>
          </cell>
          <cell r="L15" t="str">
            <v>DRB</v>
          </cell>
        </row>
        <row r="19">
          <cell r="B19" t="str">
            <v>NONE</v>
          </cell>
          <cell r="C19" t="str">
            <v>NONE</v>
          </cell>
          <cell r="D19" t="str">
            <v>NONE</v>
          </cell>
          <cell r="E19" t="str">
            <v>NONE</v>
          </cell>
          <cell r="F19" t="str">
            <v>NONE</v>
          </cell>
          <cell r="H19" t="str">
            <v>DRB</v>
          </cell>
          <cell r="I19" t="str">
            <v>DRB</v>
          </cell>
          <cell r="J19" t="str">
            <v>DRB</v>
          </cell>
          <cell r="K19" t="str">
            <v>DRB</v>
          </cell>
          <cell r="L19" t="str">
            <v>DRB</v>
          </cell>
        </row>
        <row r="20">
          <cell r="H20" t="str">
            <v>DRB</v>
          </cell>
          <cell r="I20" t="str">
            <v>DRB</v>
          </cell>
          <cell r="J20" t="str">
            <v>DRB</v>
          </cell>
          <cell r="K20" t="str">
            <v>DRB</v>
          </cell>
          <cell r="L20" t="str">
            <v>DRB</v>
          </cell>
        </row>
        <row r="23">
          <cell r="B23" t="str">
            <v>NONE</v>
          </cell>
          <cell r="C23" t="str">
            <v>NONE</v>
          </cell>
          <cell r="D23" t="str">
            <v>NONE</v>
          </cell>
          <cell r="E23" t="str">
            <v>NONE</v>
          </cell>
          <cell r="F23" t="str">
            <v>NONE</v>
          </cell>
          <cell r="H23" t="str">
            <v>DRB</v>
          </cell>
          <cell r="I23" t="str">
            <v>DRB</v>
          </cell>
          <cell r="J23" t="str">
            <v>DRB</v>
          </cell>
          <cell r="K23" t="str">
            <v>DRB</v>
          </cell>
          <cell r="L23" t="str">
            <v>DRB</v>
          </cell>
        </row>
        <row r="28">
          <cell r="B28" t="str">
            <v>DPW</v>
          </cell>
          <cell r="C28" t="str">
            <v>DPW</v>
          </cell>
          <cell r="D28" t="str">
            <v>DPW</v>
          </cell>
          <cell r="E28" t="str">
            <v>DPW</v>
          </cell>
          <cell r="F28" t="str">
            <v>DPW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29">
          <cell r="B29" t="str">
            <v>GP</v>
          </cell>
          <cell r="C29" t="str">
            <v>GP</v>
          </cell>
          <cell r="D29" t="str">
            <v>GP</v>
          </cell>
          <cell r="E29" t="str">
            <v>GP</v>
          </cell>
          <cell r="F29" t="str">
            <v>GP</v>
          </cell>
          <cell r="H29" t="str">
            <v>DRB</v>
          </cell>
          <cell r="I29" t="str">
            <v>DRB</v>
          </cell>
          <cell r="J29" t="str">
            <v>DRB</v>
          </cell>
          <cell r="K29" t="str">
            <v>DRB</v>
          </cell>
          <cell r="L29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8">
          <cell r="B38" t="str">
            <v>P</v>
          </cell>
          <cell r="C38" t="str">
            <v>P</v>
          </cell>
          <cell r="D38" t="str">
            <v>P</v>
          </cell>
          <cell r="E38" t="str">
            <v>P</v>
          </cell>
          <cell r="F38" t="str">
            <v>P</v>
          </cell>
          <cell r="H38" t="str">
            <v>DRB</v>
          </cell>
          <cell r="I38" t="str">
            <v>DRB</v>
          </cell>
          <cell r="J38" t="str">
            <v>DRB</v>
          </cell>
          <cell r="K38" t="str">
            <v>DRB</v>
          </cell>
          <cell r="L38" t="str">
            <v>DRB</v>
          </cell>
        </row>
        <row r="39">
          <cell r="B39" t="str">
            <v>P</v>
          </cell>
          <cell r="C39" t="str">
            <v>P</v>
          </cell>
          <cell r="D39" t="str">
            <v>P</v>
          </cell>
          <cell r="E39" t="str">
            <v>P</v>
          </cell>
          <cell r="F39" t="str">
            <v>P</v>
          </cell>
          <cell r="H39" t="str">
            <v>DRB</v>
          </cell>
          <cell r="I39" t="str">
            <v>DRB</v>
          </cell>
          <cell r="J39" t="str">
            <v>DRB</v>
          </cell>
          <cell r="K39" t="str">
            <v>DRB</v>
          </cell>
          <cell r="L39" t="str">
            <v>DRB</v>
          </cell>
        </row>
        <row r="40">
          <cell r="B40" t="str">
            <v>P</v>
          </cell>
          <cell r="C40" t="str">
            <v>P</v>
          </cell>
          <cell r="D40" t="str">
            <v>P</v>
          </cell>
          <cell r="E40" t="str">
            <v>P</v>
          </cell>
          <cell r="F40" t="str">
            <v>P</v>
          </cell>
          <cell r="H40" t="str">
            <v>DRB</v>
          </cell>
          <cell r="I40" t="str">
            <v>DRB</v>
          </cell>
          <cell r="J40" t="str">
            <v>DRB</v>
          </cell>
          <cell r="K40" t="str">
            <v>DRB</v>
          </cell>
          <cell r="L40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3">
          <cell r="B43" t="str">
            <v>P</v>
          </cell>
          <cell r="C43" t="str">
            <v>P</v>
          </cell>
          <cell r="D43" t="str">
            <v>P</v>
          </cell>
          <cell r="E43" t="str">
            <v>P</v>
          </cell>
          <cell r="F43" t="str">
            <v>P</v>
          </cell>
          <cell r="H43" t="str">
            <v>DRB</v>
          </cell>
          <cell r="I43" t="str">
            <v>DRB</v>
          </cell>
          <cell r="J43" t="str">
            <v>DRB</v>
          </cell>
          <cell r="K43" t="str">
            <v>DRB</v>
          </cell>
          <cell r="L43" t="str">
            <v>DRB</v>
          </cell>
        </row>
        <row r="47">
          <cell r="B47" t="str">
            <v>P</v>
          </cell>
          <cell r="C47" t="str">
            <v>P</v>
          </cell>
          <cell r="D47" t="str">
            <v>NONE</v>
          </cell>
          <cell r="E47" t="str">
            <v>NONE</v>
          </cell>
          <cell r="F47" t="str">
            <v>P</v>
          </cell>
          <cell r="H47" t="str">
            <v>DRB</v>
          </cell>
          <cell r="I47" t="str">
            <v>DRB</v>
          </cell>
          <cell r="J47" t="str">
            <v>DRB</v>
          </cell>
          <cell r="K47" t="str">
            <v>DRB</v>
          </cell>
          <cell r="L47" t="str">
            <v>DRB</v>
          </cell>
        </row>
        <row r="48">
          <cell r="B48" t="str">
            <v>P</v>
          </cell>
          <cell r="C48" t="str">
            <v>P</v>
          </cell>
          <cell r="D48" t="str">
            <v>P</v>
          </cell>
          <cell r="E48" t="str">
            <v>P</v>
          </cell>
          <cell r="F48" t="str">
            <v>P</v>
          </cell>
          <cell r="H48" t="str">
            <v>DRB</v>
          </cell>
          <cell r="I48" t="str">
            <v>DRB</v>
          </cell>
          <cell r="J48" t="str">
            <v>DRB</v>
          </cell>
          <cell r="K48" t="str">
            <v>DRB</v>
          </cell>
          <cell r="L48" t="str">
            <v>DRB</v>
          </cell>
        </row>
        <row r="50">
          <cell r="B50" t="str">
            <v>REVREQ</v>
          </cell>
          <cell r="C50" t="str">
            <v>REVREQ</v>
          </cell>
          <cell r="D50" t="str">
            <v>REVREQ</v>
          </cell>
          <cell r="E50" t="str">
            <v>REVREQ</v>
          </cell>
          <cell r="F50" t="str">
            <v>REVREQ</v>
          </cell>
          <cell r="H50" t="str">
            <v>DRB</v>
          </cell>
          <cell r="I50" t="str">
            <v>DRB</v>
          </cell>
          <cell r="J50" t="str">
            <v>DRB</v>
          </cell>
          <cell r="K50" t="str">
            <v>DRB</v>
          </cell>
          <cell r="L50" t="str">
            <v>DRB</v>
          </cell>
        </row>
        <row r="51">
          <cell r="B51" t="str">
            <v>DPW</v>
          </cell>
          <cell r="C51" t="str">
            <v>DPW</v>
          </cell>
          <cell r="D51" t="str">
            <v>DPW</v>
          </cell>
          <cell r="E51" t="str">
            <v>DPW</v>
          </cell>
          <cell r="F51" t="str">
            <v>DPW</v>
          </cell>
          <cell r="H51" t="str">
            <v>DRB</v>
          </cell>
          <cell r="I51" t="str">
            <v>DRB</v>
          </cell>
          <cell r="J51" t="str">
            <v>DRB</v>
          </cell>
          <cell r="K51" t="str">
            <v>DRB</v>
          </cell>
          <cell r="L51" t="str">
            <v>DRB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CUST</v>
          </cell>
          <cell r="C58" t="str">
            <v>CUST</v>
          </cell>
          <cell r="D58" t="str">
            <v>CUST</v>
          </cell>
          <cell r="E58" t="str">
            <v>CUST</v>
          </cell>
          <cell r="F58" t="str">
            <v>CUST</v>
          </cell>
          <cell r="H58" t="str">
            <v>CUST</v>
          </cell>
          <cell r="I58" t="str">
            <v>CUST</v>
          </cell>
          <cell r="J58" t="str">
            <v>CUST</v>
          </cell>
          <cell r="K58" t="str">
            <v>CUST</v>
          </cell>
          <cell r="L58" t="str">
            <v>CUST</v>
          </cell>
        </row>
        <row r="62">
          <cell r="B62" t="str">
            <v>CUST</v>
          </cell>
          <cell r="C62" t="str">
            <v>CUST</v>
          </cell>
          <cell r="D62" t="str">
            <v>CUST</v>
          </cell>
          <cell r="E62" t="str">
            <v>CUST</v>
          </cell>
          <cell r="F62" t="str">
            <v>CUST</v>
          </cell>
          <cell r="H62" t="str">
            <v>CUST</v>
          </cell>
          <cell r="I62" t="str">
            <v>CUST</v>
          </cell>
          <cell r="J62" t="str">
            <v>CUST</v>
          </cell>
          <cell r="K62" t="str">
            <v>CUST</v>
          </cell>
          <cell r="L62" t="str">
            <v>CUST</v>
          </cell>
        </row>
        <row r="63">
          <cell r="B63" t="str">
            <v>GP</v>
          </cell>
          <cell r="C63" t="str">
            <v>GP</v>
          </cell>
          <cell r="D63" t="str">
            <v>GP</v>
          </cell>
          <cell r="E63" t="str">
            <v>GP</v>
          </cell>
          <cell r="F63" t="str">
            <v>GP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4">
          <cell r="B64" t="str">
            <v>GP</v>
          </cell>
          <cell r="C64" t="str">
            <v>GP</v>
          </cell>
          <cell r="D64" t="str">
            <v>GP</v>
          </cell>
          <cell r="E64" t="str">
            <v>GP</v>
          </cell>
          <cell r="F64" t="str">
            <v>GP</v>
          </cell>
          <cell r="H64" t="str">
            <v>PLNT</v>
          </cell>
          <cell r="I64" t="str">
            <v>PLNT</v>
          </cell>
          <cell r="J64" t="str">
            <v>PLNT</v>
          </cell>
          <cell r="K64" t="str">
            <v>PLNT</v>
          </cell>
          <cell r="L64" t="str">
            <v>PLNT</v>
          </cell>
        </row>
        <row r="68">
          <cell r="B68" t="str">
            <v>P</v>
          </cell>
          <cell r="C68" t="str">
            <v>P</v>
          </cell>
          <cell r="D68" t="str">
            <v>P</v>
          </cell>
          <cell r="E68" t="str">
            <v>P</v>
          </cell>
          <cell r="F68" t="str">
            <v>P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P</v>
          </cell>
          <cell r="C69" t="str">
            <v>P</v>
          </cell>
          <cell r="D69" t="str">
            <v>P</v>
          </cell>
          <cell r="E69" t="str">
            <v>P</v>
          </cell>
          <cell r="F69" t="str">
            <v>P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3">
          <cell r="B73" t="str">
            <v>DPW</v>
          </cell>
          <cell r="C73" t="str">
            <v>DPW</v>
          </cell>
          <cell r="D73" t="str">
            <v>DPW</v>
          </cell>
          <cell r="E73" t="str">
            <v>DPW</v>
          </cell>
          <cell r="F73" t="str">
            <v>DPW</v>
          </cell>
          <cell r="H73" t="str">
            <v>PLNT</v>
          </cell>
          <cell r="I73" t="str">
            <v>PLNT</v>
          </cell>
          <cell r="J73" t="str">
            <v>PLNT</v>
          </cell>
          <cell r="K73" t="str">
            <v>PLNT</v>
          </cell>
          <cell r="L73" t="str">
            <v>PLNT</v>
          </cell>
        </row>
        <row r="74">
          <cell r="B74" t="str">
            <v>P</v>
          </cell>
          <cell r="C74" t="str">
            <v>P</v>
          </cell>
          <cell r="D74" t="str">
            <v>P</v>
          </cell>
          <cell r="E74" t="str">
            <v>P</v>
          </cell>
          <cell r="F74" t="str">
            <v>P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P</v>
          </cell>
          <cell r="C75" t="str">
            <v>P</v>
          </cell>
          <cell r="D75" t="str">
            <v>P</v>
          </cell>
          <cell r="E75" t="str">
            <v>P</v>
          </cell>
          <cell r="F75" t="str">
            <v>P</v>
          </cell>
          <cell r="H75" t="str">
            <v>PLNT</v>
          </cell>
          <cell r="I75" t="str">
            <v>PLNT</v>
          </cell>
          <cell r="J75" t="str">
            <v>PLNT</v>
          </cell>
          <cell r="K75" t="str">
            <v>PLNT</v>
          </cell>
          <cell r="L75" t="str">
            <v>PLNT</v>
          </cell>
        </row>
        <row r="76">
          <cell r="B76" t="str">
            <v>P</v>
          </cell>
          <cell r="C76" t="str">
            <v>P</v>
          </cell>
          <cell r="D76" t="str">
            <v>P</v>
          </cell>
          <cell r="E76" t="str">
            <v>P</v>
          </cell>
          <cell r="F76" t="str">
            <v>P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GP</v>
          </cell>
          <cell r="C77" t="str">
            <v>GP</v>
          </cell>
          <cell r="D77" t="str">
            <v>GP</v>
          </cell>
          <cell r="E77" t="str">
            <v>GP</v>
          </cell>
          <cell r="F77" t="str">
            <v>GP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81">
          <cell r="B81" t="str">
            <v>COMMON</v>
          </cell>
          <cell r="C81" t="str">
            <v>COMMON</v>
          </cell>
          <cell r="D81" t="str">
            <v>COMMON</v>
          </cell>
          <cell r="E81" t="str">
            <v>COMMON</v>
          </cell>
          <cell r="F81" t="str">
            <v>COMMON</v>
          </cell>
          <cell r="H81" t="str">
            <v>PLNT</v>
          </cell>
          <cell r="I81" t="str">
            <v>PLNT</v>
          </cell>
          <cell r="J81" t="str">
            <v>PLNT</v>
          </cell>
          <cell r="K81" t="str">
            <v>PLNT</v>
          </cell>
          <cell r="L81" t="str">
            <v>PLNT</v>
          </cell>
        </row>
        <row r="82">
          <cell r="B82" t="str">
            <v>CUST</v>
          </cell>
          <cell r="C82" t="str">
            <v>CUST</v>
          </cell>
          <cell r="D82" t="str">
            <v>OTHSGR</v>
          </cell>
          <cell r="E82" t="str">
            <v>CUST</v>
          </cell>
          <cell r="F82" t="str">
            <v>T</v>
          </cell>
          <cell r="H82" t="str">
            <v>CUST</v>
          </cell>
          <cell r="I82" t="str">
            <v>CUST</v>
          </cell>
          <cell r="J82" t="str">
            <v>PLNT</v>
          </cell>
          <cell r="K82" t="str">
            <v>CUST</v>
          </cell>
          <cell r="L82" t="str">
            <v>CUST</v>
          </cell>
        </row>
        <row r="83">
          <cell r="B83" t="str">
            <v>OTHSGR</v>
          </cell>
          <cell r="C83" t="str">
            <v>OTHSGR</v>
          </cell>
          <cell r="D83" t="str">
            <v>OTHSGR</v>
          </cell>
          <cell r="E83" t="str">
            <v>OTHSGR</v>
          </cell>
          <cell r="F83" t="str">
            <v>OTHSGR</v>
          </cell>
          <cell r="H83" t="str">
            <v>PLNT</v>
          </cell>
          <cell r="I83" t="str">
            <v>PLNT</v>
          </cell>
          <cell r="J83" t="str">
            <v>PLNT</v>
          </cell>
          <cell r="K83" t="str">
            <v>PLNT</v>
          </cell>
          <cell r="L83" t="str">
            <v>PLNT</v>
          </cell>
        </row>
        <row r="84">
          <cell r="B84" t="str">
            <v>OTHSGR</v>
          </cell>
          <cell r="C84" t="str">
            <v>OTHSGR</v>
          </cell>
          <cell r="D84" t="str">
            <v>OTHSGR</v>
          </cell>
          <cell r="E84" t="str">
            <v>OTHSGR</v>
          </cell>
          <cell r="F84" t="str">
            <v>OTHSGR</v>
          </cell>
          <cell r="H84" t="str">
            <v>PLNT</v>
          </cell>
          <cell r="I84" t="str">
            <v>PLNT</v>
          </cell>
          <cell r="J84" t="str">
            <v>PLNT</v>
          </cell>
          <cell r="K84" t="str">
            <v>PLNT</v>
          </cell>
          <cell r="L84" t="str">
            <v>PLNT</v>
          </cell>
        </row>
        <row r="85">
          <cell r="B85" t="str">
            <v>OTHSO</v>
          </cell>
          <cell r="C85" t="str">
            <v>OTHSO</v>
          </cell>
          <cell r="D85" t="str">
            <v>OTHSO</v>
          </cell>
          <cell r="E85" t="str">
            <v>OTHSO</v>
          </cell>
          <cell r="F85" t="str">
            <v>OTHSO</v>
          </cell>
          <cell r="H85" t="str">
            <v>PLNT</v>
          </cell>
          <cell r="I85" t="str">
            <v>PLNT</v>
          </cell>
          <cell r="J85" t="str">
            <v>PLNT</v>
          </cell>
          <cell r="K85" t="str">
            <v>PLNT</v>
          </cell>
          <cell r="L85" t="str">
            <v>PLNT</v>
          </cell>
        </row>
        <row r="86">
          <cell r="B86" t="str">
            <v>OTHSGR</v>
          </cell>
          <cell r="C86" t="str">
            <v>OTHSGR</v>
          </cell>
          <cell r="D86" t="str">
            <v>OTHSGR</v>
          </cell>
          <cell r="E86" t="str">
            <v>OTHSGR</v>
          </cell>
          <cell r="F86" t="str">
            <v>OTHSGR</v>
          </cell>
          <cell r="H86" t="str">
            <v>PLNT</v>
          </cell>
          <cell r="I86" t="str">
            <v>PLNT</v>
          </cell>
          <cell r="J86" t="str">
            <v>PLNT</v>
          </cell>
          <cell r="K86" t="str">
            <v>PLNT</v>
          </cell>
          <cell r="L86" t="str">
            <v>PLNT</v>
          </cell>
        </row>
        <row r="87">
          <cell r="B87" t="str">
            <v>P</v>
          </cell>
          <cell r="C87" t="str">
            <v>P</v>
          </cell>
          <cell r="D87" t="str">
            <v>OTHSE</v>
          </cell>
          <cell r="E87" t="str">
            <v>OTHSGR</v>
          </cell>
          <cell r="F87" t="str">
            <v>P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96">
          <cell r="B96" t="str">
            <v>DPW</v>
          </cell>
          <cell r="C96" t="str">
            <v>DPW</v>
          </cell>
          <cell r="D96" t="str">
            <v>DPW</v>
          </cell>
          <cell r="E96" t="str">
            <v>DPW</v>
          </cell>
          <cell r="F96" t="str">
            <v>DPW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97">
          <cell r="B97" t="str">
            <v>T</v>
          </cell>
          <cell r="C97" t="str">
            <v>T</v>
          </cell>
          <cell r="D97" t="str">
            <v>T</v>
          </cell>
          <cell r="E97" t="str">
            <v>T</v>
          </cell>
          <cell r="F97" t="str">
            <v>T</v>
          </cell>
          <cell r="H97" t="str">
            <v>PLNT</v>
          </cell>
          <cell r="I97" t="str">
            <v>PLNT</v>
          </cell>
          <cell r="J97" t="str">
            <v>PLNT</v>
          </cell>
          <cell r="K97" t="str">
            <v>PLNT</v>
          </cell>
          <cell r="L97" t="str">
            <v>PLNT</v>
          </cell>
        </row>
        <row r="98">
          <cell r="B98" t="str">
            <v>G</v>
          </cell>
          <cell r="C98" t="str">
            <v>G</v>
          </cell>
          <cell r="D98" t="str">
            <v>G</v>
          </cell>
          <cell r="E98" t="str">
            <v>G</v>
          </cell>
          <cell r="F98" t="str">
            <v>G</v>
          </cell>
          <cell r="H98" t="str">
            <v>PLNT</v>
          </cell>
          <cell r="I98" t="str">
            <v>PLNT</v>
          </cell>
          <cell r="J98" t="str">
            <v>PLNT</v>
          </cell>
          <cell r="K98" t="str">
            <v>PLNT</v>
          </cell>
          <cell r="L98" t="str">
            <v>PLNT</v>
          </cell>
        </row>
        <row r="99">
          <cell r="B99" t="str">
            <v>T</v>
          </cell>
          <cell r="C99" t="str">
            <v>T</v>
          </cell>
          <cell r="D99" t="str">
            <v>T</v>
          </cell>
          <cell r="E99" t="str">
            <v>T</v>
          </cell>
          <cell r="F99" t="str">
            <v>T</v>
          </cell>
          <cell r="H99" t="str">
            <v>PLNT</v>
          </cell>
          <cell r="I99" t="str">
            <v>PLNT</v>
          </cell>
          <cell r="J99" t="str">
            <v>PLNT</v>
          </cell>
          <cell r="K99" t="str">
            <v>PLNT</v>
          </cell>
          <cell r="L99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4">
          <cell r="B104" t="str">
            <v>DPW</v>
          </cell>
          <cell r="C104" t="str">
            <v>DPW</v>
          </cell>
          <cell r="D104" t="str">
            <v>DPW</v>
          </cell>
          <cell r="E104" t="str">
            <v>DPW</v>
          </cell>
          <cell r="F104" t="str">
            <v>DPW</v>
          </cell>
          <cell r="H104" t="str">
            <v>PLNT</v>
          </cell>
          <cell r="I104" t="str">
            <v>PLNT</v>
          </cell>
          <cell r="J104" t="str">
            <v>PLNT</v>
          </cell>
          <cell r="K104" t="str">
            <v>PLNT</v>
          </cell>
          <cell r="L104" t="str">
            <v>PLNT</v>
          </cell>
        </row>
        <row r="105">
          <cell r="B105" t="str">
            <v>T</v>
          </cell>
          <cell r="C105" t="str">
            <v>T</v>
          </cell>
          <cell r="D105" t="str">
            <v>T</v>
          </cell>
          <cell r="E105" t="str">
            <v>T</v>
          </cell>
          <cell r="F105" t="str">
            <v>T</v>
          </cell>
          <cell r="H105" t="str">
            <v>PLNT</v>
          </cell>
          <cell r="I105" t="str">
            <v>PLNT</v>
          </cell>
          <cell r="J105" t="str">
            <v>PLNT</v>
          </cell>
          <cell r="K105" t="str">
            <v>PLNT</v>
          </cell>
          <cell r="L105" t="str">
            <v>PLNT</v>
          </cell>
        </row>
        <row r="108">
          <cell r="B108" t="str">
            <v>P</v>
          </cell>
          <cell r="C108" t="str">
            <v>P</v>
          </cell>
          <cell r="D108" t="str">
            <v>P</v>
          </cell>
          <cell r="E108" t="str">
            <v>P</v>
          </cell>
          <cell r="F108" t="str">
            <v>P</v>
          </cell>
          <cell r="H108" t="str">
            <v>PLNT</v>
          </cell>
          <cell r="I108" t="str">
            <v>PLNT</v>
          </cell>
          <cell r="J108" t="str">
            <v>PLNT</v>
          </cell>
          <cell r="K108" t="str">
            <v>PLNT</v>
          </cell>
          <cell r="L108" t="str">
            <v>PLNT</v>
          </cell>
        </row>
        <row r="109">
          <cell r="B109" t="str">
            <v>P</v>
          </cell>
          <cell r="C109" t="str">
            <v>P</v>
          </cell>
          <cell r="D109" t="str">
            <v>P</v>
          </cell>
          <cell r="E109" t="str">
            <v>P</v>
          </cell>
          <cell r="F109" t="str">
            <v>P</v>
          </cell>
          <cell r="H109" t="str">
            <v>PLNT</v>
          </cell>
          <cell r="I109" t="str">
            <v>PLNT</v>
          </cell>
          <cell r="J109" t="str">
            <v>PLNT</v>
          </cell>
          <cell r="K109" t="str">
            <v>PLNT</v>
          </cell>
          <cell r="L109" t="str">
            <v>PLNT</v>
          </cell>
        </row>
        <row r="112">
          <cell r="B112" t="str">
            <v>P</v>
          </cell>
          <cell r="C112" t="str">
            <v>P</v>
          </cell>
          <cell r="D112" t="str">
            <v>P</v>
          </cell>
          <cell r="E112" t="str">
            <v>P</v>
          </cell>
          <cell r="F112" t="str">
            <v>P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0">
          <cell r="B120" t="str">
            <v>DPW</v>
          </cell>
          <cell r="C120" t="str">
            <v>DPW</v>
          </cell>
          <cell r="D120" t="str">
            <v>DPW</v>
          </cell>
          <cell r="E120" t="str">
            <v>DPW</v>
          </cell>
          <cell r="F120" t="str">
            <v>DPW</v>
          </cell>
          <cell r="H120" t="str">
            <v>PLNT</v>
          </cell>
          <cell r="I120" t="str">
            <v>PLNT</v>
          </cell>
          <cell r="J120" t="str">
            <v>PLNT</v>
          </cell>
          <cell r="K120" t="str">
            <v>PLNT</v>
          </cell>
          <cell r="L120" t="str">
            <v>PLNT</v>
          </cell>
        </row>
        <row r="121">
          <cell r="B121" t="str">
            <v>T</v>
          </cell>
          <cell r="C121" t="str">
            <v>T</v>
          </cell>
          <cell r="D121" t="str">
            <v>T</v>
          </cell>
          <cell r="E121" t="str">
            <v>T</v>
          </cell>
          <cell r="F121" t="str">
            <v>T</v>
          </cell>
          <cell r="H121" t="str">
            <v>PLNT</v>
          </cell>
          <cell r="I121" t="str">
            <v>PLNT</v>
          </cell>
          <cell r="J121" t="str">
            <v>PLNT</v>
          </cell>
          <cell r="K121" t="str">
            <v>PLNT</v>
          </cell>
          <cell r="L121" t="str">
            <v>PLNT</v>
          </cell>
        </row>
        <row r="122">
          <cell r="B122" t="str">
            <v>T</v>
          </cell>
          <cell r="C122" t="str">
            <v>T</v>
          </cell>
          <cell r="D122" t="str">
            <v>T</v>
          </cell>
          <cell r="E122" t="str">
            <v>T</v>
          </cell>
          <cell r="F122" t="str">
            <v>T</v>
          </cell>
          <cell r="H122" t="str">
            <v>PLNT</v>
          </cell>
          <cell r="I122" t="str">
            <v>PLNT</v>
          </cell>
          <cell r="J122" t="str">
            <v>PLNT</v>
          </cell>
          <cell r="K122" t="str">
            <v>PLNT</v>
          </cell>
          <cell r="L122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PLNT</v>
          </cell>
          <cell r="I123" t="str">
            <v>PLNT</v>
          </cell>
          <cell r="J123" t="str">
            <v>PLNT</v>
          </cell>
          <cell r="K123" t="str">
            <v>PLNT</v>
          </cell>
          <cell r="L123" t="str">
            <v>PLNT</v>
          </cell>
        </row>
        <row r="124">
          <cell r="B124" t="str">
            <v>PTD</v>
          </cell>
          <cell r="C124" t="str">
            <v>PTD</v>
          </cell>
          <cell r="D124" t="str">
            <v>PTD</v>
          </cell>
          <cell r="E124" t="str">
            <v>PTD</v>
          </cell>
          <cell r="F124" t="str">
            <v>PTD</v>
          </cell>
          <cell r="H124" t="str">
            <v>PLNT</v>
          </cell>
          <cell r="I124" t="str">
            <v>PLNT</v>
          </cell>
          <cell r="J124" t="str">
            <v>PLNT</v>
          </cell>
          <cell r="K124" t="str">
            <v>PLNT</v>
          </cell>
          <cell r="L124" t="str">
            <v>PLNT</v>
          </cell>
        </row>
        <row r="125">
          <cell r="B125" t="str">
            <v>P</v>
          </cell>
          <cell r="C125" t="str">
            <v>P</v>
          </cell>
          <cell r="D125" t="str">
            <v>P</v>
          </cell>
          <cell r="E125" t="str">
            <v>P</v>
          </cell>
          <cell r="F125" t="str">
            <v>P</v>
          </cell>
          <cell r="H125" t="str">
            <v>PLNT</v>
          </cell>
          <cell r="I125" t="str">
            <v>PLNT</v>
          </cell>
          <cell r="J125" t="str">
            <v>PLNT</v>
          </cell>
          <cell r="K125" t="str">
            <v>PLNT</v>
          </cell>
          <cell r="L125" t="str">
            <v>PLNT</v>
          </cell>
        </row>
        <row r="126">
          <cell r="H126" t="str">
            <v>PLNT</v>
          </cell>
          <cell r="I126" t="str">
            <v>PLNT</v>
          </cell>
          <cell r="J126" t="str">
            <v>PLNT</v>
          </cell>
          <cell r="K126" t="str">
            <v>PLNT</v>
          </cell>
          <cell r="L126" t="str">
            <v>PLNT</v>
          </cell>
        </row>
        <row r="132">
          <cell r="B132" t="str">
            <v>CUST</v>
          </cell>
          <cell r="C132" t="str">
            <v>CUST</v>
          </cell>
          <cell r="D132" t="str">
            <v>CUST</v>
          </cell>
          <cell r="E132" t="str">
            <v>CUST</v>
          </cell>
          <cell r="F132" t="str">
            <v>CUST</v>
          </cell>
          <cell r="H132" t="str">
            <v>CUST</v>
          </cell>
          <cell r="I132" t="str">
            <v>CUST</v>
          </cell>
          <cell r="J132" t="str">
            <v>CUST</v>
          </cell>
          <cell r="K132" t="str">
            <v>CUST</v>
          </cell>
          <cell r="L132" t="str">
            <v>CUST</v>
          </cell>
        </row>
        <row r="140">
          <cell r="B140" t="str">
            <v>P</v>
          </cell>
          <cell r="C140" t="str">
            <v>P</v>
          </cell>
          <cell r="D140" t="str">
            <v>P</v>
          </cell>
          <cell r="E140" t="str">
            <v>P</v>
          </cell>
          <cell r="F140" t="str">
            <v>P</v>
          </cell>
        </row>
        <row r="141">
          <cell r="B141" t="str">
            <v>P</v>
          </cell>
          <cell r="C141" t="str">
            <v>P</v>
          </cell>
          <cell r="D141" t="str">
            <v>P</v>
          </cell>
          <cell r="E141" t="str">
            <v>P</v>
          </cell>
          <cell r="F141" t="str">
            <v>P</v>
          </cell>
        </row>
        <row r="142">
          <cell r="B142" t="str">
            <v>P</v>
          </cell>
          <cell r="C142" t="str">
            <v>P</v>
          </cell>
          <cell r="D142" t="str">
            <v>P</v>
          </cell>
          <cell r="E142" t="str">
            <v>P</v>
          </cell>
          <cell r="F142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48">
          <cell r="B148" t="str">
            <v>P</v>
          </cell>
          <cell r="C148" t="str">
            <v>P</v>
          </cell>
          <cell r="D148" t="str">
            <v>P</v>
          </cell>
          <cell r="E148" t="str">
            <v>P</v>
          </cell>
          <cell r="F148" t="str">
            <v>P</v>
          </cell>
        </row>
        <row r="149">
          <cell r="B149" t="str">
            <v>P</v>
          </cell>
          <cell r="C149" t="str">
            <v>P</v>
          </cell>
          <cell r="D149" t="str">
            <v>P</v>
          </cell>
          <cell r="E149" t="str">
            <v>P</v>
          </cell>
          <cell r="F149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4">
          <cell r="B154" t="str">
            <v>P</v>
          </cell>
          <cell r="C154" t="str">
            <v>P</v>
          </cell>
          <cell r="D154" t="str">
            <v>P</v>
          </cell>
          <cell r="E154" t="str">
            <v>P</v>
          </cell>
          <cell r="F154" t="str">
            <v>P</v>
          </cell>
        </row>
        <row r="159">
          <cell r="B159" t="str">
            <v>P</v>
          </cell>
          <cell r="C159" t="str">
            <v>P</v>
          </cell>
          <cell r="D159" t="str">
            <v>P</v>
          </cell>
          <cell r="E159" t="str">
            <v>P</v>
          </cell>
          <cell r="F159" t="str">
            <v>P</v>
          </cell>
        </row>
        <row r="160">
          <cell r="B160" t="str">
            <v>P</v>
          </cell>
          <cell r="C160" t="str">
            <v>P</v>
          </cell>
          <cell r="D160" t="str">
            <v>P</v>
          </cell>
          <cell r="E160" t="str">
            <v>P</v>
          </cell>
          <cell r="F160" t="str">
            <v>P</v>
          </cell>
        </row>
        <row r="164">
          <cell r="B164" t="str">
            <v>P</v>
          </cell>
          <cell r="C164" t="str">
            <v>P</v>
          </cell>
          <cell r="D164" t="str">
            <v>P</v>
          </cell>
          <cell r="E164" t="str">
            <v>P</v>
          </cell>
          <cell r="F164" t="str">
            <v>P</v>
          </cell>
        </row>
        <row r="167">
          <cell r="B167" t="str">
            <v>P</v>
          </cell>
          <cell r="C167" t="str">
            <v>P</v>
          </cell>
          <cell r="D167" t="str">
            <v>P</v>
          </cell>
          <cell r="E167" t="str">
            <v>P</v>
          </cell>
          <cell r="F167" t="str">
            <v>P</v>
          </cell>
        </row>
        <row r="168">
          <cell r="B168" t="str">
            <v>P</v>
          </cell>
          <cell r="C168" t="str">
            <v>P</v>
          </cell>
          <cell r="D168" t="str">
            <v>P</v>
          </cell>
          <cell r="E168" t="str">
            <v>P</v>
          </cell>
          <cell r="F168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3">
          <cell r="B173" t="str">
            <v>P</v>
          </cell>
          <cell r="C173" t="str">
            <v>P</v>
          </cell>
          <cell r="D173" t="str">
            <v>P</v>
          </cell>
          <cell r="E173" t="str">
            <v>P</v>
          </cell>
          <cell r="F173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8">
          <cell r="B178" t="str">
            <v>P</v>
          </cell>
          <cell r="C178" t="str">
            <v>P</v>
          </cell>
          <cell r="D178" t="str">
            <v>P</v>
          </cell>
          <cell r="E178" t="str">
            <v>P</v>
          </cell>
          <cell r="F178" t="str">
            <v>P</v>
          </cell>
        </row>
        <row r="179">
          <cell r="B179" t="str">
            <v>P</v>
          </cell>
          <cell r="C179" t="str">
            <v>P</v>
          </cell>
          <cell r="D179" t="str">
            <v>P</v>
          </cell>
          <cell r="E179" t="str">
            <v>P</v>
          </cell>
          <cell r="F179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4">
          <cell r="B184" t="str">
            <v>P</v>
          </cell>
          <cell r="C184" t="str">
            <v>P</v>
          </cell>
          <cell r="D184" t="str">
            <v>P</v>
          </cell>
          <cell r="E184" t="str">
            <v>P</v>
          </cell>
          <cell r="F184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9">
          <cell r="B189" t="str">
            <v>P</v>
          </cell>
          <cell r="C189" t="str">
            <v>P</v>
          </cell>
          <cell r="D189" t="str">
            <v>P</v>
          </cell>
          <cell r="E189" t="str">
            <v>P</v>
          </cell>
          <cell r="F189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4">
          <cell r="B194" t="str">
            <v>P</v>
          </cell>
          <cell r="C194" t="str">
            <v>P</v>
          </cell>
          <cell r="D194" t="str">
            <v>P</v>
          </cell>
          <cell r="E194" t="str">
            <v>P</v>
          </cell>
          <cell r="F194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9">
          <cell r="B199" t="str">
            <v>P</v>
          </cell>
          <cell r="C199" t="str">
            <v>P</v>
          </cell>
          <cell r="D199" t="str">
            <v>P</v>
          </cell>
          <cell r="E199" t="str">
            <v>P</v>
          </cell>
          <cell r="F199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0">
          <cell r="B210" t="str">
            <v>P</v>
          </cell>
          <cell r="C210" t="str">
            <v>P</v>
          </cell>
          <cell r="D210" t="str">
            <v>P</v>
          </cell>
          <cell r="E210" t="str">
            <v>P</v>
          </cell>
          <cell r="F210" t="str">
            <v>P</v>
          </cell>
        </row>
        <row r="211">
          <cell r="B211" t="str">
            <v>P</v>
          </cell>
          <cell r="C211" t="str">
            <v>P</v>
          </cell>
          <cell r="D211" t="str">
            <v>P</v>
          </cell>
          <cell r="E211" t="str">
            <v>P</v>
          </cell>
          <cell r="F211" t="str">
            <v>P</v>
          </cell>
        </row>
        <row r="218">
          <cell r="B218" t="str">
            <v>P</v>
          </cell>
          <cell r="C218" t="str">
            <v>P</v>
          </cell>
          <cell r="D218" t="str">
            <v>P</v>
          </cell>
          <cell r="E218" t="str">
            <v>P</v>
          </cell>
          <cell r="F218" t="str">
            <v>P</v>
          </cell>
        </row>
        <row r="222">
          <cell r="B222" t="str">
            <v>P</v>
          </cell>
          <cell r="C222" t="str">
            <v>P</v>
          </cell>
          <cell r="D222" t="str">
            <v>P</v>
          </cell>
          <cell r="E222" t="str">
            <v>P</v>
          </cell>
          <cell r="F222" t="str">
            <v>P</v>
          </cell>
        </row>
        <row r="227">
          <cell r="B227" t="str">
            <v>P</v>
          </cell>
          <cell r="C227" t="str">
            <v>P</v>
          </cell>
          <cell r="D227" t="str">
            <v>P</v>
          </cell>
          <cell r="E227" t="str">
            <v>P</v>
          </cell>
          <cell r="F227" t="str">
            <v>P</v>
          </cell>
        </row>
        <row r="231">
          <cell r="B231" t="str">
            <v>P</v>
          </cell>
          <cell r="C231" t="str">
            <v>P</v>
          </cell>
          <cell r="D231" t="str">
            <v>P</v>
          </cell>
          <cell r="E231" t="str">
            <v>P</v>
          </cell>
          <cell r="F231" t="str">
            <v>P</v>
          </cell>
        </row>
        <row r="235">
          <cell r="B235" t="str">
            <v>P</v>
          </cell>
          <cell r="C235" t="str">
            <v>P</v>
          </cell>
          <cell r="D235" t="str">
            <v>P</v>
          </cell>
          <cell r="E235" t="str">
            <v>P</v>
          </cell>
          <cell r="F235" t="str">
            <v>P</v>
          </cell>
        </row>
        <row r="239">
          <cell r="B239" t="str">
            <v>P</v>
          </cell>
          <cell r="C239" t="str">
            <v>P</v>
          </cell>
          <cell r="D239" t="str">
            <v>P</v>
          </cell>
          <cell r="E239" t="str">
            <v>P</v>
          </cell>
          <cell r="F239" t="str">
            <v>P</v>
          </cell>
        </row>
        <row r="243">
          <cell r="B243" t="str">
            <v>P</v>
          </cell>
          <cell r="C243" t="str">
            <v>P</v>
          </cell>
          <cell r="D243" t="str">
            <v>P</v>
          </cell>
          <cell r="E243" t="str">
            <v>P</v>
          </cell>
          <cell r="F243" t="str">
            <v>P</v>
          </cell>
        </row>
        <row r="247">
          <cell r="B247" t="str">
            <v>P</v>
          </cell>
          <cell r="C247" t="str">
            <v>P</v>
          </cell>
          <cell r="D247" t="str">
            <v>P</v>
          </cell>
          <cell r="E247" t="str">
            <v>P</v>
          </cell>
          <cell r="F247" t="str">
            <v>P</v>
          </cell>
        </row>
        <row r="251">
          <cell r="B251" t="str">
            <v>P</v>
          </cell>
          <cell r="C251" t="str">
            <v>P</v>
          </cell>
          <cell r="D251" t="str">
            <v>P</v>
          </cell>
          <cell r="E251" t="str">
            <v>P</v>
          </cell>
          <cell r="F251" t="str">
            <v>P</v>
          </cell>
        </row>
        <row r="255">
          <cell r="B255" t="str">
            <v>P</v>
          </cell>
          <cell r="C255" t="str">
            <v>P</v>
          </cell>
          <cell r="D255" t="str">
            <v>P</v>
          </cell>
          <cell r="E255" t="str">
            <v>P</v>
          </cell>
          <cell r="F255" t="str">
            <v>P</v>
          </cell>
        </row>
        <row r="259">
          <cell r="B259" t="str">
            <v>P</v>
          </cell>
          <cell r="C259" t="str">
            <v>P</v>
          </cell>
          <cell r="D259" t="str">
            <v>P</v>
          </cell>
          <cell r="E259" t="str">
            <v>P</v>
          </cell>
          <cell r="F259" t="str">
            <v>P</v>
          </cell>
        </row>
        <row r="267">
          <cell r="B267" t="str">
            <v>P</v>
          </cell>
          <cell r="C267" t="str">
            <v>P</v>
          </cell>
          <cell r="D267" t="str">
            <v>P</v>
          </cell>
          <cell r="E267" t="str">
            <v>P</v>
          </cell>
          <cell r="F267" t="str">
            <v>P</v>
          </cell>
        </row>
        <row r="268">
          <cell r="B268" t="str">
            <v>P</v>
          </cell>
          <cell r="C268" t="str">
            <v>P</v>
          </cell>
          <cell r="D268" t="str">
            <v>P</v>
          </cell>
          <cell r="E268" t="str">
            <v>P</v>
          </cell>
          <cell r="F268" t="str">
            <v>P</v>
          </cell>
        </row>
        <row r="272">
          <cell r="B272" t="str">
            <v>P</v>
          </cell>
          <cell r="C272" t="str">
            <v>P</v>
          </cell>
          <cell r="D272" t="str">
            <v>P</v>
          </cell>
          <cell r="E272" t="str">
            <v>P</v>
          </cell>
          <cell r="F272" t="str">
            <v>P</v>
          </cell>
        </row>
        <row r="276">
          <cell r="B276" t="str">
            <v>P</v>
          </cell>
          <cell r="C276" t="str">
            <v>P</v>
          </cell>
          <cell r="D276" t="str">
            <v>P</v>
          </cell>
          <cell r="E276" t="str">
            <v>P</v>
          </cell>
          <cell r="F276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7">
          <cell r="B297" t="str">
            <v>P</v>
          </cell>
          <cell r="C297" t="str">
            <v>P</v>
          </cell>
          <cell r="D297" t="str">
            <v>P</v>
          </cell>
          <cell r="E297" t="str">
            <v>P</v>
          </cell>
          <cell r="F297" t="str">
            <v>P</v>
          </cell>
        </row>
        <row r="301">
          <cell r="B301" t="str">
            <v>P</v>
          </cell>
          <cell r="C301" t="str">
            <v>P</v>
          </cell>
          <cell r="D301" t="str">
            <v>P</v>
          </cell>
          <cell r="E301" t="str">
            <v>P</v>
          </cell>
          <cell r="F301" t="str">
            <v>P</v>
          </cell>
        </row>
        <row r="305">
          <cell r="B305" t="str">
            <v>P</v>
          </cell>
          <cell r="C305" t="str">
            <v>P</v>
          </cell>
          <cell r="D305" t="str">
            <v>P</v>
          </cell>
          <cell r="E305" t="str">
            <v>P</v>
          </cell>
          <cell r="F305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0">
          <cell r="B310" t="str">
            <v>P</v>
          </cell>
          <cell r="C310" t="str">
            <v>P</v>
          </cell>
          <cell r="D310" t="str">
            <v>P</v>
          </cell>
          <cell r="E310" t="str">
            <v>P</v>
          </cell>
          <cell r="F310" t="str">
            <v>P</v>
          </cell>
        </row>
        <row r="317">
          <cell r="B317" t="str">
            <v>P</v>
          </cell>
          <cell r="C317" t="str">
            <v>P</v>
          </cell>
          <cell r="D317" t="str">
            <v>P</v>
          </cell>
          <cell r="E317" t="str">
            <v>P</v>
          </cell>
          <cell r="F317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2">
          <cell r="B322" t="str">
            <v>P</v>
          </cell>
          <cell r="C322" t="str">
            <v>P</v>
          </cell>
          <cell r="D322" t="str">
            <v>P</v>
          </cell>
          <cell r="E322" t="str">
            <v>P</v>
          </cell>
          <cell r="F322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2">
          <cell r="B332" t="str">
            <v>P</v>
          </cell>
          <cell r="C332" t="str">
            <v>P</v>
          </cell>
          <cell r="D332" t="str">
            <v>P</v>
          </cell>
          <cell r="E332" t="str">
            <v>P</v>
          </cell>
          <cell r="F332" t="str">
            <v>P</v>
          </cell>
        </row>
        <row r="333">
          <cell r="B333" t="str">
            <v>P</v>
          </cell>
          <cell r="C333" t="str">
            <v>P</v>
          </cell>
          <cell r="D333" t="str">
            <v>P</v>
          </cell>
          <cell r="E333" t="str">
            <v>P</v>
          </cell>
          <cell r="F333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38">
          <cell r="B338" t="str">
            <v>P</v>
          </cell>
          <cell r="C338" t="str">
            <v>P</v>
          </cell>
          <cell r="D338" t="str">
            <v>P</v>
          </cell>
          <cell r="E338" t="str">
            <v>P</v>
          </cell>
          <cell r="F338" t="str">
            <v>P</v>
          </cell>
        </row>
        <row r="343">
          <cell r="B343" t="str">
            <v>P</v>
          </cell>
          <cell r="C343" t="str">
            <v>P</v>
          </cell>
          <cell r="D343" t="str">
            <v>P</v>
          </cell>
          <cell r="E343" t="str">
            <v>P</v>
          </cell>
          <cell r="F343" t="str">
            <v>P</v>
          </cell>
        </row>
        <row r="344">
          <cell r="B344" t="str">
            <v>P</v>
          </cell>
          <cell r="C344" t="str">
            <v>P</v>
          </cell>
          <cell r="D344" t="str">
            <v>P</v>
          </cell>
          <cell r="E344" t="str">
            <v>P</v>
          </cell>
          <cell r="F344" t="str">
            <v>P</v>
          </cell>
        </row>
        <row r="348">
          <cell r="B348" t="str">
            <v>P</v>
          </cell>
          <cell r="C348" t="str">
            <v>P</v>
          </cell>
          <cell r="D348" t="str">
            <v>P</v>
          </cell>
          <cell r="E348" t="str">
            <v>P</v>
          </cell>
          <cell r="F348" t="str">
            <v>P</v>
          </cell>
        </row>
        <row r="349">
          <cell r="B349" t="str">
            <v>P</v>
          </cell>
          <cell r="C349" t="str">
            <v>P</v>
          </cell>
          <cell r="D349" t="str">
            <v>P</v>
          </cell>
          <cell r="E349" t="str">
            <v>P</v>
          </cell>
          <cell r="F349" t="str">
            <v>P</v>
          </cell>
        </row>
        <row r="354">
          <cell r="B354" t="str">
            <v>P</v>
          </cell>
          <cell r="C354" t="str">
            <v>P</v>
          </cell>
          <cell r="D354" t="str">
            <v>P</v>
          </cell>
          <cell r="E354" t="str">
            <v>P</v>
          </cell>
          <cell r="F354" t="str">
            <v>P</v>
          </cell>
        </row>
        <row r="355">
          <cell r="B355" t="str">
            <v>P</v>
          </cell>
          <cell r="C355" t="str">
            <v>P</v>
          </cell>
          <cell r="D355" t="str">
            <v>P</v>
          </cell>
          <cell r="E355" t="str">
            <v>P</v>
          </cell>
          <cell r="F355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0">
          <cell r="B360" t="str">
            <v>P</v>
          </cell>
          <cell r="C360" t="str">
            <v>P</v>
          </cell>
          <cell r="D360" t="str">
            <v>P</v>
          </cell>
          <cell r="E360" t="str">
            <v>P</v>
          </cell>
          <cell r="F360" t="str">
            <v>P</v>
          </cell>
        </row>
        <row r="365">
          <cell r="B365" t="str">
            <v>P</v>
          </cell>
          <cell r="C365" t="str">
            <v>P</v>
          </cell>
          <cell r="D365" t="str">
            <v>P</v>
          </cell>
          <cell r="E365" t="str">
            <v>P</v>
          </cell>
          <cell r="F365" t="str">
            <v>P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70">
          <cell r="B370" t="str">
            <v>P</v>
          </cell>
          <cell r="C370" t="str">
            <v>P</v>
          </cell>
          <cell r="D370" t="str">
            <v>P</v>
          </cell>
          <cell r="E370" t="str">
            <v>P</v>
          </cell>
          <cell r="F370" t="str">
            <v>P</v>
          </cell>
        </row>
        <row r="371">
          <cell r="B371" t="str">
            <v>P</v>
          </cell>
          <cell r="C371" t="str">
            <v>P</v>
          </cell>
          <cell r="D371" t="str">
            <v>P</v>
          </cell>
          <cell r="E371" t="str">
            <v>P</v>
          </cell>
          <cell r="F371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7">
          <cell r="B377" t="str">
            <v>P</v>
          </cell>
          <cell r="C377" t="str">
            <v>P</v>
          </cell>
          <cell r="D377" t="str">
            <v>P</v>
          </cell>
          <cell r="E377" t="str">
            <v>P</v>
          </cell>
          <cell r="F377" t="str">
            <v>P</v>
          </cell>
        </row>
        <row r="380">
          <cell r="B380" t="str">
            <v>P</v>
          </cell>
          <cell r="C380" t="str">
            <v>P</v>
          </cell>
          <cell r="D380" t="str">
            <v>P</v>
          </cell>
          <cell r="E380" t="str">
            <v>P</v>
          </cell>
          <cell r="F380" t="str">
            <v>P</v>
          </cell>
        </row>
        <row r="381">
          <cell r="B381" t="str">
            <v>P</v>
          </cell>
          <cell r="C381" t="str">
            <v>P</v>
          </cell>
          <cell r="D381" t="str">
            <v>P</v>
          </cell>
          <cell r="E381" t="str">
            <v>P</v>
          </cell>
          <cell r="F381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9">
          <cell r="B389" t="str">
            <v>P</v>
          </cell>
          <cell r="C389" t="str">
            <v>P</v>
          </cell>
          <cell r="D389" t="str">
            <v>P</v>
          </cell>
          <cell r="E389" t="str">
            <v>P</v>
          </cell>
          <cell r="F389" t="str">
            <v>P</v>
          </cell>
        </row>
        <row r="390">
          <cell r="B390" t="str">
            <v>P</v>
          </cell>
          <cell r="C390" t="str">
            <v>P</v>
          </cell>
          <cell r="D390" t="str">
            <v>P</v>
          </cell>
          <cell r="E390" t="str">
            <v>P</v>
          </cell>
          <cell r="F390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402">
          <cell r="B402" t="str">
            <v>T</v>
          </cell>
          <cell r="C402" t="str">
            <v>T</v>
          </cell>
          <cell r="D402" t="str">
            <v>T</v>
          </cell>
          <cell r="E402" t="str">
            <v>T</v>
          </cell>
          <cell r="F402" t="str">
            <v>T</v>
          </cell>
        </row>
        <row r="403">
          <cell r="B403" t="str">
            <v>T</v>
          </cell>
          <cell r="C403" t="str">
            <v>T</v>
          </cell>
          <cell r="D403" t="str">
            <v>T</v>
          </cell>
          <cell r="E403" t="str">
            <v>T</v>
          </cell>
          <cell r="F403" t="str">
            <v>T</v>
          </cell>
        </row>
        <row r="404">
          <cell r="B404" t="str">
            <v>T</v>
          </cell>
          <cell r="C404" t="str">
            <v>T</v>
          </cell>
          <cell r="D404" t="str">
            <v>T</v>
          </cell>
          <cell r="E404" t="str">
            <v>T</v>
          </cell>
          <cell r="F404" t="str">
            <v>T</v>
          </cell>
        </row>
        <row r="408">
          <cell r="B408" t="str">
            <v>T</v>
          </cell>
          <cell r="C408" t="str">
            <v>T</v>
          </cell>
          <cell r="D408" t="str">
            <v>T</v>
          </cell>
          <cell r="E408" t="str">
            <v>T</v>
          </cell>
          <cell r="F408" t="str">
            <v>T</v>
          </cell>
        </row>
        <row r="409">
          <cell r="B409" t="str">
            <v>T</v>
          </cell>
          <cell r="C409" t="str">
            <v>T</v>
          </cell>
          <cell r="D409" t="str">
            <v>T</v>
          </cell>
          <cell r="E409" t="str">
            <v>T</v>
          </cell>
          <cell r="F409" t="str">
            <v>T</v>
          </cell>
        </row>
        <row r="413">
          <cell r="B413" t="str">
            <v>T</v>
          </cell>
          <cell r="C413" t="str">
            <v>T</v>
          </cell>
          <cell r="D413" t="str">
            <v>T</v>
          </cell>
          <cell r="E413" t="str">
            <v>T</v>
          </cell>
          <cell r="F413" t="str">
            <v>T</v>
          </cell>
        </row>
        <row r="414">
          <cell r="B414" t="str">
            <v>T</v>
          </cell>
          <cell r="C414" t="str">
            <v>T</v>
          </cell>
          <cell r="D414" t="str">
            <v>T</v>
          </cell>
          <cell r="E414" t="str">
            <v>T</v>
          </cell>
          <cell r="F414" t="str">
            <v>T</v>
          </cell>
        </row>
        <row r="415">
          <cell r="B415" t="str">
            <v>T</v>
          </cell>
          <cell r="C415" t="str">
            <v>T</v>
          </cell>
          <cell r="D415" t="str">
            <v>T</v>
          </cell>
          <cell r="E415" t="str">
            <v>T</v>
          </cell>
          <cell r="F415" t="str">
            <v>T</v>
          </cell>
        </row>
        <row r="419">
          <cell r="B419" t="str">
            <v>T</v>
          </cell>
          <cell r="C419" t="str">
            <v>T</v>
          </cell>
          <cell r="D419" t="str">
            <v>T</v>
          </cell>
          <cell r="E419" t="str">
            <v>T</v>
          </cell>
          <cell r="F419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4">
          <cell r="B434" t="str">
            <v>T</v>
          </cell>
          <cell r="C434" t="str">
            <v>T</v>
          </cell>
          <cell r="D434" t="str">
            <v>T</v>
          </cell>
          <cell r="E434" t="str">
            <v>T</v>
          </cell>
          <cell r="F434" t="str">
            <v>T</v>
          </cell>
        </row>
        <row r="438">
          <cell r="B438" t="str">
            <v>T</v>
          </cell>
          <cell r="C438" t="str">
            <v>T</v>
          </cell>
          <cell r="D438" t="str">
            <v>T</v>
          </cell>
          <cell r="E438" t="str">
            <v>T</v>
          </cell>
          <cell r="F438" t="str">
            <v>T</v>
          </cell>
        </row>
        <row r="439">
          <cell r="B439" t="str">
            <v>T</v>
          </cell>
          <cell r="C439" t="str">
            <v>T</v>
          </cell>
          <cell r="D439" t="str">
            <v>T</v>
          </cell>
          <cell r="E439" t="str">
            <v>T</v>
          </cell>
          <cell r="F439" t="str">
            <v>T</v>
          </cell>
        </row>
        <row r="443">
          <cell r="B443" t="str">
            <v>T</v>
          </cell>
          <cell r="C443" t="str">
            <v>T</v>
          </cell>
          <cell r="D443" t="str">
            <v>T</v>
          </cell>
          <cell r="E443" t="str">
            <v>T</v>
          </cell>
          <cell r="F443" t="str">
            <v>T</v>
          </cell>
        </row>
        <row r="444">
          <cell r="B444" t="str">
            <v>T</v>
          </cell>
          <cell r="C444" t="str">
            <v>T</v>
          </cell>
          <cell r="D444" t="str">
            <v>T</v>
          </cell>
          <cell r="E444" t="str">
            <v>T</v>
          </cell>
          <cell r="F444" t="str">
            <v>T</v>
          </cell>
        </row>
        <row r="448">
          <cell r="B448" t="str">
            <v>T</v>
          </cell>
          <cell r="C448" t="str">
            <v>T</v>
          </cell>
          <cell r="D448" t="str">
            <v>T</v>
          </cell>
          <cell r="E448" t="str">
            <v>T</v>
          </cell>
          <cell r="F448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4">
          <cell r="B454" t="str">
            <v>T</v>
          </cell>
          <cell r="C454" t="str">
            <v>T</v>
          </cell>
          <cell r="D454" t="str">
            <v>T</v>
          </cell>
          <cell r="E454" t="str">
            <v>T</v>
          </cell>
          <cell r="F454" t="str">
            <v>T</v>
          </cell>
        </row>
        <row r="458">
          <cell r="B458" t="str">
            <v>T</v>
          </cell>
          <cell r="C458" t="str">
            <v>T</v>
          </cell>
          <cell r="D458" t="str">
            <v>T</v>
          </cell>
          <cell r="E458" t="str">
            <v>T</v>
          </cell>
          <cell r="F458" t="str">
            <v>T</v>
          </cell>
        </row>
        <row r="459">
          <cell r="B459" t="str">
            <v>T</v>
          </cell>
          <cell r="C459" t="str">
            <v>T</v>
          </cell>
          <cell r="D459" t="str">
            <v>T</v>
          </cell>
          <cell r="E459" t="str">
            <v>T</v>
          </cell>
          <cell r="F459" t="str">
            <v>T</v>
          </cell>
        </row>
        <row r="460">
          <cell r="B460" t="str">
            <v>T</v>
          </cell>
          <cell r="C460" t="str">
            <v>T</v>
          </cell>
          <cell r="D460" t="str">
            <v>T</v>
          </cell>
          <cell r="E460" t="str">
            <v>T</v>
          </cell>
          <cell r="F460" t="str">
            <v>T</v>
          </cell>
        </row>
        <row r="464">
          <cell r="B464" t="str">
            <v>T</v>
          </cell>
          <cell r="C464" t="str">
            <v>T</v>
          </cell>
          <cell r="D464" t="str">
            <v>T</v>
          </cell>
          <cell r="E464" t="str">
            <v>T</v>
          </cell>
          <cell r="F464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66">
          <cell r="B466" t="str">
            <v>T</v>
          </cell>
          <cell r="C466" t="str">
            <v>T</v>
          </cell>
          <cell r="D466" t="str">
            <v>T</v>
          </cell>
          <cell r="E466" t="str">
            <v>T</v>
          </cell>
          <cell r="F466" t="str">
            <v>T</v>
          </cell>
        </row>
        <row r="470">
          <cell r="B470" t="str">
            <v>T</v>
          </cell>
          <cell r="C470" t="str">
            <v>T</v>
          </cell>
          <cell r="D470" t="str">
            <v>T</v>
          </cell>
          <cell r="E470" t="str">
            <v>T</v>
          </cell>
          <cell r="F470" t="str">
            <v>T</v>
          </cell>
        </row>
        <row r="474">
          <cell r="B474" t="str">
            <v>T</v>
          </cell>
          <cell r="C474" t="str">
            <v>T</v>
          </cell>
          <cell r="D474" t="str">
            <v>T</v>
          </cell>
          <cell r="E474" t="str">
            <v>T</v>
          </cell>
          <cell r="F474" t="str">
            <v>T</v>
          </cell>
        </row>
        <row r="480">
          <cell r="B480" t="str">
            <v>DPW</v>
          </cell>
          <cell r="C480" t="str">
            <v>DPW</v>
          </cell>
          <cell r="D480" t="str">
            <v>DPW</v>
          </cell>
          <cell r="E480" t="str">
            <v>DPW</v>
          </cell>
          <cell r="F480" t="str">
            <v>DPW</v>
          </cell>
          <cell r="H480" t="str">
            <v>PLNT</v>
          </cell>
          <cell r="I480" t="str">
            <v>PLNT</v>
          </cell>
          <cell r="J480" t="str">
            <v>PLNT</v>
          </cell>
          <cell r="K480" t="str">
            <v>PLNT</v>
          </cell>
          <cell r="L480" t="str">
            <v>PLNT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PLNT</v>
          </cell>
          <cell r="I481" t="str">
            <v>PLNT</v>
          </cell>
          <cell r="J481" t="str">
            <v>PLNT</v>
          </cell>
          <cell r="K481" t="str">
            <v>PLNT</v>
          </cell>
          <cell r="L481" t="str">
            <v>PLNT</v>
          </cell>
        </row>
        <row r="485">
          <cell r="B485" t="str">
            <v>DPW</v>
          </cell>
          <cell r="C485" t="str">
            <v>DPW</v>
          </cell>
          <cell r="D485" t="str">
            <v>DPW</v>
          </cell>
          <cell r="E485" t="str">
            <v>DPW</v>
          </cell>
          <cell r="F485" t="str">
            <v>DPW</v>
          </cell>
          <cell r="H485" t="str">
            <v>SUBS</v>
          </cell>
          <cell r="I485" t="str">
            <v>SUBS</v>
          </cell>
          <cell r="J485" t="str">
            <v>SUBS</v>
          </cell>
          <cell r="K485" t="str">
            <v>SUBS</v>
          </cell>
          <cell r="L485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SUBS</v>
          </cell>
          <cell r="I486" t="str">
            <v>SUBS</v>
          </cell>
          <cell r="J486" t="str">
            <v>SUBS</v>
          </cell>
          <cell r="K486" t="str">
            <v>SUBS</v>
          </cell>
          <cell r="L486" t="str">
            <v>SUBS</v>
          </cell>
        </row>
        <row r="490">
          <cell r="B490" t="str">
            <v>DPW</v>
          </cell>
          <cell r="C490" t="str">
            <v>DPW</v>
          </cell>
          <cell r="D490" t="str">
            <v>DPW</v>
          </cell>
          <cell r="E490" t="str">
            <v>DPW</v>
          </cell>
          <cell r="F490" t="str">
            <v>DPW</v>
          </cell>
          <cell r="H490" t="str">
            <v>SUBS</v>
          </cell>
          <cell r="I490" t="str">
            <v>SUBS</v>
          </cell>
          <cell r="J490" t="str">
            <v>SUBS</v>
          </cell>
          <cell r="K490" t="str">
            <v>SUBS</v>
          </cell>
          <cell r="L490" t="str">
            <v>SUBS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SUBS</v>
          </cell>
          <cell r="I491" t="str">
            <v>SUBS</v>
          </cell>
          <cell r="J491" t="str">
            <v>SUBS</v>
          </cell>
          <cell r="K491" t="str">
            <v>SUBS</v>
          </cell>
          <cell r="L491" t="str">
            <v>SUBS</v>
          </cell>
        </row>
        <row r="495">
          <cell r="B495" t="str">
            <v>DPW</v>
          </cell>
          <cell r="C495" t="str">
            <v>DPW</v>
          </cell>
          <cell r="D495" t="str">
            <v>DPW</v>
          </cell>
          <cell r="E495" t="str">
            <v>DPW</v>
          </cell>
          <cell r="F495" t="str">
            <v>DPW</v>
          </cell>
          <cell r="H495" t="str">
            <v>PC</v>
          </cell>
          <cell r="I495" t="str">
            <v>PC</v>
          </cell>
          <cell r="J495" t="str">
            <v>PC</v>
          </cell>
          <cell r="K495" t="str">
            <v>PC</v>
          </cell>
          <cell r="L495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500">
          <cell r="B500" t="str">
            <v>DPW</v>
          </cell>
          <cell r="C500" t="str">
            <v>DPW</v>
          </cell>
          <cell r="D500" t="str">
            <v>DPW</v>
          </cell>
          <cell r="E500" t="str">
            <v>DPW</v>
          </cell>
          <cell r="F500" t="str">
            <v>DPW</v>
          </cell>
          <cell r="H500" t="str">
            <v>PC</v>
          </cell>
          <cell r="I500" t="str">
            <v>PC</v>
          </cell>
          <cell r="J500" t="str">
            <v>PC</v>
          </cell>
          <cell r="K500" t="str">
            <v>PC</v>
          </cell>
          <cell r="L500" t="str">
            <v>PC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PC</v>
          </cell>
          <cell r="I501" t="str">
            <v>PC</v>
          </cell>
          <cell r="J501" t="str">
            <v>PC</v>
          </cell>
          <cell r="K501" t="str">
            <v>PC</v>
          </cell>
          <cell r="L501" t="str">
            <v>PC</v>
          </cell>
        </row>
        <row r="505">
          <cell r="B505" t="str">
            <v>DPW</v>
          </cell>
          <cell r="C505" t="str">
            <v>DPW</v>
          </cell>
          <cell r="D505" t="str">
            <v>DPW</v>
          </cell>
          <cell r="E505" t="str">
            <v>DPW</v>
          </cell>
          <cell r="F505" t="str">
            <v>DPW</v>
          </cell>
          <cell r="H505" t="str">
            <v>PC</v>
          </cell>
          <cell r="I505" t="str">
            <v>PC</v>
          </cell>
          <cell r="J505" t="str">
            <v>PC</v>
          </cell>
          <cell r="K505" t="str">
            <v>PC</v>
          </cell>
          <cell r="L505" t="str">
            <v>PC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METR</v>
          </cell>
          <cell r="I506" t="str">
            <v>METR</v>
          </cell>
          <cell r="J506" t="str">
            <v>METR</v>
          </cell>
          <cell r="K506" t="str">
            <v>METR</v>
          </cell>
          <cell r="L506" t="str">
            <v>METR</v>
          </cell>
        </row>
        <row r="510">
          <cell r="B510" t="str">
            <v>DPW</v>
          </cell>
          <cell r="C510" t="str">
            <v>DPW</v>
          </cell>
          <cell r="D510" t="str">
            <v>DPW</v>
          </cell>
          <cell r="E510" t="str">
            <v>DPW</v>
          </cell>
          <cell r="F510" t="str">
            <v>DPW</v>
          </cell>
          <cell r="H510" t="str">
            <v>METR</v>
          </cell>
          <cell r="I510" t="str">
            <v>METR</v>
          </cell>
          <cell r="J510" t="str">
            <v>METR</v>
          </cell>
          <cell r="K510" t="str">
            <v>METR</v>
          </cell>
          <cell r="L510" t="str">
            <v>METR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METR</v>
          </cell>
          <cell r="I511" t="str">
            <v>METR</v>
          </cell>
          <cell r="J511" t="str">
            <v>METR</v>
          </cell>
          <cell r="K511" t="str">
            <v>METR</v>
          </cell>
          <cell r="L511" t="str">
            <v>METR</v>
          </cell>
        </row>
        <row r="515">
          <cell r="B515" t="str">
            <v>DPW</v>
          </cell>
          <cell r="C515" t="str">
            <v>DPW</v>
          </cell>
          <cell r="D515" t="str">
            <v>DPW</v>
          </cell>
          <cell r="E515" t="str">
            <v>DPW</v>
          </cell>
          <cell r="F515" t="str">
            <v>DPW</v>
          </cell>
          <cell r="H515" t="str">
            <v>PC</v>
          </cell>
          <cell r="I515" t="str">
            <v>PC</v>
          </cell>
          <cell r="J515" t="str">
            <v>PC</v>
          </cell>
          <cell r="K515" t="str">
            <v>PC</v>
          </cell>
          <cell r="L515" t="str">
            <v>PC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PC</v>
          </cell>
          <cell r="I516" t="str">
            <v>PC</v>
          </cell>
          <cell r="J516" t="str">
            <v>PC</v>
          </cell>
          <cell r="K516" t="str">
            <v>PC</v>
          </cell>
          <cell r="L516" t="str">
            <v>PC</v>
          </cell>
        </row>
        <row r="520">
          <cell r="B520" t="str">
            <v>DPW</v>
          </cell>
          <cell r="C520" t="str">
            <v>DPW</v>
          </cell>
          <cell r="D520" t="str">
            <v>DPW</v>
          </cell>
          <cell r="E520" t="str">
            <v>DPW</v>
          </cell>
          <cell r="F520" t="str">
            <v>DPW</v>
          </cell>
          <cell r="H520" t="str">
            <v>PLNT2</v>
          </cell>
          <cell r="I520" t="str">
            <v>PLNT2</v>
          </cell>
          <cell r="J520" t="str">
            <v>PLNT2</v>
          </cell>
          <cell r="K520" t="str">
            <v>PLNT2</v>
          </cell>
          <cell r="L520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PLNT2</v>
          </cell>
          <cell r="I521" t="str">
            <v>PLNT2</v>
          </cell>
          <cell r="J521" t="str">
            <v>PLNT2</v>
          </cell>
          <cell r="K521" t="str">
            <v>PLNT2</v>
          </cell>
          <cell r="L521" t="str">
            <v>PLNT2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PLNT2</v>
          </cell>
          <cell r="I522" t="str">
            <v>PLNT2</v>
          </cell>
          <cell r="J522" t="str">
            <v>PLNT2</v>
          </cell>
          <cell r="K522" t="str">
            <v>PLNT2</v>
          </cell>
          <cell r="L522" t="str">
            <v>PLNT2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PLNT</v>
          </cell>
          <cell r="I531" t="str">
            <v>PLNT</v>
          </cell>
          <cell r="J531" t="str">
            <v>PLNT</v>
          </cell>
          <cell r="K531" t="str">
            <v>PLNT</v>
          </cell>
          <cell r="L531" t="str">
            <v>PLNT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PLNT</v>
          </cell>
          <cell r="I532" t="str">
            <v>PLNT</v>
          </cell>
          <cell r="J532" t="str">
            <v>PLNT</v>
          </cell>
          <cell r="K532" t="str">
            <v>PLNT</v>
          </cell>
          <cell r="L532" t="str">
            <v>PLNT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PLNT2</v>
          </cell>
          <cell r="I536" t="str">
            <v>PLNT2</v>
          </cell>
          <cell r="J536" t="str">
            <v>PLNT2</v>
          </cell>
          <cell r="K536" t="str">
            <v>PLNT2</v>
          </cell>
          <cell r="L536" t="str">
            <v>PLNT2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PLNT2</v>
          </cell>
          <cell r="I537" t="str">
            <v>PLNT2</v>
          </cell>
          <cell r="J537" t="str">
            <v>PLNT2</v>
          </cell>
          <cell r="K537" t="str">
            <v>PLNT2</v>
          </cell>
          <cell r="L537" t="str">
            <v>PLNT2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SUBS</v>
          </cell>
          <cell r="I541" t="str">
            <v>SUBS</v>
          </cell>
          <cell r="J541" t="str">
            <v>SUBS</v>
          </cell>
          <cell r="K541" t="str">
            <v>SUBS</v>
          </cell>
          <cell r="L541" t="str">
            <v>SUBS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SUBS</v>
          </cell>
          <cell r="I542" t="str">
            <v>SUBS</v>
          </cell>
          <cell r="J542" t="str">
            <v>SUBS</v>
          </cell>
          <cell r="K542" t="str">
            <v>SUBS</v>
          </cell>
          <cell r="L542" t="str">
            <v>SUBS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PC</v>
          </cell>
          <cell r="I546" t="str">
            <v>PC</v>
          </cell>
          <cell r="J546" t="str">
            <v>PC</v>
          </cell>
          <cell r="K546" t="str">
            <v>PC</v>
          </cell>
          <cell r="L546" t="str">
            <v>PC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PC</v>
          </cell>
          <cell r="I547" t="str">
            <v>PC</v>
          </cell>
          <cell r="J547" t="str">
            <v>PC</v>
          </cell>
          <cell r="K547" t="str">
            <v>PC</v>
          </cell>
          <cell r="L547" t="str">
            <v>PC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XFMR</v>
          </cell>
          <cell r="I556" t="str">
            <v>XFMR</v>
          </cell>
          <cell r="J556" t="str">
            <v>XFMR</v>
          </cell>
          <cell r="K556" t="str">
            <v>XFMR</v>
          </cell>
          <cell r="L556" t="str">
            <v>XFMR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XFMR</v>
          </cell>
          <cell r="I557" t="str">
            <v>XFMR</v>
          </cell>
          <cell r="J557" t="str">
            <v>XFMR</v>
          </cell>
          <cell r="K557" t="str">
            <v>XFMR</v>
          </cell>
          <cell r="L557" t="str">
            <v>XFMR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PC</v>
          </cell>
          <cell r="I561" t="str">
            <v>PC</v>
          </cell>
          <cell r="J561" t="str">
            <v>PC</v>
          </cell>
          <cell r="K561" t="str">
            <v>PC</v>
          </cell>
          <cell r="L561" t="str">
            <v>PC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PC</v>
          </cell>
          <cell r="I562" t="str">
            <v>PC</v>
          </cell>
          <cell r="J562" t="str">
            <v>PC</v>
          </cell>
          <cell r="K562" t="str">
            <v>PC</v>
          </cell>
          <cell r="L562" t="str">
            <v>PC</v>
          </cell>
        </row>
        <row r="566">
          <cell r="B566" t="str">
            <v>DPW</v>
          </cell>
          <cell r="C566" t="str">
            <v>DPW</v>
          </cell>
          <cell r="D566" t="str">
            <v>DPW</v>
          </cell>
          <cell r="E566" t="str">
            <v>DPW</v>
          </cell>
          <cell r="F566" t="str">
            <v>DPW</v>
          </cell>
          <cell r="H566" t="str">
            <v>METR</v>
          </cell>
          <cell r="I566" t="str">
            <v>METR</v>
          </cell>
          <cell r="J566" t="str">
            <v>METR</v>
          </cell>
          <cell r="K566" t="str">
            <v>METR</v>
          </cell>
          <cell r="L566" t="str">
            <v>METR</v>
          </cell>
        </row>
        <row r="567">
          <cell r="B567" t="str">
            <v>DPW</v>
          </cell>
          <cell r="C567" t="str">
            <v>DPW</v>
          </cell>
          <cell r="D567" t="str">
            <v>DPW</v>
          </cell>
          <cell r="E567" t="str">
            <v>DPW</v>
          </cell>
          <cell r="F567" t="str">
            <v>DPW</v>
          </cell>
          <cell r="H567" t="str">
            <v>METR</v>
          </cell>
          <cell r="I567" t="str">
            <v>METR</v>
          </cell>
          <cell r="J567" t="str">
            <v>METR</v>
          </cell>
          <cell r="K567" t="str">
            <v>METR</v>
          </cell>
          <cell r="L567" t="str">
            <v>METR</v>
          </cell>
        </row>
        <row r="571">
          <cell r="B571" t="str">
            <v>DPW</v>
          </cell>
          <cell r="C571" t="str">
            <v>DPW</v>
          </cell>
          <cell r="D571" t="str">
            <v>DPW</v>
          </cell>
          <cell r="E571" t="str">
            <v>DPW</v>
          </cell>
          <cell r="F571" t="str">
            <v>DPW</v>
          </cell>
          <cell r="H571" t="str">
            <v>PLNT2</v>
          </cell>
          <cell r="I571" t="str">
            <v>PLNT2</v>
          </cell>
          <cell r="J571" t="str">
            <v>PLNT2</v>
          </cell>
          <cell r="K571" t="str">
            <v>PLNT2</v>
          </cell>
          <cell r="L571" t="str">
            <v>PLNT2</v>
          </cell>
        </row>
        <row r="572">
          <cell r="B572" t="str">
            <v>DPW</v>
          </cell>
          <cell r="C572" t="str">
            <v>DPW</v>
          </cell>
          <cell r="D572" t="str">
            <v>DPW</v>
          </cell>
          <cell r="E572" t="str">
            <v>DPW</v>
          </cell>
          <cell r="F572" t="str">
            <v>DPW</v>
          </cell>
          <cell r="H572" t="str">
            <v>PLNT2</v>
          </cell>
          <cell r="I572" t="str">
            <v>PLNT2</v>
          </cell>
          <cell r="J572" t="str">
            <v>PLNT2</v>
          </cell>
          <cell r="K572" t="str">
            <v>PLNT2</v>
          </cell>
          <cell r="L572" t="str">
            <v>PLNT2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CUST</v>
          </cell>
          <cell r="C584" t="str">
            <v>CUST</v>
          </cell>
          <cell r="D584" t="str">
            <v>CUST</v>
          </cell>
          <cell r="E584" t="str">
            <v>CUST</v>
          </cell>
          <cell r="F584" t="str">
            <v>CUST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8">
          <cell r="B588" t="str">
            <v>CUST</v>
          </cell>
          <cell r="C588" t="str">
            <v>CUST</v>
          </cell>
          <cell r="D588" t="str">
            <v>CUST</v>
          </cell>
          <cell r="E588" t="str">
            <v>CUST</v>
          </cell>
          <cell r="F588" t="str">
            <v>CUST</v>
          </cell>
          <cell r="H588" t="str">
            <v>CUST</v>
          </cell>
          <cell r="I588" t="str">
            <v>CUST</v>
          </cell>
          <cell r="J588" t="str">
            <v>CUST</v>
          </cell>
          <cell r="K588" t="str">
            <v>CUST</v>
          </cell>
          <cell r="L588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3">
          <cell r="B593" t="str">
            <v>CUST</v>
          </cell>
          <cell r="C593" t="str">
            <v>CUST</v>
          </cell>
          <cell r="D593" t="str">
            <v>CUST</v>
          </cell>
          <cell r="E593" t="str">
            <v>CUST</v>
          </cell>
          <cell r="F593" t="str">
            <v>CUST</v>
          </cell>
          <cell r="H593" t="str">
            <v>CUST</v>
          </cell>
          <cell r="I593" t="str">
            <v>CUST</v>
          </cell>
          <cell r="J593" t="str">
            <v>CUST</v>
          </cell>
          <cell r="K593" t="str">
            <v>CUST</v>
          </cell>
          <cell r="L593" t="str">
            <v>CUST</v>
          </cell>
        </row>
        <row r="594">
          <cell r="B594" t="str">
            <v>P</v>
          </cell>
          <cell r="C594" t="str">
            <v>P</v>
          </cell>
          <cell r="D594" t="str">
            <v>P</v>
          </cell>
          <cell r="E594" t="str">
            <v>P</v>
          </cell>
          <cell r="F594" t="str">
            <v>CUST</v>
          </cell>
          <cell r="H594" t="str">
            <v>CUST</v>
          </cell>
          <cell r="I594" t="str">
            <v>CUST</v>
          </cell>
          <cell r="J594" t="str">
            <v>CUST</v>
          </cell>
          <cell r="K594" t="str">
            <v>CUST</v>
          </cell>
          <cell r="L594" t="str">
            <v>CUST</v>
          </cell>
        </row>
        <row r="595">
          <cell r="B595" t="str">
            <v>CUST</v>
          </cell>
          <cell r="C595" t="str">
            <v>CUST</v>
          </cell>
          <cell r="D595" t="str">
            <v>CUST</v>
          </cell>
          <cell r="E595" t="str">
            <v>CUST</v>
          </cell>
          <cell r="F595" t="str">
            <v>CUST</v>
          </cell>
          <cell r="H595" t="str">
            <v>CUST</v>
          </cell>
          <cell r="I595" t="str">
            <v>CUST</v>
          </cell>
          <cell r="J595" t="str">
            <v>CUST</v>
          </cell>
          <cell r="K595" t="str">
            <v>CUST</v>
          </cell>
          <cell r="L595" t="str">
            <v>CUST</v>
          </cell>
        </row>
        <row r="599">
          <cell r="B599" t="str">
            <v>CUST</v>
          </cell>
          <cell r="C599" t="str">
            <v>CUST</v>
          </cell>
          <cell r="D599" t="str">
            <v>CUST</v>
          </cell>
          <cell r="E599" t="str">
            <v>CUST</v>
          </cell>
          <cell r="F599" t="str">
            <v>CUST</v>
          </cell>
          <cell r="H599" t="str">
            <v>CUST</v>
          </cell>
          <cell r="I599" t="str">
            <v>CUST</v>
          </cell>
          <cell r="J599" t="str">
            <v>CUST</v>
          </cell>
          <cell r="K599" t="str">
            <v>CUST</v>
          </cell>
          <cell r="L599" t="str">
            <v>CUST</v>
          </cell>
        </row>
        <row r="600">
          <cell r="B600" t="str">
            <v>CUST</v>
          </cell>
          <cell r="C600" t="str">
            <v>CUST</v>
          </cell>
          <cell r="D600" t="str">
            <v>CUST</v>
          </cell>
          <cell r="E600" t="str">
            <v>CUST</v>
          </cell>
          <cell r="F600" t="str">
            <v>CUST</v>
          </cell>
          <cell r="H600" t="str">
            <v>CUST</v>
          </cell>
          <cell r="I600" t="str">
            <v>CUST</v>
          </cell>
          <cell r="J600" t="str">
            <v>CUST</v>
          </cell>
          <cell r="K600" t="str">
            <v>CUST</v>
          </cell>
          <cell r="L600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CSDSM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CSDSM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6">
          <cell r="B616" t="str">
            <v>CUST</v>
          </cell>
          <cell r="C616" t="str">
            <v>CUST</v>
          </cell>
          <cell r="D616" t="str">
            <v>CUST</v>
          </cell>
          <cell r="E616" t="str">
            <v>CUST</v>
          </cell>
          <cell r="F616" t="str">
            <v>CUST</v>
          </cell>
          <cell r="H616" t="str">
            <v>CUST</v>
          </cell>
          <cell r="I616" t="str">
            <v>CUST</v>
          </cell>
          <cell r="J616" t="str">
            <v>CUST</v>
          </cell>
          <cell r="K616" t="str">
            <v>CUST</v>
          </cell>
          <cell r="L616" t="str">
            <v>CUST</v>
          </cell>
        </row>
        <row r="617">
          <cell r="B617" t="str">
            <v>CUST</v>
          </cell>
          <cell r="C617" t="str">
            <v>CUST</v>
          </cell>
          <cell r="D617" t="str">
            <v>CUST</v>
          </cell>
          <cell r="E617" t="str">
            <v>CUST</v>
          </cell>
          <cell r="F617" t="str">
            <v>CUST</v>
          </cell>
          <cell r="H617" t="str">
            <v>CUST</v>
          </cell>
          <cell r="I617" t="str">
            <v>CUST</v>
          </cell>
          <cell r="J617" t="str">
            <v>CUST</v>
          </cell>
          <cell r="K617" t="str">
            <v>CUST</v>
          </cell>
          <cell r="L617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22">
          <cell r="B622" t="str">
            <v>CUST</v>
          </cell>
          <cell r="C622" t="str">
            <v>CUST</v>
          </cell>
          <cell r="D622" t="str">
            <v>CUST</v>
          </cell>
          <cell r="E622" t="str">
            <v>CUST</v>
          </cell>
          <cell r="F622" t="str">
            <v>CUST</v>
          </cell>
          <cell r="H622" t="str">
            <v>CUST</v>
          </cell>
          <cell r="I622" t="str">
            <v>CUST</v>
          </cell>
          <cell r="J622" t="str">
            <v>CUST</v>
          </cell>
          <cell r="K622" t="str">
            <v>CUST</v>
          </cell>
          <cell r="L622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0">
          <cell r="B630" t="str">
            <v>CUST</v>
          </cell>
          <cell r="C630" t="str">
            <v>CUST</v>
          </cell>
          <cell r="D630" t="str">
            <v>CUST</v>
          </cell>
          <cell r="E630" t="str">
            <v>CUST</v>
          </cell>
          <cell r="F630" t="str">
            <v>CUST</v>
          </cell>
          <cell r="H630" t="str">
            <v>CUST</v>
          </cell>
          <cell r="I630" t="str">
            <v>CUST</v>
          </cell>
          <cell r="J630" t="str">
            <v>CUST</v>
          </cell>
          <cell r="K630" t="str">
            <v>CUST</v>
          </cell>
          <cell r="L630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35">
          <cell r="B635" t="str">
            <v>CUST</v>
          </cell>
          <cell r="C635" t="str">
            <v>CUST</v>
          </cell>
          <cell r="D635" t="str">
            <v>CUST</v>
          </cell>
          <cell r="E635" t="str">
            <v>CUST</v>
          </cell>
          <cell r="F635" t="str">
            <v>CUST</v>
          </cell>
          <cell r="H635" t="str">
            <v>CUST</v>
          </cell>
          <cell r="I635" t="str">
            <v>CUST</v>
          </cell>
          <cell r="J635" t="str">
            <v>CUST</v>
          </cell>
          <cell r="K635" t="str">
            <v>CUST</v>
          </cell>
          <cell r="L635" t="str">
            <v>CUST</v>
          </cell>
        </row>
        <row r="639">
          <cell r="B639" t="str">
            <v>CUST</v>
          </cell>
          <cell r="C639" t="str">
            <v>CUST</v>
          </cell>
          <cell r="D639" t="str">
            <v>CUST</v>
          </cell>
          <cell r="E639" t="str">
            <v>CUST</v>
          </cell>
          <cell r="F639" t="str">
            <v>CUST</v>
          </cell>
          <cell r="H639" t="str">
            <v>CUST</v>
          </cell>
          <cell r="I639" t="str">
            <v>CUST</v>
          </cell>
          <cell r="J639" t="str">
            <v>CUST</v>
          </cell>
          <cell r="K639" t="str">
            <v>CUST</v>
          </cell>
          <cell r="L639" t="str">
            <v>CUST</v>
          </cell>
        </row>
        <row r="640">
          <cell r="B640" t="str">
            <v>CUST</v>
          </cell>
          <cell r="C640" t="str">
            <v>CUST</v>
          </cell>
          <cell r="D640" t="str">
            <v>CUST</v>
          </cell>
          <cell r="E640" t="str">
            <v>CUST</v>
          </cell>
          <cell r="F640" t="str">
            <v>CUST</v>
          </cell>
          <cell r="H640" t="str">
            <v>CUST</v>
          </cell>
          <cell r="I640" t="str">
            <v>CUST</v>
          </cell>
          <cell r="J640" t="str">
            <v>CUST</v>
          </cell>
          <cell r="K640" t="str">
            <v>CUST</v>
          </cell>
          <cell r="L640" t="str">
            <v>CUST</v>
          </cell>
        </row>
        <row r="644">
          <cell r="B644" t="str">
            <v>CUST</v>
          </cell>
          <cell r="C644" t="str">
            <v>CUST</v>
          </cell>
          <cell r="D644" t="str">
            <v>CUST</v>
          </cell>
          <cell r="E644" t="str">
            <v>CUST</v>
          </cell>
          <cell r="F644" t="str">
            <v>CUST</v>
          </cell>
          <cell r="H644" t="str">
            <v>CUST</v>
          </cell>
          <cell r="I644" t="str">
            <v>CUST</v>
          </cell>
          <cell r="J644" t="str">
            <v>CUST</v>
          </cell>
          <cell r="K644" t="str">
            <v>CUST</v>
          </cell>
          <cell r="L644" t="str">
            <v>CUST</v>
          </cell>
        </row>
        <row r="645">
          <cell r="B645" t="str">
            <v>CUST</v>
          </cell>
          <cell r="C645" t="str">
            <v>CUST</v>
          </cell>
          <cell r="D645" t="str">
            <v>CUST</v>
          </cell>
          <cell r="E645" t="str">
            <v>CUST</v>
          </cell>
          <cell r="F645" t="str">
            <v>CUST</v>
          </cell>
          <cell r="H645" t="str">
            <v>CUST</v>
          </cell>
          <cell r="I645" t="str">
            <v>CUST</v>
          </cell>
          <cell r="J645" t="str">
            <v>CUST</v>
          </cell>
          <cell r="K645" t="str">
            <v>CUST</v>
          </cell>
          <cell r="L645" t="str">
            <v>CUST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COMMON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3">
          <cell r="B653" t="str">
            <v>CUST</v>
          </cell>
          <cell r="C653" t="str">
            <v>CUST</v>
          </cell>
          <cell r="D653" t="str">
            <v>CUST</v>
          </cell>
          <cell r="E653" t="str">
            <v>CUST</v>
          </cell>
          <cell r="F653" t="str">
            <v>COMMON</v>
          </cell>
          <cell r="H653" t="str">
            <v>CUST</v>
          </cell>
          <cell r="I653" t="str">
            <v>CUST</v>
          </cell>
          <cell r="J653" t="str">
            <v>CUST</v>
          </cell>
          <cell r="K653" t="str">
            <v>CUST</v>
          </cell>
          <cell r="L653" t="str">
            <v>CUST</v>
          </cell>
        </row>
        <row r="654">
          <cell r="B654" t="str">
            <v>PTD</v>
          </cell>
          <cell r="C654" t="str">
            <v>PTD</v>
          </cell>
          <cell r="D654" t="str">
            <v>PTD</v>
          </cell>
          <cell r="E654" t="str">
            <v>PTD</v>
          </cell>
          <cell r="F654" t="str">
            <v>COMMON</v>
          </cell>
          <cell r="H654" t="str">
            <v>PLNT</v>
          </cell>
          <cell r="I654" t="str">
            <v>PLNT</v>
          </cell>
          <cell r="J654" t="str">
            <v>PLNT</v>
          </cell>
          <cell r="K654" t="str">
            <v>PLNT</v>
          </cell>
          <cell r="L654" t="str">
            <v>PLNT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COMMON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59">
          <cell r="B659" t="str">
            <v>CUST</v>
          </cell>
          <cell r="C659" t="str">
            <v>CUST</v>
          </cell>
          <cell r="D659" t="str">
            <v>CUST</v>
          </cell>
          <cell r="E659" t="str">
            <v>CUST</v>
          </cell>
          <cell r="F659" t="str">
            <v>COMMON</v>
          </cell>
          <cell r="H659" t="str">
            <v>CUST</v>
          </cell>
          <cell r="I659" t="str">
            <v>CUST</v>
          </cell>
          <cell r="J659" t="str">
            <v>CUST</v>
          </cell>
          <cell r="K659" t="str">
            <v>CUST</v>
          </cell>
          <cell r="L659" t="str">
            <v>CUST</v>
          </cell>
        </row>
        <row r="660">
          <cell r="B660" t="str">
            <v>PTD</v>
          </cell>
          <cell r="C660" t="str">
            <v>PTD</v>
          </cell>
          <cell r="D660" t="str">
            <v>PTD</v>
          </cell>
          <cell r="E660" t="str">
            <v>PTD</v>
          </cell>
          <cell r="F660" t="str">
            <v>COMMON</v>
          </cell>
          <cell r="H660" t="str">
            <v>PLNT</v>
          </cell>
          <cell r="I660" t="str">
            <v>PLNT</v>
          </cell>
          <cell r="J660" t="str">
            <v>PLNT</v>
          </cell>
          <cell r="K660" t="str">
            <v>PLNT</v>
          </cell>
          <cell r="L660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COMMON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COMMON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69">
          <cell r="B669" t="str">
            <v>P</v>
          </cell>
          <cell r="C669" t="str">
            <v>P</v>
          </cell>
          <cell r="D669" t="str">
            <v>P</v>
          </cell>
          <cell r="E669" t="str">
            <v>P</v>
          </cell>
          <cell r="F669" t="str">
            <v>COMMON</v>
          </cell>
          <cell r="H669" t="str">
            <v>CUST</v>
          </cell>
          <cell r="I669" t="str">
            <v>CUST</v>
          </cell>
          <cell r="J669" t="str">
            <v>CUST</v>
          </cell>
          <cell r="K669" t="str">
            <v>CUST</v>
          </cell>
          <cell r="L669" t="str">
            <v>CUST</v>
          </cell>
        </row>
        <row r="670">
          <cell r="B670" t="str">
            <v>PTD</v>
          </cell>
          <cell r="C670" t="str">
            <v>PTD</v>
          </cell>
          <cell r="D670" t="str">
            <v>PTD</v>
          </cell>
          <cell r="E670" t="str">
            <v>PTD</v>
          </cell>
          <cell r="F670" t="str">
            <v>COMMON</v>
          </cell>
          <cell r="H670" t="str">
            <v>PLNT</v>
          </cell>
          <cell r="I670" t="str">
            <v>PLNT</v>
          </cell>
          <cell r="J670" t="str">
            <v>PLNT</v>
          </cell>
          <cell r="K670" t="str">
            <v>PLNT</v>
          </cell>
          <cell r="L670" t="str">
            <v>PLNT</v>
          </cell>
        </row>
        <row r="671">
          <cell r="B671" t="str">
            <v>P</v>
          </cell>
          <cell r="C671" t="str">
            <v>P</v>
          </cell>
          <cell r="D671" t="str">
            <v>P</v>
          </cell>
          <cell r="E671" t="str">
            <v>P</v>
          </cell>
          <cell r="F671" t="str">
            <v>COMMON</v>
          </cell>
          <cell r="H671" t="str">
            <v>PLNT</v>
          </cell>
          <cell r="I671" t="str">
            <v>PLNT</v>
          </cell>
          <cell r="J671" t="str">
            <v>PLNT</v>
          </cell>
          <cell r="K671" t="str">
            <v>PLNT</v>
          </cell>
          <cell r="L671" t="str">
            <v>PLNT</v>
          </cell>
        </row>
        <row r="672">
          <cell r="B672" t="str">
            <v>P</v>
          </cell>
          <cell r="C672" t="str">
            <v>P</v>
          </cell>
          <cell r="D672" t="str">
            <v>P</v>
          </cell>
          <cell r="E672" t="str">
            <v>P</v>
          </cell>
          <cell r="F672" t="str">
            <v>COMMON</v>
          </cell>
          <cell r="H672" t="str">
            <v>PLNT</v>
          </cell>
          <cell r="I672" t="str">
            <v>PLNT</v>
          </cell>
          <cell r="J672" t="str">
            <v>PLNT</v>
          </cell>
          <cell r="K672" t="str">
            <v>PLNT</v>
          </cell>
          <cell r="L672" t="str">
            <v>PLNT</v>
          </cell>
        </row>
        <row r="676">
          <cell r="B676" t="str">
            <v>PTD</v>
          </cell>
          <cell r="C676" t="str">
            <v>PTD</v>
          </cell>
          <cell r="D676" t="str">
            <v>PTD</v>
          </cell>
          <cell r="E676" t="str">
            <v>PTD</v>
          </cell>
          <cell r="F676" t="str">
            <v>COMMON</v>
          </cell>
          <cell r="H676" t="str">
            <v>PLNT</v>
          </cell>
          <cell r="I676" t="str">
            <v>PLNT</v>
          </cell>
          <cell r="J676" t="str">
            <v>PLNT</v>
          </cell>
          <cell r="K676" t="str">
            <v>PLNT</v>
          </cell>
          <cell r="L676" t="str">
            <v>PLNT</v>
          </cell>
        </row>
        <row r="680">
          <cell r="B680" t="str">
            <v>PTD</v>
          </cell>
          <cell r="C680" t="str">
            <v>PTD</v>
          </cell>
          <cell r="D680" t="str">
            <v>PTD</v>
          </cell>
          <cell r="E680" t="str">
            <v>PTD</v>
          </cell>
          <cell r="F680" t="str">
            <v>COMMON</v>
          </cell>
          <cell r="H680" t="str">
            <v>PLNT</v>
          </cell>
          <cell r="I680" t="str">
            <v>PLNT</v>
          </cell>
          <cell r="J680" t="str">
            <v>PLNT</v>
          </cell>
          <cell r="K680" t="str">
            <v>PLNT</v>
          </cell>
          <cell r="L680" t="str">
            <v>PLNT</v>
          </cell>
        </row>
        <row r="681">
          <cell r="B681" t="str">
            <v>PTD</v>
          </cell>
          <cell r="C681" t="str">
            <v>PTD</v>
          </cell>
          <cell r="D681" t="str">
            <v>PTD</v>
          </cell>
          <cell r="E681" t="str">
            <v>PTD</v>
          </cell>
          <cell r="F681" t="str">
            <v>COMMON</v>
          </cell>
          <cell r="H681" t="str">
            <v>PLNT</v>
          </cell>
          <cell r="I681" t="str">
            <v>PLNT</v>
          </cell>
          <cell r="J681" t="str">
            <v>PLNT</v>
          </cell>
          <cell r="K681" t="str">
            <v>PLNT</v>
          </cell>
          <cell r="L681" t="str">
            <v>PLNT</v>
          </cell>
        </row>
        <row r="685">
          <cell r="B685" t="str">
            <v>LABOR</v>
          </cell>
          <cell r="C685" t="str">
            <v>LABOR</v>
          </cell>
          <cell r="D685" t="str">
            <v>LABOR</v>
          </cell>
          <cell r="E685" t="str">
            <v>LABOR</v>
          </cell>
          <cell r="F685" t="str">
            <v>COMMON</v>
          </cell>
          <cell r="H685" t="str">
            <v>DISom</v>
          </cell>
          <cell r="I685" t="str">
            <v>DISom</v>
          </cell>
          <cell r="J685" t="str">
            <v>DISom</v>
          </cell>
          <cell r="K685" t="str">
            <v>DISom</v>
          </cell>
          <cell r="L685" t="str">
            <v>DISom</v>
          </cell>
        </row>
        <row r="686">
          <cell r="B686" t="str">
            <v>CUST</v>
          </cell>
          <cell r="C686" t="str">
            <v>CUST</v>
          </cell>
          <cell r="D686" t="str">
            <v>CUST</v>
          </cell>
          <cell r="E686" t="str">
            <v>CUST</v>
          </cell>
          <cell r="F686" t="str">
            <v>COMMON</v>
          </cell>
          <cell r="H686" t="str">
            <v>CUST</v>
          </cell>
          <cell r="I686" t="str">
            <v>CUST</v>
          </cell>
          <cell r="J686" t="str">
            <v>CUST</v>
          </cell>
          <cell r="K686" t="str">
            <v>CUST</v>
          </cell>
          <cell r="L686" t="str">
            <v>CUST</v>
          </cell>
        </row>
        <row r="687">
          <cell r="B687" t="str">
            <v>LABOR</v>
          </cell>
          <cell r="C687" t="str">
            <v>LABOR</v>
          </cell>
          <cell r="D687" t="str">
            <v>LABOR</v>
          </cell>
          <cell r="E687" t="str">
            <v>LABOR</v>
          </cell>
          <cell r="F687" t="str">
            <v>COMMON</v>
          </cell>
          <cell r="H687" t="str">
            <v>DISom</v>
          </cell>
          <cell r="I687" t="str">
            <v>DISom</v>
          </cell>
          <cell r="J687" t="str">
            <v>DISom</v>
          </cell>
          <cell r="K687" t="str">
            <v>DISom</v>
          </cell>
          <cell r="L687" t="str">
            <v>DISom</v>
          </cell>
        </row>
        <row r="691">
          <cell r="B691" t="str">
            <v>COMMON</v>
          </cell>
          <cell r="C691" t="str">
            <v>COMMON</v>
          </cell>
          <cell r="D691" t="str">
            <v>COMMON</v>
          </cell>
          <cell r="E691" t="str">
            <v>COMMON</v>
          </cell>
          <cell r="F691" t="str">
            <v>COMMON</v>
          </cell>
          <cell r="H691" t="str">
            <v>MISC</v>
          </cell>
          <cell r="I691" t="str">
            <v>MISC</v>
          </cell>
          <cell r="J691" t="str">
            <v>MISC</v>
          </cell>
          <cell r="K691" t="str">
            <v>MISC</v>
          </cell>
          <cell r="L691" t="str">
            <v>MISC</v>
          </cell>
        </row>
        <row r="692">
          <cell r="B692" t="str">
            <v>COMMON</v>
          </cell>
          <cell r="C692" t="str">
            <v>COMMON</v>
          </cell>
          <cell r="D692" t="str">
            <v>COMMON</v>
          </cell>
          <cell r="E692" t="str">
            <v>COMMON</v>
          </cell>
          <cell r="F692" t="str">
            <v>COMMON</v>
          </cell>
          <cell r="H692" t="str">
            <v>MISC</v>
          </cell>
          <cell r="I692" t="str">
            <v>MISC</v>
          </cell>
          <cell r="J692" t="str">
            <v>MISC</v>
          </cell>
          <cell r="K692" t="str">
            <v>MISC</v>
          </cell>
          <cell r="L692" t="str">
            <v>MISC</v>
          </cell>
        </row>
        <row r="696">
          <cell r="B696" t="str">
            <v>COMMON</v>
          </cell>
          <cell r="C696" t="str">
            <v>COMMON</v>
          </cell>
          <cell r="D696" t="str">
            <v>COMMON</v>
          </cell>
          <cell r="E696" t="str">
            <v>COMMON</v>
          </cell>
          <cell r="F696" t="str">
            <v>COMMON</v>
          </cell>
          <cell r="H696" t="str">
            <v>MISC</v>
          </cell>
          <cell r="I696" t="str">
            <v>MISC</v>
          </cell>
          <cell r="J696" t="str">
            <v>MISC</v>
          </cell>
          <cell r="K696" t="str">
            <v>MISC</v>
          </cell>
          <cell r="L696" t="str">
            <v>MISC</v>
          </cell>
        </row>
        <row r="697">
          <cell r="B697" t="str">
            <v>COMMON</v>
          </cell>
          <cell r="C697" t="str">
            <v>COMMON</v>
          </cell>
          <cell r="D697" t="str">
            <v>COMMON</v>
          </cell>
          <cell r="E697" t="str">
            <v>COMMON</v>
          </cell>
          <cell r="F697" t="str">
            <v>COMMON</v>
          </cell>
          <cell r="H697" t="str">
            <v>MISC</v>
          </cell>
          <cell r="I697" t="str">
            <v>MISC</v>
          </cell>
          <cell r="J697" t="str">
            <v>MISC</v>
          </cell>
          <cell r="K697" t="str">
            <v>MISC</v>
          </cell>
          <cell r="L697" t="str">
            <v>MISC</v>
          </cell>
        </row>
        <row r="698">
          <cell r="B698" t="str">
            <v>FERC</v>
          </cell>
          <cell r="C698" t="str">
            <v>FERC</v>
          </cell>
          <cell r="D698" t="str">
            <v>FERC</v>
          </cell>
          <cell r="E698" t="str">
            <v>FERC</v>
          </cell>
          <cell r="F698" t="str">
            <v>COMMON</v>
          </cell>
          <cell r="H698" t="str">
            <v>MISC</v>
          </cell>
          <cell r="I698" t="str">
            <v>MISC</v>
          </cell>
          <cell r="J698" t="str">
            <v>MISC</v>
          </cell>
          <cell r="K698" t="str">
            <v>MISC</v>
          </cell>
          <cell r="L698" t="str">
            <v>MISC</v>
          </cell>
        </row>
        <row r="699">
          <cell r="B699" t="str">
            <v>FERC</v>
          </cell>
          <cell r="C699" t="str">
            <v>FERC</v>
          </cell>
          <cell r="D699" t="str">
            <v>FERC</v>
          </cell>
          <cell r="E699" t="str">
            <v>FERC</v>
          </cell>
          <cell r="F699" t="str">
            <v>COMMON</v>
          </cell>
          <cell r="H699" t="str">
            <v>MISC</v>
          </cell>
          <cell r="I699" t="str">
            <v>MISC</v>
          </cell>
          <cell r="J699" t="str">
            <v>MISC</v>
          </cell>
          <cell r="K699" t="str">
            <v>MISC</v>
          </cell>
          <cell r="L699" t="str">
            <v>MISC</v>
          </cell>
        </row>
        <row r="703">
          <cell r="B703" t="str">
            <v>LABOR</v>
          </cell>
          <cell r="C703" t="str">
            <v>LABOR</v>
          </cell>
          <cell r="D703" t="str">
            <v>LABOR</v>
          </cell>
          <cell r="E703" t="str">
            <v>LABOR</v>
          </cell>
          <cell r="F703" t="str">
            <v>COMMON</v>
          </cell>
          <cell r="H703" t="str">
            <v>DISom</v>
          </cell>
          <cell r="I703" t="str">
            <v>DISom</v>
          </cell>
          <cell r="J703" t="str">
            <v>DISom</v>
          </cell>
          <cell r="K703" t="str">
            <v>DISom</v>
          </cell>
          <cell r="L703" t="str">
            <v>DISom</v>
          </cell>
        </row>
        <row r="704">
          <cell r="B704" t="str">
            <v>LABOR</v>
          </cell>
          <cell r="C704" t="str">
            <v>LABOR</v>
          </cell>
          <cell r="D704" t="str">
            <v>LABOR</v>
          </cell>
          <cell r="E704" t="str">
            <v>LABOR</v>
          </cell>
          <cell r="F704" t="str">
            <v>COMMON</v>
          </cell>
          <cell r="H704" t="str">
            <v>DISom</v>
          </cell>
          <cell r="I704" t="str">
            <v>DISom</v>
          </cell>
          <cell r="J704" t="str">
            <v>DISom</v>
          </cell>
          <cell r="K704" t="str">
            <v>DISom</v>
          </cell>
          <cell r="L704" t="str">
            <v>DISom</v>
          </cell>
        </row>
        <row r="705">
          <cell r="B705" t="str">
            <v>LABOR</v>
          </cell>
          <cell r="C705" t="str">
            <v>LABOR</v>
          </cell>
          <cell r="D705" t="str">
            <v>LABOR</v>
          </cell>
          <cell r="E705" t="str">
            <v>LABOR</v>
          </cell>
          <cell r="F705" t="str">
            <v>COMMON</v>
          </cell>
          <cell r="H705" t="str">
            <v>DISom</v>
          </cell>
          <cell r="I705" t="str">
            <v>DISom</v>
          </cell>
          <cell r="J705" t="str">
            <v>DISom</v>
          </cell>
          <cell r="K705" t="str">
            <v>DISom</v>
          </cell>
          <cell r="L705" t="str">
            <v>DISom</v>
          </cell>
        </row>
        <row r="706">
          <cell r="B706" t="str">
            <v>LABOR</v>
          </cell>
          <cell r="C706" t="str">
            <v>LABOR</v>
          </cell>
          <cell r="D706" t="str">
            <v>LABOR</v>
          </cell>
          <cell r="E706" t="str">
            <v>LABOR</v>
          </cell>
          <cell r="F706" t="str">
            <v>COMMON</v>
          </cell>
          <cell r="H706" t="str">
            <v>DISom</v>
          </cell>
          <cell r="I706" t="str">
            <v>DISom</v>
          </cell>
          <cell r="J706" t="str">
            <v>DISom</v>
          </cell>
          <cell r="K706" t="str">
            <v>DISom</v>
          </cell>
          <cell r="L706" t="str">
            <v>DISom</v>
          </cell>
        </row>
        <row r="707">
          <cell r="B707" t="str">
            <v>LABOR</v>
          </cell>
          <cell r="C707" t="str">
            <v>LABOR</v>
          </cell>
          <cell r="D707" t="str">
            <v>LABOR</v>
          </cell>
          <cell r="E707" t="str">
            <v>LABOR</v>
          </cell>
          <cell r="F707" t="str">
            <v>COMMON</v>
          </cell>
          <cell r="H707" t="str">
            <v>DISom</v>
          </cell>
          <cell r="I707" t="str">
            <v>DISom</v>
          </cell>
          <cell r="J707" t="str">
            <v>DISom</v>
          </cell>
          <cell r="K707" t="str">
            <v>DISom</v>
          </cell>
          <cell r="L707" t="str">
            <v>DISom</v>
          </cell>
        </row>
        <row r="708">
          <cell r="B708" t="str">
            <v>LABOR</v>
          </cell>
          <cell r="C708" t="str">
            <v>LABOR</v>
          </cell>
          <cell r="D708" t="str">
            <v>LABOR</v>
          </cell>
          <cell r="E708" t="str">
            <v>LABOR</v>
          </cell>
          <cell r="F708" t="str">
            <v>COMMON</v>
          </cell>
          <cell r="H708" t="str">
            <v>DISom</v>
          </cell>
          <cell r="I708" t="str">
            <v>DISom</v>
          </cell>
          <cell r="J708" t="str">
            <v>DISom</v>
          </cell>
          <cell r="K708" t="str">
            <v>DISom</v>
          </cell>
          <cell r="L708" t="str">
            <v>DISom</v>
          </cell>
        </row>
        <row r="712">
          <cell r="B712" t="str">
            <v>PTD</v>
          </cell>
          <cell r="C712" t="str">
            <v>PTD</v>
          </cell>
          <cell r="D712" t="str">
            <v>PTD</v>
          </cell>
          <cell r="E712" t="str">
            <v>PTD</v>
          </cell>
          <cell r="F712" t="str">
            <v>COMMON</v>
          </cell>
          <cell r="H712" t="str">
            <v>PLNT</v>
          </cell>
          <cell r="I712" t="str">
            <v>PLNT</v>
          </cell>
          <cell r="J712" t="str">
            <v>PLNT</v>
          </cell>
          <cell r="K712" t="str">
            <v>PLNT</v>
          </cell>
          <cell r="L712" t="str">
            <v>PLNT</v>
          </cell>
        </row>
        <row r="713">
          <cell r="B713" t="str">
            <v>CUST</v>
          </cell>
          <cell r="C713" t="str">
            <v>CUST</v>
          </cell>
          <cell r="D713" t="str">
            <v>CUST</v>
          </cell>
          <cell r="E713" t="str">
            <v>CUST</v>
          </cell>
          <cell r="F713" t="str">
            <v>COMMON</v>
          </cell>
          <cell r="H713" t="str">
            <v>CUST</v>
          </cell>
          <cell r="I713" t="str">
            <v>CUST</v>
          </cell>
          <cell r="J713" t="str">
            <v>CUST</v>
          </cell>
          <cell r="K713" t="str">
            <v>CUST</v>
          </cell>
          <cell r="L713" t="str">
            <v>CUST</v>
          </cell>
        </row>
        <row r="714">
          <cell r="B714" t="str">
            <v>LABOR</v>
          </cell>
          <cell r="C714" t="str">
            <v>LABOR</v>
          </cell>
          <cell r="D714" t="str">
            <v>LABOR</v>
          </cell>
          <cell r="E714" t="str">
            <v>LABOR</v>
          </cell>
          <cell r="F714" t="str">
            <v>COMMON</v>
          </cell>
          <cell r="H714" t="str">
            <v>DISom</v>
          </cell>
          <cell r="I714" t="str">
            <v>DISom</v>
          </cell>
          <cell r="J714" t="str">
            <v>DISom</v>
          </cell>
          <cell r="K714" t="str">
            <v>DISom</v>
          </cell>
          <cell r="L714" t="str">
            <v>DISom</v>
          </cell>
        </row>
        <row r="715">
          <cell r="B715" t="str">
            <v>LABOR</v>
          </cell>
          <cell r="C715" t="str">
            <v>LABOR</v>
          </cell>
          <cell r="D715" t="str">
            <v>LABOR</v>
          </cell>
          <cell r="E715" t="str">
            <v>LABOR</v>
          </cell>
          <cell r="F715" t="str">
            <v>COMMON</v>
          </cell>
          <cell r="H715" t="str">
            <v>DISom</v>
          </cell>
          <cell r="I715" t="str">
            <v>DISom</v>
          </cell>
          <cell r="J715" t="str">
            <v>DISom</v>
          </cell>
          <cell r="K715" t="str">
            <v>DISom</v>
          </cell>
          <cell r="L715" t="str">
            <v>DISom</v>
          </cell>
        </row>
        <row r="716">
          <cell r="B716" t="str">
            <v>CUST</v>
          </cell>
          <cell r="C716" t="str">
            <v>CUST</v>
          </cell>
          <cell r="D716" t="str">
            <v>CUST</v>
          </cell>
          <cell r="E716" t="str">
            <v>CUST</v>
          </cell>
          <cell r="F716" t="str">
            <v>COMMON</v>
          </cell>
          <cell r="H716" t="str">
            <v>CUST</v>
          </cell>
          <cell r="I716" t="str">
            <v>CUST</v>
          </cell>
          <cell r="J716" t="str">
            <v>CUST</v>
          </cell>
          <cell r="K716" t="str">
            <v>CUST</v>
          </cell>
          <cell r="L716" t="str">
            <v>CUST</v>
          </cell>
        </row>
        <row r="720">
          <cell r="B720" t="str">
            <v>PTD</v>
          </cell>
          <cell r="C720" t="str">
            <v>PTD</v>
          </cell>
          <cell r="D720" t="str">
            <v>PTD</v>
          </cell>
          <cell r="E720" t="str">
            <v>PTD</v>
          </cell>
          <cell r="F720" t="str">
            <v>COMMON</v>
          </cell>
          <cell r="H720" t="str">
            <v>PLNT</v>
          </cell>
          <cell r="I720" t="str">
            <v>PLNT</v>
          </cell>
          <cell r="J720" t="str">
            <v>PLNT</v>
          </cell>
          <cell r="K720" t="str">
            <v>PLNT</v>
          </cell>
          <cell r="L720" t="str">
            <v>PLNT</v>
          </cell>
        </row>
        <row r="721">
          <cell r="B721" t="str">
            <v>PTD</v>
          </cell>
          <cell r="C721" t="str">
            <v>PTD</v>
          </cell>
          <cell r="D721" t="str">
            <v>PTD</v>
          </cell>
          <cell r="E721" t="str">
            <v>PTD</v>
          </cell>
          <cell r="F721" t="str">
            <v>COMMON</v>
          </cell>
          <cell r="H721" t="str">
            <v>PLNT</v>
          </cell>
          <cell r="I721" t="str">
            <v>PLNT</v>
          </cell>
          <cell r="J721" t="str">
            <v>PLNT</v>
          </cell>
          <cell r="K721" t="str">
            <v>PLNT</v>
          </cell>
          <cell r="L721" t="str">
            <v>PLNT</v>
          </cell>
        </row>
        <row r="725">
          <cell r="B725" t="str">
            <v>G</v>
          </cell>
          <cell r="C725" t="str">
            <v>G</v>
          </cell>
          <cell r="D725" t="str">
            <v>G</v>
          </cell>
          <cell r="E725" t="str">
            <v>G</v>
          </cell>
          <cell r="F725" t="str">
            <v>COMMON</v>
          </cell>
          <cell r="H725" t="str">
            <v>GENL</v>
          </cell>
          <cell r="I725" t="str">
            <v>GENL</v>
          </cell>
          <cell r="J725" t="str">
            <v>GENL</v>
          </cell>
          <cell r="K725" t="str">
            <v>GENL</v>
          </cell>
          <cell r="L725" t="str">
            <v>GENL</v>
          </cell>
        </row>
        <row r="726">
          <cell r="B726" t="str">
            <v>CUST</v>
          </cell>
          <cell r="C726" t="str">
            <v>CUST</v>
          </cell>
          <cell r="D726" t="str">
            <v>CUST</v>
          </cell>
          <cell r="E726" t="str">
            <v>CUST</v>
          </cell>
          <cell r="F726" t="str">
            <v>COMMON</v>
          </cell>
          <cell r="H726" t="str">
            <v>CUST</v>
          </cell>
          <cell r="I726" t="str">
            <v>CUST</v>
          </cell>
          <cell r="J726" t="str">
            <v>CUST</v>
          </cell>
          <cell r="K726" t="str">
            <v>CUST</v>
          </cell>
          <cell r="L726" t="str">
            <v>CUST</v>
          </cell>
        </row>
        <row r="727">
          <cell r="B727" t="str">
            <v>G</v>
          </cell>
          <cell r="C727" t="str">
            <v>G</v>
          </cell>
          <cell r="D727" t="str">
            <v>G</v>
          </cell>
          <cell r="E727" t="str">
            <v>G</v>
          </cell>
          <cell r="F727" t="str">
            <v>COMMON</v>
          </cell>
          <cell r="H727" t="str">
            <v>GENL</v>
          </cell>
          <cell r="I727" t="str">
            <v>GENL</v>
          </cell>
          <cell r="J727" t="str">
            <v>GENL</v>
          </cell>
          <cell r="K727" t="str">
            <v>GENL</v>
          </cell>
          <cell r="L727" t="str">
            <v>GENL</v>
          </cell>
        </row>
        <row r="736">
          <cell r="B736" t="str">
            <v>P</v>
          </cell>
          <cell r="C736" t="str">
            <v>P</v>
          </cell>
          <cell r="D736" t="str">
            <v>P</v>
          </cell>
          <cell r="E736" t="str">
            <v>P</v>
          </cell>
          <cell r="F736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P</v>
          </cell>
          <cell r="C744" t="str">
            <v>P</v>
          </cell>
          <cell r="D744" t="str">
            <v>P</v>
          </cell>
          <cell r="E744" t="str">
            <v>P</v>
          </cell>
          <cell r="F744" t="str">
            <v>P</v>
          </cell>
        </row>
        <row r="748">
          <cell r="B748" t="str">
            <v>P</v>
          </cell>
          <cell r="C748" t="str">
            <v>P</v>
          </cell>
          <cell r="D748" t="str">
            <v>P</v>
          </cell>
          <cell r="E748" t="str">
            <v>P</v>
          </cell>
          <cell r="F748" t="str">
            <v>P</v>
          </cell>
        </row>
        <row r="749">
          <cell r="B749" t="str">
            <v>P</v>
          </cell>
          <cell r="C749" t="str">
            <v>P</v>
          </cell>
          <cell r="D749" t="str">
            <v>P</v>
          </cell>
          <cell r="E749" t="str">
            <v>P</v>
          </cell>
          <cell r="F749" t="str">
            <v>P</v>
          </cell>
        </row>
        <row r="750">
          <cell r="B750" t="str">
            <v>P</v>
          </cell>
          <cell r="C750" t="str">
            <v>P</v>
          </cell>
          <cell r="D750" t="str">
            <v>P</v>
          </cell>
          <cell r="E750" t="str">
            <v>P</v>
          </cell>
          <cell r="F750" t="str">
            <v>P</v>
          </cell>
        </row>
        <row r="751">
          <cell r="B751" t="str">
            <v>P</v>
          </cell>
          <cell r="C751" t="str">
            <v>P</v>
          </cell>
          <cell r="D751" t="str">
            <v>P</v>
          </cell>
          <cell r="E751" t="str">
            <v>P</v>
          </cell>
          <cell r="F751" t="str">
            <v>P</v>
          </cell>
        </row>
        <row r="755">
          <cell r="B755" t="str">
            <v>P</v>
          </cell>
          <cell r="C755" t="str">
            <v>P</v>
          </cell>
          <cell r="D755" t="str">
            <v>P</v>
          </cell>
          <cell r="E755" t="str">
            <v>P</v>
          </cell>
          <cell r="F755" t="str">
            <v>P</v>
          </cell>
        </row>
        <row r="756">
          <cell r="B756" t="str">
            <v>P</v>
          </cell>
          <cell r="C756" t="str">
            <v>P</v>
          </cell>
          <cell r="D756" t="str">
            <v>P</v>
          </cell>
          <cell r="E756" t="str">
            <v>P</v>
          </cell>
          <cell r="F756" t="str">
            <v>P</v>
          </cell>
        </row>
        <row r="757">
          <cell r="B757" t="str">
            <v>P</v>
          </cell>
          <cell r="C757" t="str">
            <v>P</v>
          </cell>
          <cell r="D757" t="str">
            <v>P</v>
          </cell>
          <cell r="E757" t="str">
            <v>P</v>
          </cell>
          <cell r="F757" t="str">
            <v>P</v>
          </cell>
        </row>
        <row r="758">
          <cell r="B758" t="str">
            <v>P</v>
          </cell>
          <cell r="C758" t="str">
            <v>P</v>
          </cell>
          <cell r="D758" t="str">
            <v>P</v>
          </cell>
          <cell r="E758" t="str">
            <v>P</v>
          </cell>
          <cell r="F758" t="str">
            <v>P</v>
          </cell>
        </row>
        <row r="759">
          <cell r="B759" t="str">
            <v>P</v>
          </cell>
          <cell r="C759" t="str">
            <v>P</v>
          </cell>
          <cell r="D759" t="str">
            <v>P</v>
          </cell>
          <cell r="E759" t="str">
            <v>P</v>
          </cell>
          <cell r="F759" t="str">
            <v>P</v>
          </cell>
        </row>
        <row r="763">
          <cell r="B763" t="str">
            <v>T</v>
          </cell>
          <cell r="C763" t="str">
            <v>T</v>
          </cell>
          <cell r="D763" t="str">
            <v>T</v>
          </cell>
          <cell r="E763" t="str">
            <v>T</v>
          </cell>
          <cell r="F763" t="str">
            <v>T</v>
          </cell>
        </row>
        <row r="764">
          <cell r="B764" t="str">
            <v>T</v>
          </cell>
          <cell r="C764" t="str">
            <v>T</v>
          </cell>
          <cell r="D764" t="str">
            <v>T</v>
          </cell>
          <cell r="E764" t="str">
            <v>T</v>
          </cell>
          <cell r="F764" t="str">
            <v>T</v>
          </cell>
        </row>
        <row r="765">
          <cell r="B765" t="str">
            <v>T</v>
          </cell>
          <cell r="C765" t="str">
            <v>T</v>
          </cell>
          <cell r="D765" t="str">
            <v>T</v>
          </cell>
          <cell r="E765" t="str">
            <v>T</v>
          </cell>
          <cell r="F765" t="str">
            <v>T</v>
          </cell>
        </row>
        <row r="766">
          <cell r="B766" t="str">
            <v>T</v>
          </cell>
          <cell r="C766" t="str">
            <v>T</v>
          </cell>
          <cell r="D766" t="str">
            <v>T</v>
          </cell>
          <cell r="E766" t="str">
            <v>T</v>
          </cell>
          <cell r="F766" t="str">
            <v>T</v>
          </cell>
        </row>
        <row r="770">
          <cell r="B770" t="str">
            <v>DPW</v>
          </cell>
          <cell r="C770" t="str">
            <v>DPW</v>
          </cell>
          <cell r="D770" t="str">
            <v>DPW</v>
          </cell>
          <cell r="E770" t="str">
            <v>DPW</v>
          </cell>
          <cell r="F770" t="str">
            <v>DPW</v>
          </cell>
          <cell r="H770" t="str">
            <v>PLNT2</v>
          </cell>
          <cell r="I770" t="str">
            <v>PLNT2</v>
          </cell>
          <cell r="J770" t="str">
            <v>PLNT2</v>
          </cell>
          <cell r="K770" t="str">
            <v>PLNT2</v>
          </cell>
          <cell r="L770" t="str">
            <v>PLNT2</v>
          </cell>
        </row>
        <row r="771">
          <cell r="B771" t="str">
            <v>DPW</v>
          </cell>
          <cell r="C771" t="str">
            <v>DPW</v>
          </cell>
          <cell r="D771" t="str">
            <v>DPW</v>
          </cell>
          <cell r="E771" t="str">
            <v>DPW</v>
          </cell>
          <cell r="F771" t="str">
            <v>DPW</v>
          </cell>
          <cell r="H771" t="str">
            <v>PLNT2</v>
          </cell>
          <cell r="I771" t="str">
            <v>PLNT2</v>
          </cell>
          <cell r="J771" t="str">
            <v>PLNT2</v>
          </cell>
          <cell r="K771" t="str">
            <v>PLNT2</v>
          </cell>
          <cell r="L771" t="str">
            <v>PLNT2</v>
          </cell>
        </row>
        <row r="772">
          <cell r="B772" t="str">
            <v>DPW</v>
          </cell>
          <cell r="C772" t="str">
            <v>DPW</v>
          </cell>
          <cell r="D772" t="str">
            <v>DPW</v>
          </cell>
          <cell r="E772" t="str">
            <v>DPW</v>
          </cell>
          <cell r="F772" t="str">
            <v>DPW</v>
          </cell>
          <cell r="H772" t="str">
            <v>SUBS</v>
          </cell>
          <cell r="I772" t="str">
            <v>SUBS</v>
          </cell>
          <cell r="J772" t="str">
            <v>SUBS</v>
          </cell>
          <cell r="K772" t="str">
            <v>SUBS</v>
          </cell>
          <cell r="L772" t="str">
            <v>SUBS</v>
          </cell>
        </row>
        <row r="773">
          <cell r="B773" t="str">
            <v>DPW</v>
          </cell>
          <cell r="C773" t="str">
            <v>DPW</v>
          </cell>
          <cell r="D773" t="str">
            <v>DPW</v>
          </cell>
          <cell r="E773" t="str">
            <v>DPW</v>
          </cell>
          <cell r="F773" t="str">
            <v>DPW</v>
          </cell>
          <cell r="H773" t="str">
            <v>PLNT2</v>
          </cell>
          <cell r="I773" t="str">
            <v>PLNT2</v>
          </cell>
          <cell r="J773" t="str">
            <v>PLNT2</v>
          </cell>
          <cell r="K773" t="str">
            <v>PLNT2</v>
          </cell>
          <cell r="L773" t="str">
            <v>PLNT2</v>
          </cell>
        </row>
        <row r="774">
          <cell r="B774" t="str">
            <v>DPW</v>
          </cell>
          <cell r="C774" t="str">
            <v>DPW</v>
          </cell>
          <cell r="D774" t="str">
            <v>DPW</v>
          </cell>
          <cell r="E774" t="str">
            <v>DPW</v>
          </cell>
          <cell r="F774" t="str">
            <v>DPW</v>
          </cell>
          <cell r="H774" t="str">
            <v>PC</v>
          </cell>
          <cell r="I774" t="str">
            <v>PC</v>
          </cell>
          <cell r="J774" t="str">
            <v>PC</v>
          </cell>
          <cell r="K774" t="str">
            <v>PC</v>
          </cell>
          <cell r="L774" t="str">
            <v>PC</v>
          </cell>
        </row>
        <row r="775">
          <cell r="B775" t="str">
            <v>DPW</v>
          </cell>
          <cell r="C775" t="str">
            <v>DPW</v>
          </cell>
          <cell r="D775" t="str">
            <v>DPW</v>
          </cell>
          <cell r="E775" t="str">
            <v>DPW</v>
          </cell>
          <cell r="F775" t="str">
            <v>DPW</v>
          </cell>
          <cell r="H775" t="str">
            <v>PC</v>
          </cell>
          <cell r="I775" t="str">
            <v>PC</v>
          </cell>
          <cell r="J775" t="str">
            <v>PC</v>
          </cell>
          <cell r="K775" t="str">
            <v>PC</v>
          </cell>
          <cell r="L775" t="str">
            <v>PC</v>
          </cell>
        </row>
        <row r="776">
          <cell r="B776" t="str">
            <v>DPW</v>
          </cell>
          <cell r="C776" t="str">
            <v>DPW</v>
          </cell>
          <cell r="D776" t="str">
            <v>DPW</v>
          </cell>
          <cell r="E776" t="str">
            <v>DPW</v>
          </cell>
          <cell r="F776" t="str">
            <v>DPW</v>
          </cell>
          <cell r="H776" t="str">
            <v>PC</v>
          </cell>
          <cell r="I776" t="str">
            <v>PC</v>
          </cell>
          <cell r="J776" t="str">
            <v>PC</v>
          </cell>
          <cell r="K776" t="str">
            <v>PC</v>
          </cell>
          <cell r="L776" t="str">
            <v>PC</v>
          </cell>
        </row>
        <row r="777">
          <cell r="B777" t="str">
            <v>DPW</v>
          </cell>
          <cell r="C777" t="str">
            <v>DPW</v>
          </cell>
          <cell r="D777" t="str">
            <v>DPW</v>
          </cell>
          <cell r="E777" t="str">
            <v>DPW</v>
          </cell>
          <cell r="F777" t="str">
            <v>DPW</v>
          </cell>
          <cell r="H777" t="str">
            <v>PC</v>
          </cell>
          <cell r="I777" t="str">
            <v>PC</v>
          </cell>
          <cell r="J777" t="str">
            <v>PC</v>
          </cell>
          <cell r="K777" t="str">
            <v>PC</v>
          </cell>
          <cell r="L777" t="str">
            <v>PC</v>
          </cell>
        </row>
        <row r="778">
          <cell r="B778" t="str">
            <v>DPW</v>
          </cell>
          <cell r="C778" t="str">
            <v>DPW</v>
          </cell>
          <cell r="D778" t="str">
            <v>DPW</v>
          </cell>
          <cell r="E778" t="str">
            <v>DPW</v>
          </cell>
          <cell r="F778" t="str">
            <v>DPW</v>
          </cell>
          <cell r="H778" t="str">
            <v>XFMR</v>
          </cell>
          <cell r="I778" t="str">
            <v>XFMR</v>
          </cell>
          <cell r="J778" t="str">
            <v>XFMR</v>
          </cell>
          <cell r="K778" t="str">
            <v>XFMR</v>
          </cell>
          <cell r="L778" t="str">
            <v>XFMR</v>
          </cell>
        </row>
        <row r="779">
          <cell r="B779" t="str">
            <v>DPW</v>
          </cell>
          <cell r="C779" t="str">
            <v>DPW</v>
          </cell>
          <cell r="D779" t="str">
            <v>DPW</v>
          </cell>
          <cell r="E779" t="str">
            <v>DPW</v>
          </cell>
          <cell r="F779" t="str">
            <v>DPW</v>
          </cell>
          <cell r="H779" t="str">
            <v>SERV</v>
          </cell>
          <cell r="I779" t="str">
            <v>SERV</v>
          </cell>
          <cell r="J779" t="str">
            <v>SERV</v>
          </cell>
          <cell r="K779" t="str">
            <v>SERV</v>
          </cell>
          <cell r="L779" t="str">
            <v>SERV</v>
          </cell>
        </row>
        <row r="780">
          <cell r="B780" t="str">
            <v>DPW</v>
          </cell>
          <cell r="C780" t="str">
            <v>DPW</v>
          </cell>
          <cell r="D780" t="str">
            <v>DPW</v>
          </cell>
          <cell r="E780" t="str">
            <v>DPW</v>
          </cell>
          <cell r="F780" t="str">
            <v>DPW</v>
          </cell>
          <cell r="H780" t="str">
            <v>METR</v>
          </cell>
          <cell r="I780" t="str">
            <v>METR</v>
          </cell>
          <cell r="J780" t="str">
            <v>METR</v>
          </cell>
          <cell r="K780" t="str">
            <v>METR</v>
          </cell>
          <cell r="L780" t="str">
            <v>METR</v>
          </cell>
        </row>
        <row r="781">
          <cell r="B781" t="str">
            <v>DPW</v>
          </cell>
          <cell r="C781" t="str">
            <v>DPW</v>
          </cell>
          <cell r="D781" t="str">
            <v>DPW</v>
          </cell>
          <cell r="E781" t="str">
            <v>DPW</v>
          </cell>
          <cell r="F781" t="str">
            <v>DPW</v>
          </cell>
          <cell r="H781" t="str">
            <v>PC</v>
          </cell>
          <cell r="I781" t="str">
            <v>PC</v>
          </cell>
          <cell r="J781" t="str">
            <v>PC</v>
          </cell>
          <cell r="K781" t="str">
            <v>PC</v>
          </cell>
          <cell r="L781" t="str">
            <v>PC</v>
          </cell>
        </row>
        <row r="782">
          <cell r="B782" t="str">
            <v>DPW</v>
          </cell>
          <cell r="C782" t="str">
            <v>DPW</v>
          </cell>
          <cell r="D782" t="str">
            <v>DPW</v>
          </cell>
          <cell r="E782" t="str">
            <v>DPW</v>
          </cell>
          <cell r="F782" t="str">
            <v>DPW</v>
          </cell>
          <cell r="H782" t="str">
            <v>PLNT2</v>
          </cell>
          <cell r="I782" t="str">
            <v>PLNT2</v>
          </cell>
          <cell r="J782" t="str">
            <v>PLNT2</v>
          </cell>
          <cell r="K782" t="str">
            <v>PLNT2</v>
          </cell>
          <cell r="L782" t="str">
            <v>PLNT2</v>
          </cell>
        </row>
        <row r="783">
          <cell r="B783" t="str">
            <v>DPW</v>
          </cell>
          <cell r="C783" t="str">
            <v>DPW</v>
          </cell>
          <cell r="D783" t="str">
            <v>DPW</v>
          </cell>
          <cell r="E783" t="str">
            <v>DPW</v>
          </cell>
          <cell r="F783" t="str">
            <v>DPW</v>
          </cell>
          <cell r="H783" t="str">
            <v>PC</v>
          </cell>
          <cell r="I783" t="str">
            <v>PC</v>
          </cell>
          <cell r="J783" t="str">
            <v>PC</v>
          </cell>
          <cell r="K783" t="str">
            <v>PC</v>
          </cell>
          <cell r="L783" t="str">
            <v>PC</v>
          </cell>
        </row>
        <row r="787">
          <cell r="B787" t="str">
            <v>G-SITUS</v>
          </cell>
          <cell r="C787" t="str">
            <v>G-SITUS</v>
          </cell>
          <cell r="D787" t="str">
            <v>G-SITUS</v>
          </cell>
          <cell r="E787" t="str">
            <v>G-SITUS</v>
          </cell>
          <cell r="F787" t="str">
            <v>G-SITUS</v>
          </cell>
          <cell r="H787" t="str">
            <v>PLNT</v>
          </cell>
          <cell r="I787" t="str">
            <v>PLNT</v>
          </cell>
          <cell r="J787" t="str">
            <v>PLNT</v>
          </cell>
          <cell r="K787" t="str">
            <v>PLNT</v>
          </cell>
          <cell r="L787" t="str">
            <v>PLNT</v>
          </cell>
        </row>
        <row r="788">
          <cell r="B788" t="str">
            <v>G-DGP</v>
          </cell>
          <cell r="C788" t="str">
            <v>G-DGP</v>
          </cell>
          <cell r="D788" t="str">
            <v>G-DGP</v>
          </cell>
          <cell r="E788" t="str">
            <v>G-DGP</v>
          </cell>
          <cell r="F788" t="str">
            <v>G-DGP</v>
          </cell>
          <cell r="H788" t="str">
            <v>PLNT</v>
          </cell>
          <cell r="I788" t="str">
            <v>PLNT</v>
          </cell>
          <cell r="J788" t="str">
            <v>PLNT</v>
          </cell>
          <cell r="K788" t="str">
            <v>PLNT</v>
          </cell>
          <cell r="L788" t="str">
            <v>PLNT</v>
          </cell>
        </row>
        <row r="789">
          <cell r="B789" t="str">
            <v>G-DGU</v>
          </cell>
          <cell r="C789" t="str">
            <v>G-DGU</v>
          </cell>
          <cell r="D789" t="str">
            <v>G-DGU</v>
          </cell>
          <cell r="E789" t="str">
            <v>G-DGU</v>
          </cell>
          <cell r="F789" t="str">
            <v>G-DGU</v>
          </cell>
          <cell r="H789" t="str">
            <v>PLNT</v>
          </cell>
          <cell r="I789" t="str">
            <v>PLNT</v>
          </cell>
          <cell r="J789" t="str">
            <v>PLNT</v>
          </cell>
          <cell r="K789" t="str">
            <v>PLNT</v>
          </cell>
          <cell r="L789" t="str">
            <v>PLNT</v>
          </cell>
        </row>
        <row r="790">
          <cell r="B790" t="str">
            <v>P</v>
          </cell>
          <cell r="C790" t="str">
            <v>P</v>
          </cell>
          <cell r="D790" t="str">
            <v>P</v>
          </cell>
          <cell r="E790" t="str">
            <v>P</v>
          </cell>
          <cell r="F790" t="str">
            <v>P</v>
          </cell>
          <cell r="H790" t="str">
            <v>PLNT</v>
          </cell>
          <cell r="I790" t="str">
            <v>PLNT</v>
          </cell>
          <cell r="J790" t="str">
            <v>PLNT</v>
          </cell>
          <cell r="K790" t="str">
            <v>PLNT</v>
          </cell>
          <cell r="L790" t="str">
            <v>PLNT</v>
          </cell>
        </row>
        <row r="791">
          <cell r="B791" t="str">
            <v>CUST</v>
          </cell>
          <cell r="C791" t="str">
            <v>CUST</v>
          </cell>
          <cell r="D791" t="str">
            <v>CUST</v>
          </cell>
          <cell r="E791" t="str">
            <v>CUST</v>
          </cell>
          <cell r="F791" t="str">
            <v>CUST</v>
          </cell>
          <cell r="H791" t="str">
            <v>CUST</v>
          </cell>
          <cell r="I791" t="str">
            <v>CUST</v>
          </cell>
          <cell r="J791" t="str">
            <v>CUST</v>
          </cell>
          <cell r="K791" t="str">
            <v>CUST</v>
          </cell>
          <cell r="L791" t="str">
            <v>CUST</v>
          </cell>
        </row>
        <row r="792">
          <cell r="B792" t="str">
            <v>G-SG</v>
          </cell>
          <cell r="C792" t="str">
            <v>G-SG</v>
          </cell>
          <cell r="D792" t="str">
            <v>G-SG</v>
          </cell>
          <cell r="E792" t="str">
            <v>G-SG</v>
          </cell>
          <cell r="F792" t="str">
            <v>G-SG</v>
          </cell>
          <cell r="H792" t="str">
            <v>PLNT</v>
          </cell>
          <cell r="I792" t="str">
            <v>PLNT</v>
          </cell>
          <cell r="J792" t="str">
            <v>PLNT</v>
          </cell>
          <cell r="K792" t="str">
            <v>PLNT</v>
          </cell>
          <cell r="L792" t="str">
            <v>PLNT</v>
          </cell>
        </row>
        <row r="793">
          <cell r="B793" t="str">
            <v>PTD</v>
          </cell>
          <cell r="C793" t="str">
            <v>PTD</v>
          </cell>
          <cell r="D793" t="str">
            <v>PTD</v>
          </cell>
          <cell r="E793" t="str">
            <v>PTD</v>
          </cell>
          <cell r="F793" t="str">
            <v>PTD</v>
          </cell>
          <cell r="H793" t="str">
            <v>PLNT</v>
          </cell>
          <cell r="I793" t="str">
            <v>PLNT</v>
          </cell>
          <cell r="J793" t="str">
            <v>PLNT</v>
          </cell>
          <cell r="K793" t="str">
            <v>PLNT</v>
          </cell>
          <cell r="L793" t="str">
            <v>PLNT</v>
          </cell>
        </row>
        <row r="794">
          <cell r="B794" t="str">
            <v>G-SG</v>
          </cell>
          <cell r="C794" t="str">
            <v>G-SG</v>
          </cell>
          <cell r="D794" t="str">
            <v>G-SG</v>
          </cell>
          <cell r="E794" t="str">
            <v>G-SG</v>
          </cell>
          <cell r="F794" t="str">
            <v>G-SG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G-SG</v>
          </cell>
          <cell r="C795" t="str">
            <v>G-SG</v>
          </cell>
          <cell r="D795" t="str">
            <v>G-SG</v>
          </cell>
          <cell r="E795" t="str">
            <v>G-SG</v>
          </cell>
          <cell r="F795" t="str">
            <v>G-SG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</v>
          </cell>
          <cell r="C796" t="str">
            <v>P</v>
          </cell>
          <cell r="D796" t="str">
            <v>P</v>
          </cell>
          <cell r="E796" t="str">
            <v>P</v>
          </cell>
          <cell r="F796" t="str">
            <v>P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800">
          <cell r="B800" t="str">
            <v>G-SG</v>
          </cell>
          <cell r="C800" t="str">
            <v>G-SG</v>
          </cell>
          <cell r="D800" t="str">
            <v>G-SG</v>
          </cell>
          <cell r="E800" t="str">
            <v>G-SG</v>
          </cell>
          <cell r="F800" t="str">
            <v>G-SG</v>
          </cell>
        </row>
        <row r="804">
          <cell r="B804" t="str">
            <v>P</v>
          </cell>
          <cell r="C804" t="str">
            <v>P</v>
          </cell>
          <cell r="D804" t="str">
            <v>P</v>
          </cell>
          <cell r="E804" t="str">
            <v>P</v>
          </cell>
          <cell r="F804" t="str">
            <v>P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</row>
        <row r="809">
          <cell r="B809" t="str">
            <v>P</v>
          </cell>
          <cell r="C809" t="str">
            <v>P</v>
          </cell>
          <cell r="D809" t="str">
            <v>P</v>
          </cell>
          <cell r="E809" t="str">
            <v>P</v>
          </cell>
          <cell r="F809" t="str">
            <v>P</v>
          </cell>
        </row>
        <row r="815">
          <cell r="B815" t="str">
            <v>I-SITUS</v>
          </cell>
          <cell r="C815" t="str">
            <v>I-SITUS</v>
          </cell>
          <cell r="D815" t="str">
            <v>I-SITUS</v>
          </cell>
          <cell r="E815" t="str">
            <v>I-SITUS</v>
          </cell>
          <cell r="F815" t="str">
            <v>I-SITUS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PTD</v>
          </cell>
          <cell r="C817" t="str">
            <v>PTD</v>
          </cell>
          <cell r="D817" t="str">
            <v>PTD</v>
          </cell>
          <cell r="E817" t="str">
            <v>PTD</v>
          </cell>
          <cell r="F817" t="str">
            <v>PTD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18">
          <cell r="B818" t="str">
            <v>I-DGU</v>
          </cell>
          <cell r="C818" t="str">
            <v>I-DGU</v>
          </cell>
          <cell r="D818" t="str">
            <v>I-DGU</v>
          </cell>
          <cell r="E818" t="str">
            <v>I-DGU</v>
          </cell>
          <cell r="F818" t="str">
            <v>I-DGU</v>
          </cell>
          <cell r="H818" t="str">
            <v>PLNT</v>
          </cell>
          <cell r="I818" t="str">
            <v>PLNT</v>
          </cell>
          <cell r="J818" t="str">
            <v>PLNT</v>
          </cell>
          <cell r="K818" t="str">
            <v>PLNT</v>
          </cell>
          <cell r="L818" t="str">
            <v>PLNT</v>
          </cell>
        </row>
        <row r="819">
          <cell r="B819" t="str">
            <v>CUST</v>
          </cell>
          <cell r="C819" t="str">
            <v>CUST</v>
          </cell>
          <cell r="D819" t="str">
            <v>CUST</v>
          </cell>
          <cell r="E819" t="str">
            <v>CUST</v>
          </cell>
          <cell r="F819" t="str">
            <v>CUST</v>
          </cell>
          <cell r="H819" t="str">
            <v>CUST</v>
          </cell>
          <cell r="I819" t="str">
            <v>CUST</v>
          </cell>
          <cell r="J819" t="str">
            <v>CUST</v>
          </cell>
          <cell r="K819" t="str">
            <v>CUST</v>
          </cell>
          <cell r="L819" t="str">
            <v>CUST</v>
          </cell>
        </row>
        <row r="820">
          <cell r="B820" t="str">
            <v>I-DGP</v>
          </cell>
          <cell r="C820" t="str">
            <v>I-DGP</v>
          </cell>
          <cell r="D820" t="str">
            <v>I-DGP</v>
          </cell>
          <cell r="E820" t="str">
            <v>I-DGP</v>
          </cell>
          <cell r="F820" t="str">
            <v>I-DGP</v>
          </cell>
          <cell r="H820" t="str">
            <v>PLNT</v>
          </cell>
          <cell r="I820" t="str">
            <v>PLNT</v>
          </cell>
          <cell r="J820" t="str">
            <v>PLNT</v>
          </cell>
          <cell r="K820" t="str">
            <v>PLNT</v>
          </cell>
          <cell r="L820" t="str">
            <v>PLNT</v>
          </cell>
        </row>
        <row r="821">
          <cell r="B821" t="str">
            <v>I-DGP</v>
          </cell>
          <cell r="C821" t="str">
            <v>I-DGP</v>
          </cell>
          <cell r="D821" t="str">
            <v>I-DGP</v>
          </cell>
          <cell r="E821" t="str">
            <v>I-DGP</v>
          </cell>
          <cell r="F821" t="str">
            <v>I-DGP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DRB</v>
          </cell>
          <cell r="I825" t="str">
            <v>DRB</v>
          </cell>
          <cell r="J825" t="str">
            <v>DRB</v>
          </cell>
          <cell r="K825" t="str">
            <v>DRB</v>
          </cell>
          <cell r="L825" t="str">
            <v>DRB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DRB</v>
          </cell>
          <cell r="I826" t="str">
            <v>DRB</v>
          </cell>
          <cell r="J826" t="str">
            <v>DRB</v>
          </cell>
          <cell r="K826" t="str">
            <v>DRB</v>
          </cell>
          <cell r="L826" t="str">
            <v>DRB</v>
          </cell>
        </row>
        <row r="830">
          <cell r="B830" t="str">
            <v>I-SITUS</v>
          </cell>
          <cell r="C830" t="str">
            <v>I-SITUS</v>
          </cell>
          <cell r="D830" t="str">
            <v>I-SITUS</v>
          </cell>
          <cell r="E830" t="str">
            <v>I-SITUS</v>
          </cell>
          <cell r="F830" t="str">
            <v>I-SITUS</v>
          </cell>
          <cell r="H830" t="str">
            <v>PLNT</v>
          </cell>
          <cell r="I830" t="str">
            <v>PLNT</v>
          </cell>
          <cell r="J830" t="str">
            <v>PLNT</v>
          </cell>
          <cell r="K830" t="str">
            <v>PLNT</v>
          </cell>
          <cell r="L830" t="str">
            <v>PLNT</v>
          </cell>
        </row>
        <row r="831">
          <cell r="B831" t="str">
            <v>P</v>
          </cell>
          <cell r="C831" t="str">
            <v>P</v>
          </cell>
          <cell r="D831" t="str">
            <v>P</v>
          </cell>
          <cell r="E831" t="str">
            <v>P</v>
          </cell>
          <cell r="F831" t="str">
            <v>P</v>
          </cell>
          <cell r="H831" t="str">
            <v>PLNT</v>
          </cell>
          <cell r="I831" t="str">
            <v>PLNT</v>
          </cell>
          <cell r="J831" t="str">
            <v>PLNT</v>
          </cell>
          <cell r="K831" t="str">
            <v>PLNT</v>
          </cell>
          <cell r="L831" t="str">
            <v>PLNT</v>
          </cell>
        </row>
        <row r="832">
          <cell r="B832" t="str">
            <v>I-SG</v>
          </cell>
          <cell r="C832" t="str">
            <v>I-SG</v>
          </cell>
          <cell r="D832" t="str">
            <v>I-SG</v>
          </cell>
          <cell r="E832" t="str">
            <v>I-SG</v>
          </cell>
          <cell r="F832" t="str">
            <v>I-SG</v>
          </cell>
          <cell r="H832" t="str">
            <v>PLNT</v>
          </cell>
          <cell r="I832" t="str">
            <v>PLNT</v>
          </cell>
          <cell r="J832" t="str">
            <v>PLNT</v>
          </cell>
          <cell r="K832" t="str">
            <v>PLNT</v>
          </cell>
          <cell r="L832" t="str">
            <v>PLNT</v>
          </cell>
        </row>
        <row r="833">
          <cell r="B833" t="str">
            <v>PTD</v>
          </cell>
          <cell r="C833" t="str">
            <v>PTD</v>
          </cell>
          <cell r="D833" t="str">
            <v>PTD</v>
          </cell>
          <cell r="E833" t="str">
            <v>PTD</v>
          </cell>
          <cell r="F833" t="str">
            <v>PTD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4">
          <cell r="B834" t="str">
            <v>CUST</v>
          </cell>
          <cell r="C834" t="str">
            <v>CUST</v>
          </cell>
          <cell r="D834" t="str">
            <v>CUST</v>
          </cell>
          <cell r="E834" t="str">
            <v>CUST</v>
          </cell>
          <cell r="F834" t="str">
            <v>CUST</v>
          </cell>
          <cell r="H834" t="str">
            <v>CUST</v>
          </cell>
          <cell r="I834" t="str">
            <v>CUST</v>
          </cell>
          <cell r="J834" t="str">
            <v>CUST</v>
          </cell>
          <cell r="K834" t="str">
            <v>CUST</v>
          </cell>
          <cell r="L834" t="str">
            <v>CUST</v>
          </cell>
        </row>
        <row r="835">
          <cell r="B835" t="str">
            <v>I-DGP</v>
          </cell>
          <cell r="C835" t="str">
            <v>I-DGP</v>
          </cell>
          <cell r="D835" t="str">
            <v>I-DGP</v>
          </cell>
          <cell r="E835" t="str">
            <v>I-DGP</v>
          </cell>
          <cell r="F835" t="str">
            <v>I-DGP</v>
          </cell>
          <cell r="H835" t="str">
            <v>PLNT</v>
          </cell>
          <cell r="I835" t="str">
            <v>PLNT</v>
          </cell>
          <cell r="J835" t="str">
            <v>PLNT</v>
          </cell>
          <cell r="K835" t="str">
            <v>PLNT</v>
          </cell>
          <cell r="L835" t="str">
            <v>PLNT</v>
          </cell>
        </row>
        <row r="836">
          <cell r="B836" t="str">
            <v>I-DGU</v>
          </cell>
          <cell r="C836" t="str">
            <v>I-DGU</v>
          </cell>
          <cell r="D836" t="str">
            <v>I-DGU</v>
          </cell>
          <cell r="E836" t="str">
            <v>I-DGU</v>
          </cell>
          <cell r="F836" t="str">
            <v>I-DGU</v>
          </cell>
          <cell r="H836" t="str">
            <v>PLNT</v>
          </cell>
          <cell r="I836" t="str">
            <v>PLNT</v>
          </cell>
          <cell r="J836" t="str">
            <v>PLNT</v>
          </cell>
          <cell r="K836" t="str">
            <v>PLNT</v>
          </cell>
          <cell r="L836" t="str">
            <v>PLNT</v>
          </cell>
        </row>
        <row r="837">
          <cell r="B837" t="str">
            <v>P</v>
          </cell>
          <cell r="C837" t="str">
            <v>P</v>
          </cell>
          <cell r="D837" t="str">
            <v>P</v>
          </cell>
          <cell r="E837" t="str">
            <v>P</v>
          </cell>
          <cell r="F837" t="str">
            <v>P</v>
          </cell>
          <cell r="H837" t="str">
            <v>PLNT</v>
          </cell>
          <cell r="I837" t="str">
            <v>PLNT</v>
          </cell>
          <cell r="J837" t="str">
            <v>PLNT</v>
          </cell>
          <cell r="K837" t="str">
            <v>PLNT</v>
          </cell>
          <cell r="L837" t="str">
            <v>PLNT</v>
          </cell>
        </row>
        <row r="838">
          <cell r="B838" t="str">
            <v>I-SG</v>
          </cell>
          <cell r="C838" t="str">
            <v>I-SG</v>
          </cell>
          <cell r="D838" t="str">
            <v>I-SG</v>
          </cell>
          <cell r="E838" t="str">
            <v>I-SG</v>
          </cell>
          <cell r="F838" t="str">
            <v>I-SG</v>
          </cell>
          <cell r="H838" t="str">
            <v>PLNT</v>
          </cell>
          <cell r="I838" t="str">
            <v>PLNT</v>
          </cell>
          <cell r="J838" t="str">
            <v>PLNT</v>
          </cell>
          <cell r="K838" t="str">
            <v>PLNT</v>
          </cell>
          <cell r="L838" t="str">
            <v>PLNT</v>
          </cell>
        </row>
        <row r="839">
          <cell r="B839" t="str">
            <v>I-SG</v>
          </cell>
          <cell r="C839" t="str">
            <v>I-SG</v>
          </cell>
          <cell r="D839" t="str">
            <v>I-SG</v>
          </cell>
          <cell r="E839" t="str">
            <v>I-SG</v>
          </cell>
          <cell r="F839" t="str">
            <v>I-SG</v>
          </cell>
          <cell r="H839" t="str">
            <v>PLNT</v>
          </cell>
          <cell r="I839" t="str">
            <v>PLNT</v>
          </cell>
          <cell r="J839" t="str">
            <v>PLNT</v>
          </cell>
          <cell r="K839" t="str">
            <v>PLNT</v>
          </cell>
          <cell r="L839" t="str">
            <v>PLNT</v>
          </cell>
        </row>
        <row r="843">
          <cell r="B843" t="str">
            <v>P</v>
          </cell>
          <cell r="C843" t="str">
            <v>P</v>
          </cell>
          <cell r="D843" t="str">
            <v>P</v>
          </cell>
          <cell r="E843" t="str">
            <v>P</v>
          </cell>
          <cell r="F843" t="str">
            <v>P</v>
          </cell>
          <cell r="H843" t="str">
            <v>PLNT</v>
          </cell>
          <cell r="I843" t="str">
            <v>PLNT</v>
          </cell>
          <cell r="J843" t="str">
            <v>PLNT</v>
          </cell>
          <cell r="K843" t="str">
            <v>PLNT</v>
          </cell>
          <cell r="L843" t="str">
            <v>PLNT</v>
          </cell>
        </row>
        <row r="847">
          <cell r="B847" t="str">
            <v>P</v>
          </cell>
          <cell r="C847" t="str">
            <v>P</v>
          </cell>
          <cell r="D847" t="str">
            <v>P</v>
          </cell>
          <cell r="E847" t="str">
            <v>P</v>
          </cell>
          <cell r="F847" t="str">
            <v>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6">
          <cell r="B856" t="str">
            <v>GP</v>
          </cell>
          <cell r="C856" t="str">
            <v>GP</v>
          </cell>
          <cell r="D856" t="str">
            <v>GP</v>
          </cell>
          <cell r="E856" t="str">
            <v>GP</v>
          </cell>
          <cell r="F856" t="str">
            <v>GP</v>
          </cell>
          <cell r="H856" t="str">
            <v>PLNT</v>
          </cell>
          <cell r="I856" t="str">
            <v>PLNT</v>
          </cell>
          <cell r="J856" t="str">
            <v>PLNT</v>
          </cell>
          <cell r="K856" t="str">
            <v>PLNT</v>
          </cell>
          <cell r="L856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</row>
        <row r="862">
          <cell r="B862" t="str">
            <v>P</v>
          </cell>
          <cell r="C862" t="str">
            <v>P</v>
          </cell>
          <cell r="D862" t="str">
            <v>P</v>
          </cell>
          <cell r="E862" t="str">
            <v>P</v>
          </cell>
          <cell r="F862" t="str">
            <v>P</v>
          </cell>
        </row>
        <row r="863">
          <cell r="B863" t="str">
            <v>P</v>
          </cell>
          <cell r="C863" t="str">
            <v>P</v>
          </cell>
          <cell r="D863" t="str">
            <v>P</v>
          </cell>
          <cell r="E863" t="str">
            <v>P</v>
          </cell>
          <cell r="F863" t="str">
            <v>P</v>
          </cell>
        </row>
        <row r="864">
          <cell r="B864" t="str">
            <v>P</v>
          </cell>
          <cell r="C864" t="str">
            <v>P</v>
          </cell>
          <cell r="D864" t="str">
            <v>P</v>
          </cell>
          <cell r="E864" t="str">
            <v>P</v>
          </cell>
          <cell r="F864" t="str">
            <v>P</v>
          </cell>
        </row>
        <row r="865">
          <cell r="B865" t="str">
            <v>P</v>
          </cell>
          <cell r="C865" t="str">
            <v>P</v>
          </cell>
          <cell r="D865" t="str">
            <v>P</v>
          </cell>
          <cell r="E865" t="str">
            <v>P</v>
          </cell>
          <cell r="F865" t="str">
            <v>P</v>
          </cell>
        </row>
        <row r="869">
          <cell r="B869" t="str">
            <v>DPW</v>
          </cell>
          <cell r="C869" t="str">
            <v>DPW</v>
          </cell>
          <cell r="D869" t="str">
            <v>DPW</v>
          </cell>
          <cell r="E869" t="str">
            <v>DPW</v>
          </cell>
          <cell r="F869" t="str">
            <v>DPW</v>
          </cell>
          <cell r="H869" t="str">
            <v>PLNT</v>
          </cell>
          <cell r="I869" t="str">
            <v>PLNT</v>
          </cell>
          <cell r="J869" t="str">
            <v>PLNT</v>
          </cell>
          <cell r="K869" t="str">
            <v>PLNT</v>
          </cell>
          <cell r="L869" t="str">
            <v>PLNT</v>
          </cell>
        </row>
        <row r="870">
          <cell r="B870" t="str">
            <v>GP</v>
          </cell>
          <cell r="C870" t="str">
            <v>GP</v>
          </cell>
          <cell r="D870" t="str">
            <v>GP</v>
          </cell>
          <cell r="E870" t="str">
            <v>GP</v>
          </cell>
          <cell r="F870" t="str">
            <v>GP</v>
          </cell>
          <cell r="H870" t="str">
            <v>PLNT</v>
          </cell>
          <cell r="I870" t="str">
            <v>PLNT</v>
          </cell>
          <cell r="J870" t="str">
            <v>PLNT</v>
          </cell>
          <cell r="K870" t="str">
            <v>PLNT</v>
          </cell>
          <cell r="L870" t="str">
            <v>PLNT</v>
          </cell>
        </row>
        <row r="871">
          <cell r="B871" t="str">
            <v>P</v>
          </cell>
          <cell r="C871" t="str">
            <v>P</v>
          </cell>
          <cell r="D871" t="str">
            <v>P</v>
          </cell>
          <cell r="E871" t="str">
            <v>P</v>
          </cell>
          <cell r="F871" t="str">
            <v>P</v>
          </cell>
          <cell r="H871" t="str">
            <v>PLNT</v>
          </cell>
          <cell r="I871" t="str">
            <v>PLNT</v>
          </cell>
          <cell r="J871" t="str">
            <v>PLNT</v>
          </cell>
          <cell r="K871" t="str">
            <v>PLNT</v>
          </cell>
          <cell r="L871" t="str">
            <v>PLNT</v>
          </cell>
        </row>
        <row r="872">
          <cell r="B872" t="str">
            <v>P</v>
          </cell>
          <cell r="C872" t="str">
            <v>P</v>
          </cell>
          <cell r="D872" t="str">
            <v>P</v>
          </cell>
          <cell r="E872" t="str">
            <v>P</v>
          </cell>
          <cell r="F872" t="str">
            <v>P</v>
          </cell>
          <cell r="H872" t="str">
            <v>PLNT</v>
          </cell>
          <cell r="I872" t="str">
            <v>PLNT</v>
          </cell>
          <cell r="J872" t="str">
            <v>PLNT</v>
          </cell>
          <cell r="K872" t="str">
            <v>PLNT</v>
          </cell>
          <cell r="L872" t="str">
            <v>PLNT</v>
          </cell>
        </row>
        <row r="873">
          <cell r="B873" t="str">
            <v>P</v>
          </cell>
          <cell r="C873" t="str">
            <v>P</v>
          </cell>
          <cell r="D873" t="str">
            <v>P</v>
          </cell>
          <cell r="E873" t="str">
            <v>P</v>
          </cell>
          <cell r="F873" t="str">
            <v>P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74">
          <cell r="B874" t="str">
            <v>P</v>
          </cell>
          <cell r="C874" t="str">
            <v>P</v>
          </cell>
          <cell r="D874" t="str">
            <v>P</v>
          </cell>
          <cell r="E874" t="str">
            <v>P</v>
          </cell>
          <cell r="F874" t="str">
            <v>P</v>
          </cell>
          <cell r="H874" t="str">
            <v>PLNT</v>
          </cell>
          <cell r="I874" t="str">
            <v>PLNT</v>
          </cell>
          <cell r="J874" t="str">
            <v>PLNT</v>
          </cell>
          <cell r="K874" t="str">
            <v>PLNT</v>
          </cell>
          <cell r="L874" t="str">
            <v>PLNT</v>
          </cell>
        </row>
        <row r="880">
          <cell r="B880" t="str">
            <v>GP</v>
          </cell>
          <cell r="C880" t="str">
            <v>GP</v>
          </cell>
          <cell r="D880" t="str">
            <v>GP</v>
          </cell>
          <cell r="E880" t="str">
            <v>GP</v>
          </cell>
          <cell r="F880" t="str">
            <v>GP</v>
          </cell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2">
          <cell r="B882" t="str">
            <v>GP</v>
          </cell>
          <cell r="C882" t="str">
            <v>GP</v>
          </cell>
          <cell r="D882" t="str">
            <v>GP</v>
          </cell>
          <cell r="E882" t="str">
            <v>GP</v>
          </cell>
          <cell r="F882" t="str">
            <v>GP</v>
          </cell>
          <cell r="H882" t="str">
            <v>PLNT</v>
          </cell>
          <cell r="I882" t="str">
            <v>PLNT</v>
          </cell>
          <cell r="J882" t="str">
            <v>PLNT</v>
          </cell>
          <cell r="K882" t="str">
            <v>PLNT</v>
          </cell>
          <cell r="L882" t="str">
            <v>PLNT</v>
          </cell>
        </row>
        <row r="883">
          <cell r="B883" t="str">
            <v>P</v>
          </cell>
          <cell r="C883" t="str">
            <v>P</v>
          </cell>
          <cell r="D883" t="str">
            <v>P</v>
          </cell>
          <cell r="E883" t="str">
            <v>P</v>
          </cell>
          <cell r="F883" t="str">
            <v>P</v>
          </cell>
          <cell r="H883" t="str">
            <v>PLNT</v>
          </cell>
          <cell r="I883" t="str">
            <v>PLNT</v>
          </cell>
          <cell r="J883" t="str">
            <v>PLNT</v>
          </cell>
          <cell r="K883" t="str">
            <v>PLNT</v>
          </cell>
          <cell r="L883" t="str">
            <v>PLNT</v>
          </cell>
        </row>
        <row r="884">
          <cell r="B884" t="str">
            <v>P</v>
          </cell>
          <cell r="C884" t="str">
            <v>P</v>
          </cell>
          <cell r="D884" t="str">
            <v>P</v>
          </cell>
          <cell r="E884" t="str">
            <v>P</v>
          </cell>
          <cell r="F884" t="str">
            <v>P</v>
          </cell>
          <cell r="H884" t="str">
            <v>PLNT</v>
          </cell>
          <cell r="I884" t="str">
            <v>PLNT</v>
          </cell>
          <cell r="J884" t="str">
            <v>PLNT</v>
          </cell>
          <cell r="K884" t="str">
            <v>PLNT</v>
          </cell>
          <cell r="L884" t="str">
            <v>PLNT</v>
          </cell>
        </row>
        <row r="885">
          <cell r="B885" t="str">
            <v>COMMON</v>
          </cell>
          <cell r="C885" t="str">
            <v>COMMON</v>
          </cell>
          <cell r="D885" t="str">
            <v>COMMON</v>
          </cell>
          <cell r="E885" t="str">
            <v>COMMON</v>
          </cell>
          <cell r="F885" t="str">
            <v>COMMON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6">
          <cell r="B886" t="str">
            <v>GP</v>
          </cell>
          <cell r="C886" t="str">
            <v>GP</v>
          </cell>
          <cell r="D886" t="str">
            <v>GP</v>
          </cell>
          <cell r="E886" t="str">
            <v>GP</v>
          </cell>
          <cell r="F886" t="str">
            <v>GP</v>
          </cell>
          <cell r="H886" t="str">
            <v>PLNT</v>
          </cell>
          <cell r="I886" t="str">
            <v>PLNT</v>
          </cell>
          <cell r="J886" t="str">
            <v>PLNT</v>
          </cell>
          <cell r="K886" t="str">
            <v>PLNT</v>
          </cell>
          <cell r="L886" t="str">
            <v>PLNT</v>
          </cell>
        </row>
        <row r="887">
          <cell r="B887" t="str">
            <v>GP</v>
          </cell>
          <cell r="C887" t="str">
            <v>GP</v>
          </cell>
          <cell r="D887" t="str">
            <v>GP</v>
          </cell>
          <cell r="E887" t="str">
            <v>GP</v>
          </cell>
          <cell r="F887" t="str">
            <v>GP</v>
          </cell>
          <cell r="H887" t="str">
            <v>PLNT</v>
          </cell>
          <cell r="I887" t="str">
            <v>PLNT</v>
          </cell>
          <cell r="J887" t="str">
            <v>PLNT</v>
          </cell>
          <cell r="K887" t="str">
            <v>PLNT</v>
          </cell>
          <cell r="L887" t="str">
            <v>PLNT</v>
          </cell>
        </row>
        <row r="891">
          <cell r="B891" t="str">
            <v>PTD</v>
          </cell>
          <cell r="C891" t="str">
            <v>PTD</v>
          </cell>
          <cell r="D891" t="str">
            <v>PTD</v>
          </cell>
          <cell r="E891" t="str">
            <v>PTD</v>
          </cell>
          <cell r="F891" t="str">
            <v>PTD</v>
          </cell>
          <cell r="H891" t="str">
            <v>PLNT</v>
          </cell>
          <cell r="I891" t="str">
            <v>PLNT</v>
          </cell>
          <cell r="J891" t="str">
            <v>PLNT</v>
          </cell>
          <cell r="K891" t="str">
            <v>PLNT</v>
          </cell>
          <cell r="L891" t="str">
            <v>PLNT</v>
          </cell>
        </row>
        <row r="896">
          <cell r="B896" t="str">
            <v>PTD</v>
          </cell>
          <cell r="C896" t="str">
            <v>PTD</v>
          </cell>
          <cell r="D896" t="str">
            <v>PTD</v>
          </cell>
          <cell r="E896" t="str">
            <v>PTD</v>
          </cell>
          <cell r="F896" t="str">
            <v>PTD</v>
          </cell>
          <cell r="H896" t="str">
            <v>PLNT</v>
          </cell>
          <cell r="I896" t="str">
            <v>PLNT</v>
          </cell>
          <cell r="J896" t="str">
            <v>PLNT</v>
          </cell>
          <cell r="K896" t="str">
            <v>PLNT</v>
          </cell>
          <cell r="L896" t="str">
            <v>PLNT</v>
          </cell>
        </row>
        <row r="903">
          <cell r="B903" t="str">
            <v>GP</v>
          </cell>
          <cell r="C903" t="str">
            <v>GP</v>
          </cell>
          <cell r="D903" t="str">
            <v>GP</v>
          </cell>
          <cell r="E903" t="str">
            <v>GP</v>
          </cell>
          <cell r="F903" t="str">
            <v>GP</v>
          </cell>
          <cell r="H903" t="str">
            <v>PLNT</v>
          </cell>
          <cell r="I903" t="str">
            <v>PLNT</v>
          </cell>
          <cell r="J903" t="str">
            <v>PLNT</v>
          </cell>
          <cell r="K903" t="str">
            <v>PLNT</v>
          </cell>
          <cell r="L903" t="str">
            <v>PLNT</v>
          </cell>
        </row>
        <row r="904">
          <cell r="B904" t="str">
            <v>GP</v>
          </cell>
          <cell r="C904" t="str">
            <v>GP</v>
          </cell>
          <cell r="D904" t="str">
            <v>GP</v>
          </cell>
          <cell r="E904" t="str">
            <v>GP</v>
          </cell>
          <cell r="F904" t="str">
            <v>GP</v>
          </cell>
          <cell r="H904" t="str">
            <v>PLNT</v>
          </cell>
          <cell r="I904" t="str">
            <v>PLNT</v>
          </cell>
          <cell r="J904" t="str">
            <v>PLNT</v>
          </cell>
          <cell r="K904" t="str">
            <v>PLNT</v>
          </cell>
          <cell r="L904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20">
          <cell r="B920" t="str">
            <v>GP</v>
          </cell>
          <cell r="C920" t="str">
            <v>GP</v>
          </cell>
          <cell r="D920" t="str">
            <v>GP</v>
          </cell>
          <cell r="E920" t="str">
            <v>GP</v>
          </cell>
          <cell r="F920" t="str">
            <v>GP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9">
          <cell r="B929" t="str">
            <v>GP</v>
          </cell>
          <cell r="C929" t="str">
            <v>GP</v>
          </cell>
          <cell r="D929" t="str">
            <v>GP</v>
          </cell>
          <cell r="E929" t="str">
            <v>GP</v>
          </cell>
          <cell r="F929" t="str">
            <v>GP</v>
          </cell>
          <cell r="H929" t="str">
            <v>PLNT</v>
          </cell>
          <cell r="I929" t="str">
            <v>PLNT</v>
          </cell>
          <cell r="J929" t="str">
            <v>PLNT</v>
          </cell>
          <cell r="K929" t="str">
            <v>PLNT</v>
          </cell>
          <cell r="L929" t="str">
            <v>PLNT</v>
          </cell>
        </row>
        <row r="933">
          <cell r="B933" t="str">
            <v>P</v>
          </cell>
          <cell r="C933" t="str">
            <v>P</v>
          </cell>
          <cell r="D933" t="str">
            <v>P</v>
          </cell>
          <cell r="E933" t="str">
            <v>P</v>
          </cell>
          <cell r="F933" t="str">
            <v>P</v>
          </cell>
          <cell r="H933" t="str">
            <v>PLNT</v>
          </cell>
          <cell r="I933" t="str">
            <v>PLNT</v>
          </cell>
          <cell r="J933" t="str">
            <v>PLNT</v>
          </cell>
          <cell r="K933" t="str">
            <v>PLNT</v>
          </cell>
          <cell r="L933" t="str">
            <v>PLNT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GP</v>
          </cell>
          <cell r="C935" t="str">
            <v>GP</v>
          </cell>
          <cell r="D935" t="str">
            <v>GP</v>
          </cell>
          <cell r="E935" t="str">
            <v>GP</v>
          </cell>
          <cell r="F935" t="str">
            <v>GP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LABOR</v>
          </cell>
          <cell r="C936" t="str">
            <v>LABOR</v>
          </cell>
          <cell r="D936" t="str">
            <v>LABOR</v>
          </cell>
          <cell r="E936" t="str">
            <v>LABOR</v>
          </cell>
          <cell r="F936" t="str">
            <v>LABOR</v>
          </cell>
          <cell r="H936" t="str">
            <v>DISom</v>
          </cell>
          <cell r="I936" t="str">
            <v>DISom</v>
          </cell>
          <cell r="J936" t="str">
            <v>DISom</v>
          </cell>
          <cell r="K936" t="str">
            <v>DISom</v>
          </cell>
          <cell r="L936" t="str">
            <v>DISom</v>
          </cell>
        </row>
        <row r="937">
          <cell r="B937" t="str">
            <v>GP</v>
          </cell>
          <cell r="C937" t="str">
            <v>GP</v>
          </cell>
          <cell r="D937" t="str">
            <v>GP</v>
          </cell>
          <cell r="E937" t="str">
            <v>GP</v>
          </cell>
          <cell r="F937" t="str">
            <v>GP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P</v>
          </cell>
          <cell r="C938" t="str">
            <v>P</v>
          </cell>
          <cell r="D938" t="str">
            <v>P</v>
          </cell>
          <cell r="E938" t="str">
            <v>P</v>
          </cell>
          <cell r="F938" t="str">
            <v>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PT</v>
          </cell>
          <cell r="C939" t="str">
            <v>PT</v>
          </cell>
          <cell r="D939" t="str">
            <v>PT</v>
          </cell>
          <cell r="E939" t="str">
            <v>PT</v>
          </cell>
          <cell r="F939" t="str">
            <v>PT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GP</v>
          </cell>
          <cell r="C940" t="str">
            <v>GP</v>
          </cell>
          <cell r="D940" t="str">
            <v>GP</v>
          </cell>
          <cell r="E940" t="str">
            <v>GP</v>
          </cell>
          <cell r="F940" t="str">
            <v>GP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TAXDEPR</v>
          </cell>
          <cell r="C941" t="str">
            <v>TAXDEPR</v>
          </cell>
          <cell r="D941" t="str">
            <v>TAXDEPR</v>
          </cell>
          <cell r="E941" t="str">
            <v>TAXDEPR</v>
          </cell>
          <cell r="F941" t="str">
            <v>TAXDEPR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PT</v>
          </cell>
          <cell r="C942" t="str">
            <v>PT</v>
          </cell>
          <cell r="D942" t="str">
            <v>PT</v>
          </cell>
          <cell r="E942" t="str">
            <v>PT</v>
          </cell>
          <cell r="F942" t="str">
            <v>PT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3">
          <cell r="B943" t="str">
            <v>CUST</v>
          </cell>
          <cell r="C943" t="str">
            <v>CUST</v>
          </cell>
          <cell r="D943" t="str">
            <v>CUST</v>
          </cell>
          <cell r="E943" t="str">
            <v>CUST</v>
          </cell>
          <cell r="F943" t="str">
            <v>CUST</v>
          </cell>
          <cell r="H943" t="str">
            <v>PLNT</v>
          </cell>
          <cell r="I943" t="str">
            <v>PLNT</v>
          </cell>
          <cell r="J943" t="str">
            <v>PLNT</v>
          </cell>
          <cell r="K943" t="str">
            <v>PLNT</v>
          </cell>
          <cell r="L943" t="str">
            <v>PLNT</v>
          </cell>
        </row>
        <row r="944">
          <cell r="B944" t="str">
            <v>P</v>
          </cell>
          <cell r="C944" t="str">
            <v>P</v>
          </cell>
          <cell r="D944" t="str">
            <v>P</v>
          </cell>
          <cell r="E944" t="str">
            <v>P</v>
          </cell>
          <cell r="F944" t="str">
            <v>P</v>
          </cell>
          <cell r="H944" t="str">
            <v>PLNT</v>
          </cell>
          <cell r="I944" t="str">
            <v>PLNT</v>
          </cell>
          <cell r="J944" t="str">
            <v>PLNT</v>
          </cell>
          <cell r="K944" t="str">
            <v>PLNT</v>
          </cell>
          <cell r="L944" t="str">
            <v>PLNT</v>
          </cell>
        </row>
        <row r="945">
          <cell r="B945" t="str">
            <v>DPW</v>
          </cell>
          <cell r="C945" t="str">
            <v>DPW</v>
          </cell>
          <cell r="D945" t="str">
            <v>DPW</v>
          </cell>
          <cell r="E945" t="str">
            <v>DPW</v>
          </cell>
          <cell r="F945" t="str">
            <v>DPW</v>
          </cell>
          <cell r="H945" t="str">
            <v>PLNT</v>
          </cell>
          <cell r="I945" t="str">
            <v>PLNT</v>
          </cell>
          <cell r="J945" t="str">
            <v>PLNT</v>
          </cell>
          <cell r="K945" t="str">
            <v>PLNT</v>
          </cell>
          <cell r="L945" t="str">
            <v>PLNT</v>
          </cell>
        </row>
        <row r="949">
          <cell r="B949" t="str">
            <v>CUST</v>
          </cell>
          <cell r="C949" t="str">
            <v>CUST</v>
          </cell>
          <cell r="D949" t="str">
            <v>CUST</v>
          </cell>
          <cell r="E949" t="str">
            <v>CUST</v>
          </cell>
          <cell r="F949" t="str">
            <v>CUST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LABOR</v>
          </cell>
          <cell r="C951" t="str">
            <v>LABOR</v>
          </cell>
          <cell r="D951" t="str">
            <v>LABOR</v>
          </cell>
          <cell r="E951" t="str">
            <v>LABOR</v>
          </cell>
          <cell r="F951" t="str">
            <v>LABOR</v>
          </cell>
          <cell r="H951" t="str">
            <v>DISom</v>
          </cell>
          <cell r="I951" t="str">
            <v>DISom</v>
          </cell>
          <cell r="J951" t="str">
            <v>DISom</v>
          </cell>
          <cell r="K951" t="str">
            <v>DISom</v>
          </cell>
          <cell r="L951" t="str">
            <v>DISom</v>
          </cell>
        </row>
        <row r="952">
          <cell r="B952" t="str">
            <v>P</v>
          </cell>
          <cell r="C952" t="str">
            <v>P</v>
          </cell>
          <cell r="D952" t="str">
            <v>P</v>
          </cell>
          <cell r="E952" t="str">
            <v>P</v>
          </cell>
          <cell r="F952" t="str">
            <v>P</v>
          </cell>
          <cell r="H952" t="str">
            <v>PLNT</v>
          </cell>
          <cell r="I952" t="str">
            <v>PLNT</v>
          </cell>
          <cell r="J952" t="str">
            <v>PLNT</v>
          </cell>
          <cell r="K952" t="str">
            <v>PLNT</v>
          </cell>
          <cell r="L952" t="str">
            <v>PLNT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GP</v>
          </cell>
          <cell r="C954" t="str">
            <v>GP</v>
          </cell>
          <cell r="D954" t="str">
            <v>GP</v>
          </cell>
          <cell r="E954" t="str">
            <v>GP</v>
          </cell>
          <cell r="F954" t="str">
            <v>GP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GP</v>
          </cell>
          <cell r="C956" t="str">
            <v>GP</v>
          </cell>
          <cell r="D956" t="str">
            <v>GP</v>
          </cell>
          <cell r="E956" t="str">
            <v>GP</v>
          </cell>
          <cell r="F956" t="str">
            <v>GP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CUST</v>
          </cell>
          <cell r="C957" t="str">
            <v>CUST</v>
          </cell>
          <cell r="D957" t="str">
            <v>CUST</v>
          </cell>
          <cell r="E957" t="str">
            <v>CUST</v>
          </cell>
          <cell r="F957" t="str">
            <v>CUST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DITEXP</v>
          </cell>
          <cell r="C958" t="str">
            <v>DITEXP</v>
          </cell>
          <cell r="D958" t="str">
            <v>DITEXP</v>
          </cell>
          <cell r="E958" t="str">
            <v>DITEXP</v>
          </cell>
          <cell r="F958" t="str">
            <v>DITEXP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P</v>
          </cell>
          <cell r="C959" t="str">
            <v>P</v>
          </cell>
          <cell r="D959" t="str">
            <v>P</v>
          </cell>
          <cell r="E959" t="str">
            <v>P</v>
          </cell>
          <cell r="F959" t="str">
            <v>P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DPW</v>
          </cell>
          <cell r="C960" t="str">
            <v>DPW</v>
          </cell>
          <cell r="D960" t="str">
            <v>DPW</v>
          </cell>
          <cell r="E960" t="str">
            <v>DPW</v>
          </cell>
          <cell r="F960" t="str">
            <v>DPW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4">
          <cell r="B964" t="str">
            <v>GP</v>
          </cell>
          <cell r="C964" t="str">
            <v>GP</v>
          </cell>
          <cell r="D964" t="str">
            <v>GP</v>
          </cell>
          <cell r="E964" t="str">
            <v>GP</v>
          </cell>
          <cell r="F964" t="str">
            <v>GP</v>
          </cell>
          <cell r="H964" t="str">
            <v>PLNT</v>
          </cell>
          <cell r="I964" t="str">
            <v>PLNT</v>
          </cell>
          <cell r="J964" t="str">
            <v>PLNT</v>
          </cell>
          <cell r="K964" t="str">
            <v>PLNT</v>
          </cell>
          <cell r="L964" t="str">
            <v>PLNT</v>
          </cell>
        </row>
        <row r="965">
          <cell r="B965" t="str">
            <v>PT</v>
          </cell>
          <cell r="C965" t="str">
            <v>PT</v>
          </cell>
          <cell r="D965" t="str">
            <v>PT</v>
          </cell>
          <cell r="E965" t="str">
            <v>PT</v>
          </cell>
          <cell r="F965" t="str">
            <v>PT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GP</v>
          </cell>
          <cell r="C967" t="str">
            <v>GP</v>
          </cell>
          <cell r="D967" t="str">
            <v>GP</v>
          </cell>
          <cell r="E967" t="str">
            <v>GP</v>
          </cell>
          <cell r="F967" t="str">
            <v>GP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GP</v>
          </cell>
          <cell r="C969" t="str">
            <v>GP</v>
          </cell>
          <cell r="D969" t="str">
            <v>GP</v>
          </cell>
          <cell r="E969" t="str">
            <v>GP</v>
          </cell>
          <cell r="F969" t="str">
            <v>GP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LABOR</v>
          </cell>
          <cell r="C970" t="str">
            <v>LABOR</v>
          </cell>
          <cell r="D970" t="str">
            <v>LABOR</v>
          </cell>
          <cell r="E970" t="str">
            <v>LABOR</v>
          </cell>
          <cell r="F970" t="str">
            <v>LABOR</v>
          </cell>
          <cell r="H970" t="str">
            <v>DISom</v>
          </cell>
          <cell r="I970" t="str">
            <v>DISom</v>
          </cell>
          <cell r="J970" t="str">
            <v>DISom</v>
          </cell>
          <cell r="K970" t="str">
            <v>DISom</v>
          </cell>
          <cell r="L970" t="str">
            <v>DISom</v>
          </cell>
        </row>
        <row r="971">
          <cell r="B971" t="str">
            <v>PT</v>
          </cell>
          <cell r="C971" t="str">
            <v>PT</v>
          </cell>
          <cell r="D971" t="str">
            <v>PT</v>
          </cell>
          <cell r="E971" t="str">
            <v>PT</v>
          </cell>
          <cell r="F971" t="str">
            <v>PT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DPW</v>
          </cell>
          <cell r="C973" t="str">
            <v>DPW</v>
          </cell>
          <cell r="D973" t="str">
            <v>DPW</v>
          </cell>
          <cell r="E973" t="str">
            <v>DPW</v>
          </cell>
          <cell r="F973" t="str">
            <v>DPW</v>
          </cell>
          <cell r="H973" t="str">
            <v>PLNT</v>
          </cell>
          <cell r="I973" t="str">
            <v>PLNT</v>
          </cell>
          <cell r="J973" t="str">
            <v>PLNT</v>
          </cell>
          <cell r="K973" t="str">
            <v>PLNT</v>
          </cell>
          <cell r="L973" t="str">
            <v>PLNT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CUST</v>
          </cell>
          <cell r="C975" t="str">
            <v>CUST</v>
          </cell>
          <cell r="D975" t="str">
            <v>CUST</v>
          </cell>
          <cell r="E975" t="str">
            <v>CUST</v>
          </cell>
          <cell r="F975" t="str">
            <v>CUST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</v>
          </cell>
          <cell r="C976" t="str">
            <v>P</v>
          </cell>
          <cell r="D976" t="str">
            <v>P</v>
          </cell>
          <cell r="E976" t="str">
            <v>P</v>
          </cell>
          <cell r="F976" t="str">
            <v>P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0">
          <cell r="B980" t="str">
            <v>GP</v>
          </cell>
          <cell r="C980" t="str">
            <v>GP</v>
          </cell>
          <cell r="D980" t="str">
            <v>GP</v>
          </cell>
          <cell r="E980" t="str">
            <v>GP</v>
          </cell>
          <cell r="F980" t="str">
            <v>GP</v>
          </cell>
          <cell r="H980" t="str">
            <v>PLNT</v>
          </cell>
          <cell r="I980" t="str">
            <v>PLNT</v>
          </cell>
          <cell r="J980" t="str">
            <v>PLNT</v>
          </cell>
          <cell r="K980" t="str">
            <v>PLNT</v>
          </cell>
          <cell r="L980" t="str">
            <v>PLNT</v>
          </cell>
        </row>
        <row r="981">
          <cell r="B981" t="str">
            <v>GP</v>
          </cell>
          <cell r="C981" t="str">
            <v>GP</v>
          </cell>
          <cell r="D981" t="str">
            <v>GP</v>
          </cell>
          <cell r="E981" t="str">
            <v>GP</v>
          </cell>
          <cell r="F981" t="str">
            <v>GP</v>
          </cell>
          <cell r="H981" t="str">
            <v>PLNT</v>
          </cell>
          <cell r="I981" t="str">
            <v>PLNT</v>
          </cell>
          <cell r="J981" t="str">
            <v>PLNT</v>
          </cell>
          <cell r="K981" t="str">
            <v>PLNT</v>
          </cell>
          <cell r="L981" t="str">
            <v>PLNT</v>
          </cell>
        </row>
        <row r="982">
          <cell r="B982" t="str">
            <v>DITEXP</v>
          </cell>
          <cell r="C982" t="str">
            <v>DITEXP</v>
          </cell>
          <cell r="D982" t="str">
            <v>DITEXP</v>
          </cell>
          <cell r="E982" t="str">
            <v>DITEXP</v>
          </cell>
          <cell r="F982" t="str">
            <v>DITEXP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PT</v>
          </cell>
          <cell r="C983" t="str">
            <v>PT</v>
          </cell>
          <cell r="D983" t="str">
            <v>PT</v>
          </cell>
          <cell r="E983" t="str">
            <v>PT</v>
          </cell>
          <cell r="F983" t="str">
            <v>PT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P</v>
          </cell>
          <cell r="C984" t="str">
            <v>P</v>
          </cell>
          <cell r="D984" t="str">
            <v>P</v>
          </cell>
          <cell r="E984" t="str">
            <v>P</v>
          </cell>
          <cell r="F984" t="str">
            <v>P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PT</v>
          </cell>
          <cell r="C985" t="str">
            <v>PT</v>
          </cell>
          <cell r="D985" t="str">
            <v>PT</v>
          </cell>
          <cell r="E985" t="str">
            <v>PT</v>
          </cell>
          <cell r="F985" t="str">
            <v>PT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CUST</v>
          </cell>
          <cell r="C986" t="str">
            <v>CUST</v>
          </cell>
          <cell r="D986" t="str">
            <v>CUST</v>
          </cell>
          <cell r="E986" t="str">
            <v>CUST</v>
          </cell>
          <cell r="F986" t="str">
            <v>CUST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GP</v>
          </cell>
          <cell r="C987" t="str">
            <v>GP</v>
          </cell>
          <cell r="D987" t="str">
            <v>GP</v>
          </cell>
          <cell r="E987" t="str">
            <v>GP</v>
          </cell>
          <cell r="F987" t="str">
            <v>GP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88">
          <cell r="B988" t="str">
            <v>LABOR</v>
          </cell>
          <cell r="C988" t="str">
            <v>LABOR</v>
          </cell>
          <cell r="D988" t="str">
            <v>LABOR</v>
          </cell>
          <cell r="E988" t="str">
            <v>LABOR</v>
          </cell>
          <cell r="F988" t="str">
            <v>LABOR</v>
          </cell>
          <cell r="H988" t="str">
            <v>DISom</v>
          </cell>
          <cell r="I988" t="str">
            <v>DISom</v>
          </cell>
          <cell r="J988" t="str">
            <v>DISom</v>
          </cell>
          <cell r="K988" t="str">
            <v>DISom</v>
          </cell>
          <cell r="L988" t="str">
            <v>DISom</v>
          </cell>
        </row>
        <row r="989">
          <cell r="B989" t="str">
            <v>P</v>
          </cell>
          <cell r="C989" t="str">
            <v>P</v>
          </cell>
          <cell r="D989" t="str">
            <v>P</v>
          </cell>
          <cell r="E989" t="str">
            <v>P</v>
          </cell>
          <cell r="F989" t="str">
            <v>P</v>
          </cell>
          <cell r="H989" t="str">
            <v>PLNT</v>
          </cell>
          <cell r="I989" t="str">
            <v>PLNT</v>
          </cell>
          <cell r="J989" t="str">
            <v>PLNT</v>
          </cell>
          <cell r="K989" t="str">
            <v>PLNT</v>
          </cell>
          <cell r="L989" t="str">
            <v>PLNT</v>
          </cell>
        </row>
        <row r="990">
          <cell r="B990" t="str">
            <v>P</v>
          </cell>
          <cell r="C990" t="str">
            <v>P</v>
          </cell>
          <cell r="D990" t="str">
            <v>P</v>
          </cell>
          <cell r="E990" t="str">
            <v>P</v>
          </cell>
          <cell r="F990" t="str">
            <v>P</v>
          </cell>
          <cell r="H990" t="str">
            <v>PLNT</v>
          </cell>
          <cell r="I990" t="str">
            <v>PLNT</v>
          </cell>
          <cell r="J990" t="str">
            <v>PLNT</v>
          </cell>
          <cell r="K990" t="str">
            <v>PLNT</v>
          </cell>
          <cell r="L990" t="str">
            <v>PLNT</v>
          </cell>
        </row>
        <row r="991">
          <cell r="B991" t="str">
            <v>PT</v>
          </cell>
          <cell r="C991" t="str">
            <v>PT</v>
          </cell>
          <cell r="D991" t="str">
            <v>PT</v>
          </cell>
          <cell r="E991" t="str">
            <v>PT</v>
          </cell>
          <cell r="F991" t="str">
            <v>PT</v>
          </cell>
          <cell r="H991" t="str">
            <v>PLNT</v>
          </cell>
          <cell r="I991" t="str">
            <v>PLNT</v>
          </cell>
          <cell r="J991" t="str">
            <v>PLNT</v>
          </cell>
          <cell r="K991" t="str">
            <v>PLNT</v>
          </cell>
          <cell r="L991" t="str">
            <v>PLNT</v>
          </cell>
        </row>
        <row r="996">
          <cell r="B996" t="str">
            <v>SCHMAF</v>
          </cell>
          <cell r="C996" t="str">
            <v>SCHMAF</v>
          </cell>
          <cell r="D996" t="str">
            <v>SCHMAF</v>
          </cell>
          <cell r="E996" t="str">
            <v>SCHMAF</v>
          </cell>
          <cell r="F996" t="str">
            <v>SCHMAF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997">
          <cell r="B997" t="str">
            <v>SCHMAF</v>
          </cell>
          <cell r="C997" t="str">
            <v>SCHMAF</v>
          </cell>
          <cell r="D997" t="str">
            <v>SCHMAF</v>
          </cell>
          <cell r="E997" t="str">
            <v>SCHMAF</v>
          </cell>
          <cell r="F997" t="str">
            <v>SCHMAF</v>
          </cell>
          <cell r="H997" t="str">
            <v>PLNT</v>
          </cell>
          <cell r="I997" t="str">
            <v>PLNT</v>
          </cell>
          <cell r="J997" t="str">
            <v>PLNT</v>
          </cell>
          <cell r="K997" t="str">
            <v>PLNT</v>
          </cell>
          <cell r="L997" t="str">
            <v>PLNT</v>
          </cell>
        </row>
        <row r="998">
          <cell r="B998" t="str">
            <v>SCHMAF</v>
          </cell>
          <cell r="C998" t="str">
            <v>SCHMAF</v>
          </cell>
          <cell r="D998" t="str">
            <v>SCHMAF</v>
          </cell>
          <cell r="E998" t="str">
            <v>SCHMAF</v>
          </cell>
          <cell r="F998" t="str">
            <v>SCHMAF</v>
          </cell>
          <cell r="H998" t="str">
            <v>PLNT</v>
          </cell>
          <cell r="I998" t="str">
            <v>PLNT</v>
          </cell>
          <cell r="J998" t="str">
            <v>PLNT</v>
          </cell>
          <cell r="K998" t="str">
            <v>PLNT</v>
          </cell>
          <cell r="L998" t="str">
            <v>PLNT</v>
          </cell>
        </row>
        <row r="999">
          <cell r="B999" t="str">
            <v>SCHMAF</v>
          </cell>
          <cell r="C999" t="str">
            <v>SCHMAF</v>
          </cell>
          <cell r="D999" t="str">
            <v>SCHMAF</v>
          </cell>
          <cell r="E999" t="str">
            <v>SCHMAF</v>
          </cell>
          <cell r="F999" t="str">
            <v>SCHMAF</v>
          </cell>
          <cell r="H999" t="str">
            <v>PLNT</v>
          </cell>
          <cell r="I999" t="str">
            <v>PLNT</v>
          </cell>
          <cell r="J999" t="str">
            <v>PLNT</v>
          </cell>
          <cell r="K999" t="str">
            <v>PLNT</v>
          </cell>
          <cell r="L999" t="str">
            <v>PLNT</v>
          </cell>
        </row>
        <row r="1000">
          <cell r="B1000" t="str">
            <v>SCHMAF</v>
          </cell>
          <cell r="C1000" t="str">
            <v>SCHMAF</v>
          </cell>
          <cell r="D1000" t="str">
            <v>SCHMAF</v>
          </cell>
          <cell r="E1000" t="str">
            <v>SCHMAF</v>
          </cell>
          <cell r="F1000" t="str">
            <v>SCHMAF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SCHMAF</v>
          </cell>
          <cell r="C1001" t="str">
            <v>SCHMAF</v>
          </cell>
          <cell r="D1001" t="str">
            <v>SCHMAF</v>
          </cell>
          <cell r="E1001" t="str">
            <v>SCHMAF</v>
          </cell>
          <cell r="F1001" t="str">
            <v>SCHMAF</v>
          </cell>
          <cell r="H1001" t="str">
            <v>PLNT</v>
          </cell>
          <cell r="I1001" t="str">
            <v>PLNT</v>
          </cell>
          <cell r="J1001" t="str">
            <v>PLNT</v>
          </cell>
          <cell r="K1001" t="str">
            <v>PLNT</v>
          </cell>
          <cell r="L1001" t="str">
            <v>PLNT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P</v>
          </cell>
          <cell r="C1006" t="str">
            <v>P</v>
          </cell>
          <cell r="D1006" t="str">
            <v>P</v>
          </cell>
          <cell r="E1006" t="str">
            <v>P</v>
          </cell>
          <cell r="F1006" t="str">
            <v>P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P</v>
          </cell>
          <cell r="C1008" t="str">
            <v>P</v>
          </cell>
          <cell r="D1008" t="str">
            <v>P</v>
          </cell>
          <cell r="E1008" t="str">
            <v>P</v>
          </cell>
          <cell r="F1008" t="str">
            <v>P</v>
          </cell>
          <cell r="H1008" t="str">
            <v>DRB</v>
          </cell>
          <cell r="I1008" t="str">
            <v>DRB</v>
          </cell>
          <cell r="J1008" t="str">
            <v>DRB</v>
          </cell>
          <cell r="K1008" t="str">
            <v>DRB</v>
          </cell>
          <cell r="L1008" t="str">
            <v>DRB</v>
          </cell>
        </row>
        <row r="1009">
          <cell r="B1009" t="str">
            <v>P</v>
          </cell>
          <cell r="C1009" t="str">
            <v>P</v>
          </cell>
          <cell r="D1009" t="str">
            <v>P</v>
          </cell>
          <cell r="E1009" t="str">
            <v>P</v>
          </cell>
          <cell r="F1009" t="str">
            <v>P</v>
          </cell>
          <cell r="H1009" t="str">
            <v>DRB</v>
          </cell>
          <cell r="I1009" t="str">
            <v>DRB</v>
          </cell>
          <cell r="J1009" t="str">
            <v>DRB</v>
          </cell>
          <cell r="K1009" t="str">
            <v>DRB</v>
          </cell>
          <cell r="L1009" t="str">
            <v>DRB</v>
          </cell>
        </row>
        <row r="1010">
          <cell r="B1010" t="str">
            <v>P</v>
          </cell>
          <cell r="C1010" t="str">
            <v>P</v>
          </cell>
          <cell r="D1010" t="str">
            <v>P</v>
          </cell>
          <cell r="E1010" t="str">
            <v>P</v>
          </cell>
          <cell r="F1010" t="str">
            <v>P</v>
          </cell>
          <cell r="H1010" t="str">
            <v>DRB</v>
          </cell>
          <cell r="I1010" t="str">
            <v>DRB</v>
          </cell>
          <cell r="J1010" t="str">
            <v>DRB</v>
          </cell>
          <cell r="K1010" t="str">
            <v>DRB</v>
          </cell>
          <cell r="L1010" t="str">
            <v>DRB</v>
          </cell>
        </row>
        <row r="1011">
          <cell r="B1011" t="str">
            <v>P</v>
          </cell>
          <cell r="C1011" t="str">
            <v>P</v>
          </cell>
          <cell r="D1011" t="str">
            <v>P</v>
          </cell>
          <cell r="E1011" t="str">
            <v>P</v>
          </cell>
          <cell r="F1011" t="str">
            <v>P</v>
          </cell>
          <cell r="H1011" t="str">
            <v>DRB</v>
          </cell>
          <cell r="I1011" t="str">
            <v>DRB</v>
          </cell>
          <cell r="J1011" t="str">
            <v>DRB</v>
          </cell>
          <cell r="K1011" t="str">
            <v>DRB</v>
          </cell>
          <cell r="L1011" t="str">
            <v>DRB</v>
          </cell>
        </row>
        <row r="1012">
          <cell r="B1012" t="str">
            <v>LABOR</v>
          </cell>
          <cell r="C1012" t="str">
            <v>LABOR</v>
          </cell>
          <cell r="D1012" t="str">
            <v>LABOR</v>
          </cell>
          <cell r="E1012" t="str">
            <v>LABOR</v>
          </cell>
          <cell r="F1012" t="str">
            <v>LABOR</v>
          </cell>
          <cell r="H1012" t="str">
            <v>DISom</v>
          </cell>
          <cell r="I1012" t="str">
            <v>DISom</v>
          </cell>
          <cell r="J1012" t="str">
            <v>DISom</v>
          </cell>
          <cell r="K1012" t="str">
            <v>DISom</v>
          </cell>
          <cell r="L1012" t="str">
            <v>DISom</v>
          </cell>
        </row>
        <row r="1013">
          <cell r="B1013" t="str">
            <v>SCHMAP-SO</v>
          </cell>
          <cell r="C1013" t="str">
            <v>SCHMAP-SO</v>
          </cell>
          <cell r="D1013" t="str">
            <v>SCHMAP-SO</v>
          </cell>
          <cell r="E1013" t="str">
            <v>SCHMAP-SO</v>
          </cell>
          <cell r="F1013" t="str">
            <v>SCHMAP-SO</v>
          </cell>
          <cell r="H1013" t="str">
            <v>DISom</v>
          </cell>
          <cell r="I1013" t="str">
            <v>DISom</v>
          </cell>
          <cell r="J1013" t="str">
            <v>DISom</v>
          </cell>
          <cell r="K1013" t="str">
            <v>DISom</v>
          </cell>
          <cell r="L1013" t="str">
            <v>DISom</v>
          </cell>
        </row>
        <row r="1018">
          <cell r="B1018" t="str">
            <v>SCHMAT-SITUS</v>
          </cell>
          <cell r="C1018" t="str">
            <v>SCHMAT-SITUS</v>
          </cell>
          <cell r="D1018" t="str">
            <v>SCHMAT-SITUS</v>
          </cell>
          <cell r="E1018" t="str">
            <v>SCHMAT-SITUS</v>
          </cell>
          <cell r="F1018" t="str">
            <v>SCHMAT-SITUS</v>
          </cell>
          <cell r="H1018" t="str">
            <v>PLNT</v>
          </cell>
          <cell r="I1018" t="str">
            <v>PLNT</v>
          </cell>
          <cell r="J1018" t="str">
            <v>PLNT</v>
          </cell>
          <cell r="K1018" t="str">
            <v>PLNT</v>
          </cell>
          <cell r="L1018" t="str">
            <v>PLNT</v>
          </cell>
        </row>
        <row r="1019">
          <cell r="B1019" t="str">
            <v>P</v>
          </cell>
          <cell r="C1019" t="str">
            <v>P</v>
          </cell>
          <cell r="D1019" t="str">
            <v>P</v>
          </cell>
          <cell r="E1019" t="str">
            <v>P</v>
          </cell>
          <cell r="F1019" t="str">
            <v>P</v>
          </cell>
          <cell r="H1019" t="str">
            <v>DRB</v>
          </cell>
          <cell r="I1019" t="str">
            <v>DRB</v>
          </cell>
          <cell r="J1019" t="str">
            <v>DRB</v>
          </cell>
          <cell r="K1019" t="str">
            <v>DRB</v>
          </cell>
          <cell r="L1019" t="str">
            <v>DRB</v>
          </cell>
        </row>
        <row r="1020">
          <cell r="B1020" t="str">
            <v>DPW</v>
          </cell>
          <cell r="C1020" t="str">
            <v>DPW</v>
          </cell>
          <cell r="D1020" t="str">
            <v>DPW</v>
          </cell>
          <cell r="E1020" t="str">
            <v>DPW</v>
          </cell>
          <cell r="F1020" t="str">
            <v>DPW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SCHMAT-SNP</v>
          </cell>
          <cell r="C1021" t="str">
            <v>SCHMAT-SNP</v>
          </cell>
          <cell r="D1021" t="str">
            <v>SCHMAT-SNP</v>
          </cell>
          <cell r="E1021" t="str">
            <v>SCHMAT-SNP</v>
          </cell>
          <cell r="F1021" t="str">
            <v>SCHMAT-SNP</v>
          </cell>
          <cell r="H1021" t="str">
            <v>DISom</v>
          </cell>
          <cell r="I1021" t="str">
            <v>DISom</v>
          </cell>
          <cell r="J1021" t="str">
            <v>DISom</v>
          </cell>
          <cell r="K1021" t="str">
            <v>DISom</v>
          </cell>
          <cell r="L1021" t="str">
            <v>DISom</v>
          </cell>
        </row>
        <row r="1022">
          <cell r="B1022" t="str">
            <v>P</v>
          </cell>
          <cell r="C1022" t="str">
            <v>P</v>
          </cell>
          <cell r="D1022" t="str">
            <v>P</v>
          </cell>
          <cell r="E1022" t="str">
            <v>P</v>
          </cell>
          <cell r="F1022" t="str">
            <v>P</v>
          </cell>
          <cell r="H1022" t="str">
            <v>DRB</v>
          </cell>
          <cell r="I1022" t="str">
            <v>DRB</v>
          </cell>
          <cell r="J1022" t="str">
            <v>DRB</v>
          </cell>
          <cell r="K1022" t="str">
            <v>DRB</v>
          </cell>
          <cell r="L1022" t="str">
            <v>DRB</v>
          </cell>
        </row>
        <row r="1023">
          <cell r="B1023" t="str">
            <v>P</v>
          </cell>
          <cell r="C1023" t="str">
            <v>P</v>
          </cell>
          <cell r="D1023" t="str">
            <v>P</v>
          </cell>
          <cell r="E1023" t="str">
            <v>P</v>
          </cell>
          <cell r="F1023" t="str">
            <v>P</v>
          </cell>
          <cell r="H1023" t="str">
            <v>DRB</v>
          </cell>
          <cell r="I1023" t="str">
            <v>DRB</v>
          </cell>
          <cell r="J1023" t="str">
            <v>DRB</v>
          </cell>
          <cell r="K1023" t="str">
            <v>DRB</v>
          </cell>
          <cell r="L1023" t="str">
            <v>DRB</v>
          </cell>
        </row>
        <row r="1024">
          <cell r="B1024" t="str">
            <v>SCHMAT-SE</v>
          </cell>
          <cell r="C1024" t="str">
            <v>SCHMAT-SE</v>
          </cell>
          <cell r="D1024" t="str">
            <v>SCHMAT-SE</v>
          </cell>
          <cell r="E1024" t="str">
            <v>SCHMAT-SE</v>
          </cell>
          <cell r="F1024" t="str">
            <v>SCHMAT-SE</v>
          </cell>
          <cell r="H1024" t="str">
            <v>DRB</v>
          </cell>
          <cell r="I1024" t="str">
            <v>DRB</v>
          </cell>
          <cell r="J1024" t="str">
            <v>DRB</v>
          </cell>
          <cell r="K1024" t="str">
            <v>DRB</v>
          </cell>
          <cell r="L1024" t="str">
            <v>DRB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SCHMAT</v>
          </cell>
          <cell r="C1026" t="str">
            <v>SCHMAT</v>
          </cell>
          <cell r="D1026" t="str">
            <v>SCHMAT</v>
          </cell>
          <cell r="E1026" t="str">
            <v>SCHMAT</v>
          </cell>
          <cell r="F1026" t="str">
            <v>SCHMAT</v>
          </cell>
          <cell r="H1026" t="str">
            <v>PLNT</v>
          </cell>
          <cell r="I1026" t="str">
            <v>PLNT</v>
          </cell>
          <cell r="J1026" t="str">
            <v>PLNT</v>
          </cell>
          <cell r="K1026" t="str">
            <v>PLNT</v>
          </cell>
          <cell r="L1026" t="str">
            <v>PLNT</v>
          </cell>
        </row>
        <row r="1027">
          <cell r="B1027" t="str">
            <v>SCHMAT-SO</v>
          </cell>
          <cell r="C1027" t="str">
            <v>SCHMAT-SO</v>
          </cell>
          <cell r="D1027" t="str">
            <v>SCHMAT-SO</v>
          </cell>
          <cell r="E1027" t="str">
            <v>SCHMAT-SO</v>
          </cell>
          <cell r="F1027" t="str">
            <v>SCHMAT-SO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SCHMAT-SNP</v>
          </cell>
          <cell r="C1028" t="str">
            <v>SCHMAT-SNP</v>
          </cell>
          <cell r="D1028" t="str">
            <v>SCHMAT-SNP</v>
          </cell>
          <cell r="E1028" t="str">
            <v>SCHMAT-SNP</v>
          </cell>
          <cell r="F1028" t="str">
            <v>SCHMAT-SNP</v>
          </cell>
          <cell r="H1028" t="str">
            <v>DISom</v>
          </cell>
          <cell r="I1028" t="str">
            <v>DISom</v>
          </cell>
          <cell r="J1028" t="str">
            <v>DISom</v>
          </cell>
          <cell r="K1028" t="str">
            <v>DISom</v>
          </cell>
          <cell r="L1028" t="str">
            <v>DISom</v>
          </cell>
        </row>
        <row r="1029">
          <cell r="B1029" t="str">
            <v>P</v>
          </cell>
          <cell r="C1029" t="str">
            <v>P</v>
          </cell>
          <cell r="D1029" t="str">
            <v>P</v>
          </cell>
          <cell r="E1029" t="str">
            <v>P</v>
          </cell>
          <cell r="F1029" t="str">
            <v>P</v>
          </cell>
          <cell r="H1029" t="str">
            <v>DRB</v>
          </cell>
          <cell r="I1029" t="str">
            <v>DRB</v>
          </cell>
          <cell r="J1029" t="str">
            <v>DRB</v>
          </cell>
          <cell r="K1029" t="str">
            <v>DRB</v>
          </cell>
          <cell r="L1029" t="str">
            <v>DRB</v>
          </cell>
        </row>
        <row r="1030">
          <cell r="B1030" t="str">
            <v>CUST</v>
          </cell>
          <cell r="C1030" t="str">
            <v>CUST</v>
          </cell>
          <cell r="D1030" t="str">
            <v>CUST</v>
          </cell>
          <cell r="E1030" t="str">
            <v>CUST</v>
          </cell>
          <cell r="F1030" t="str">
            <v>CUST</v>
          </cell>
          <cell r="H1030" t="str">
            <v>CUST</v>
          </cell>
          <cell r="I1030" t="str">
            <v>CUST</v>
          </cell>
          <cell r="J1030" t="str">
            <v>CUST</v>
          </cell>
          <cell r="K1030" t="str">
            <v>CUST</v>
          </cell>
          <cell r="L1030" t="str">
            <v>CUST</v>
          </cell>
        </row>
        <row r="1031">
          <cell r="B1031" t="str">
            <v>P</v>
          </cell>
          <cell r="C1031" t="str">
            <v>P</v>
          </cell>
          <cell r="D1031" t="str">
            <v>P</v>
          </cell>
          <cell r="E1031" t="str">
            <v>P</v>
          </cell>
          <cell r="F1031" t="str">
            <v>P</v>
          </cell>
          <cell r="H1031" t="str">
            <v>DRB</v>
          </cell>
          <cell r="I1031" t="str">
            <v>DRB</v>
          </cell>
          <cell r="J1031" t="str">
            <v>DRB</v>
          </cell>
          <cell r="K1031" t="str">
            <v>DRB</v>
          </cell>
          <cell r="L1031" t="str">
            <v>DRB</v>
          </cell>
        </row>
        <row r="1032">
          <cell r="B1032" t="str">
            <v>P</v>
          </cell>
          <cell r="C1032" t="str">
            <v>P</v>
          </cell>
          <cell r="D1032" t="str">
            <v>P</v>
          </cell>
          <cell r="E1032" t="str">
            <v>P</v>
          </cell>
          <cell r="F1032" t="str">
            <v>P</v>
          </cell>
          <cell r="H1032" t="str">
            <v>DRB</v>
          </cell>
          <cell r="I1032" t="str">
            <v>DRB</v>
          </cell>
          <cell r="J1032" t="str">
            <v>DRB</v>
          </cell>
          <cell r="K1032" t="str">
            <v>DRB</v>
          </cell>
          <cell r="L1032" t="str">
            <v>DRB</v>
          </cell>
        </row>
        <row r="1033">
          <cell r="B1033" t="str">
            <v>SCHMAT-SE</v>
          </cell>
          <cell r="C1033" t="str">
            <v>SCHMAT-SE</v>
          </cell>
          <cell r="D1033" t="str">
            <v>SCHMAT-SE</v>
          </cell>
          <cell r="E1033" t="str">
            <v>SCHMAT-SE</v>
          </cell>
          <cell r="F1033" t="str">
            <v>SCHMAT-SE</v>
          </cell>
          <cell r="H1033" t="str">
            <v>DRB</v>
          </cell>
          <cell r="I1033" t="str">
            <v>DRB</v>
          </cell>
          <cell r="J1033" t="str">
            <v>DRB</v>
          </cell>
          <cell r="K1033" t="str">
            <v>DRB</v>
          </cell>
          <cell r="L1033" t="str">
            <v>DRB</v>
          </cell>
        </row>
        <row r="1034">
          <cell r="B1034" t="str">
            <v>SCHMAT-SE</v>
          </cell>
          <cell r="C1034" t="str">
            <v>SCHMAT-SE</v>
          </cell>
          <cell r="D1034" t="str">
            <v>SCHMAT-SE</v>
          </cell>
          <cell r="E1034" t="str">
            <v>SCHMAT-SE</v>
          </cell>
          <cell r="F1034" t="str">
            <v>SCHMAT-SE</v>
          </cell>
          <cell r="H1034" t="str">
            <v>DRB</v>
          </cell>
          <cell r="I1034" t="str">
            <v>DRB</v>
          </cell>
          <cell r="J1034" t="str">
            <v>DRB</v>
          </cell>
          <cell r="K1034" t="str">
            <v>DRB</v>
          </cell>
          <cell r="L1034" t="str">
            <v>DRB</v>
          </cell>
        </row>
        <row r="1035">
          <cell r="B1035" t="str">
            <v>BOOKDEPR</v>
          </cell>
          <cell r="C1035" t="str">
            <v>BOOKDEPR</v>
          </cell>
          <cell r="D1035" t="str">
            <v>BOOKDEPR</v>
          </cell>
          <cell r="E1035" t="str">
            <v>BOOKDEPR</v>
          </cell>
          <cell r="F1035" t="str">
            <v>BOOKDEPR</v>
          </cell>
          <cell r="H1035" t="str">
            <v>PLNT</v>
          </cell>
          <cell r="I1035" t="str">
            <v>PLNT</v>
          </cell>
          <cell r="J1035" t="str">
            <v>PLNT</v>
          </cell>
          <cell r="K1035" t="str">
            <v>PLNT</v>
          </cell>
          <cell r="L1035" t="str">
            <v>PLNT</v>
          </cell>
        </row>
        <row r="1041">
          <cell r="B1041" t="str">
            <v>SCHMDF</v>
          </cell>
          <cell r="C1041" t="str">
            <v>SCHMDF</v>
          </cell>
          <cell r="D1041" t="str">
            <v>SCHMDF</v>
          </cell>
          <cell r="E1041" t="str">
            <v>SCHMDF</v>
          </cell>
          <cell r="F1041" t="str">
            <v>SCHMDF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SCHMDF</v>
          </cell>
          <cell r="C1042" t="str">
            <v>SCHMDF</v>
          </cell>
          <cell r="D1042" t="str">
            <v>SCHMDF</v>
          </cell>
          <cell r="E1042" t="str">
            <v>SCHMDF</v>
          </cell>
          <cell r="F1042" t="str">
            <v>SCHMDF</v>
          </cell>
          <cell r="H1042" t="str">
            <v>PLNT</v>
          </cell>
          <cell r="I1042" t="str">
            <v>PLNT</v>
          </cell>
          <cell r="J1042" t="str">
            <v>PLNT</v>
          </cell>
          <cell r="K1042" t="str">
            <v>PLNT</v>
          </cell>
          <cell r="L1042" t="str">
            <v>PLNT</v>
          </cell>
        </row>
        <row r="1043">
          <cell r="B1043" t="str">
            <v>SCHMDF</v>
          </cell>
          <cell r="C1043" t="str">
            <v>SCHMDF</v>
          </cell>
          <cell r="D1043" t="str">
            <v>SCHMDF</v>
          </cell>
          <cell r="E1043" t="str">
            <v>SCHMDF</v>
          </cell>
          <cell r="F1043" t="str">
            <v>SCHMDF</v>
          </cell>
          <cell r="H1043" t="str">
            <v>PLNT</v>
          </cell>
          <cell r="I1043" t="str">
            <v>PLNT</v>
          </cell>
          <cell r="J1043" t="str">
            <v>PLNT</v>
          </cell>
          <cell r="K1043" t="str">
            <v>PLNT</v>
          </cell>
          <cell r="L1043" t="str">
            <v>PLNT</v>
          </cell>
        </row>
        <row r="1044">
          <cell r="B1044" t="str">
            <v>SCHMDF</v>
          </cell>
          <cell r="C1044" t="str">
            <v>SCHMDF</v>
          </cell>
          <cell r="D1044" t="str">
            <v>SCHMDF</v>
          </cell>
          <cell r="E1044" t="str">
            <v>SCHMDF</v>
          </cell>
          <cell r="F1044" t="str">
            <v>SCHMDF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45">
          <cell r="B1045" t="str">
            <v>SCHMDF</v>
          </cell>
          <cell r="C1045" t="str">
            <v>SCHMDF</v>
          </cell>
          <cell r="D1045" t="str">
            <v>SCHMDF</v>
          </cell>
          <cell r="E1045" t="str">
            <v>SCHMDF</v>
          </cell>
          <cell r="F1045" t="str">
            <v>SCHMDF</v>
          </cell>
          <cell r="H1045" t="str">
            <v>PLNT</v>
          </cell>
          <cell r="I1045" t="str">
            <v>PLNT</v>
          </cell>
          <cell r="J1045" t="str">
            <v>PLNT</v>
          </cell>
          <cell r="K1045" t="str">
            <v>PLNT</v>
          </cell>
          <cell r="L1045" t="str">
            <v>PLNT</v>
          </cell>
        </row>
        <row r="1048">
          <cell r="B1048" t="str">
            <v>SCHMDP</v>
          </cell>
          <cell r="C1048" t="str">
            <v>SCHMDP</v>
          </cell>
          <cell r="D1048" t="str">
            <v>SCHMDP</v>
          </cell>
          <cell r="E1048" t="str">
            <v>SCHMDP</v>
          </cell>
          <cell r="F1048" t="str">
            <v>SCHMDP</v>
          </cell>
          <cell r="H1048" t="str">
            <v>PLNT</v>
          </cell>
          <cell r="I1048" t="str">
            <v>PLNT</v>
          </cell>
          <cell r="J1048" t="str">
            <v>PLNT</v>
          </cell>
          <cell r="K1048" t="str">
            <v>PLNT</v>
          </cell>
          <cell r="L1048" t="str">
            <v>PLNT</v>
          </cell>
        </row>
        <row r="1049">
          <cell r="B1049" t="str">
            <v>P</v>
          </cell>
          <cell r="C1049" t="str">
            <v>P</v>
          </cell>
          <cell r="D1049" t="str">
            <v>P</v>
          </cell>
          <cell r="E1049" t="str">
            <v>P</v>
          </cell>
          <cell r="F1049" t="str">
            <v>P</v>
          </cell>
          <cell r="H1049" t="str">
            <v>DRB</v>
          </cell>
          <cell r="I1049" t="str">
            <v>DRB</v>
          </cell>
          <cell r="J1049" t="str">
            <v>DRB</v>
          </cell>
          <cell r="K1049" t="str">
            <v>DRB</v>
          </cell>
          <cell r="L1049" t="str">
            <v>DRB</v>
          </cell>
        </row>
        <row r="1050">
          <cell r="B1050" t="str">
            <v>P</v>
          </cell>
          <cell r="C1050" t="str">
            <v>P</v>
          </cell>
          <cell r="D1050" t="str">
            <v>P</v>
          </cell>
          <cell r="E1050" t="str">
            <v>P</v>
          </cell>
          <cell r="F1050" t="str">
            <v>P</v>
          </cell>
          <cell r="H1050" t="str">
            <v>DRB</v>
          </cell>
          <cell r="I1050" t="str">
            <v>DRB</v>
          </cell>
          <cell r="J1050" t="str">
            <v>DRB</v>
          </cell>
          <cell r="K1050" t="str">
            <v>DRB</v>
          </cell>
          <cell r="L1050" t="str">
            <v>DRB</v>
          </cell>
        </row>
        <row r="1051">
          <cell r="B1051" t="str">
            <v>P</v>
          </cell>
          <cell r="C1051" t="str">
            <v>P</v>
          </cell>
          <cell r="D1051" t="str">
            <v>P</v>
          </cell>
          <cell r="E1051" t="str">
            <v>P</v>
          </cell>
          <cell r="F1051" t="str">
            <v>P</v>
          </cell>
          <cell r="H1051" t="str">
            <v>DRB</v>
          </cell>
          <cell r="I1051" t="str">
            <v>DRB</v>
          </cell>
          <cell r="J1051" t="str">
            <v>DRB</v>
          </cell>
          <cell r="K1051" t="str">
            <v>DRB</v>
          </cell>
          <cell r="L1051" t="str">
            <v>DRB</v>
          </cell>
        </row>
        <row r="1052">
          <cell r="B1052" t="str">
            <v>PTD</v>
          </cell>
          <cell r="C1052" t="str">
            <v>PTD</v>
          </cell>
          <cell r="D1052" t="str">
            <v>PTD</v>
          </cell>
          <cell r="E1052" t="str">
            <v>PTD</v>
          </cell>
          <cell r="F1052" t="str">
            <v>PTD</v>
          </cell>
          <cell r="H1052" t="str">
            <v>DISom</v>
          </cell>
          <cell r="I1052" t="str">
            <v>DISom</v>
          </cell>
          <cell r="J1052" t="str">
            <v>DISom</v>
          </cell>
          <cell r="K1052" t="str">
            <v>DISom</v>
          </cell>
          <cell r="L1052" t="str">
            <v>DISom</v>
          </cell>
        </row>
        <row r="1053">
          <cell r="B1053" t="str">
            <v>SCHMDP</v>
          </cell>
          <cell r="C1053" t="str">
            <v>SCHMDP</v>
          </cell>
          <cell r="D1053" t="str">
            <v>SCHMDP</v>
          </cell>
          <cell r="E1053" t="str">
            <v>SCHMDP</v>
          </cell>
          <cell r="F1053" t="str">
            <v>SCHMDP</v>
          </cell>
          <cell r="H1053" t="str">
            <v>DISom</v>
          </cell>
          <cell r="I1053" t="str">
            <v>DISom</v>
          </cell>
          <cell r="J1053" t="str">
            <v>DISom</v>
          </cell>
          <cell r="K1053" t="str">
            <v>DISom</v>
          </cell>
          <cell r="L1053" t="str">
            <v>DISom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DISom</v>
          </cell>
          <cell r="I1054" t="str">
            <v>DISom</v>
          </cell>
          <cell r="J1054" t="str">
            <v>DISom</v>
          </cell>
          <cell r="K1054" t="str">
            <v>DISom</v>
          </cell>
          <cell r="L1054" t="str">
            <v>DISom</v>
          </cell>
        </row>
        <row r="1055">
          <cell r="B1055" t="str">
            <v>P</v>
          </cell>
          <cell r="C1055" t="str">
            <v>P</v>
          </cell>
          <cell r="D1055" t="str">
            <v>P</v>
          </cell>
          <cell r="E1055" t="str">
            <v>P</v>
          </cell>
          <cell r="F1055" t="str">
            <v>P</v>
          </cell>
          <cell r="H1055" t="str">
            <v>DISom</v>
          </cell>
          <cell r="I1055" t="str">
            <v>DISom</v>
          </cell>
          <cell r="J1055" t="str">
            <v>DISom</v>
          </cell>
          <cell r="K1055" t="str">
            <v>DISom</v>
          </cell>
          <cell r="L1055" t="str">
            <v>DISom</v>
          </cell>
        </row>
        <row r="1056">
          <cell r="B1056" t="str">
            <v>P</v>
          </cell>
          <cell r="C1056" t="str">
            <v>P</v>
          </cell>
          <cell r="D1056" t="str">
            <v>P</v>
          </cell>
          <cell r="E1056" t="str">
            <v>P</v>
          </cell>
          <cell r="F1056" t="str">
            <v>P</v>
          </cell>
          <cell r="H1056" t="str">
            <v>DRB</v>
          </cell>
          <cell r="I1056" t="str">
            <v>DRB</v>
          </cell>
          <cell r="J1056" t="str">
            <v>DRB</v>
          </cell>
          <cell r="K1056" t="str">
            <v>DRB</v>
          </cell>
          <cell r="L1056" t="str">
            <v>DRB</v>
          </cell>
        </row>
        <row r="1060">
          <cell r="B1060" t="str">
            <v>GP</v>
          </cell>
          <cell r="C1060" t="str">
            <v>GP</v>
          </cell>
          <cell r="D1060" t="str">
            <v>GP</v>
          </cell>
          <cell r="E1060" t="str">
            <v>GP</v>
          </cell>
          <cell r="F1060" t="str">
            <v>GP</v>
          </cell>
          <cell r="H1060" t="str">
            <v>PLNT</v>
          </cell>
          <cell r="I1060" t="str">
            <v>PLNT</v>
          </cell>
          <cell r="J1060" t="str">
            <v>PLNT</v>
          </cell>
          <cell r="K1060" t="str">
            <v>PLNT</v>
          </cell>
          <cell r="L1060" t="str">
            <v>PLNT</v>
          </cell>
        </row>
        <row r="1061">
          <cell r="B1061" t="str">
            <v>CUST</v>
          </cell>
          <cell r="C1061" t="str">
            <v>CUST</v>
          </cell>
          <cell r="D1061" t="str">
            <v>CUST</v>
          </cell>
          <cell r="E1061" t="str">
            <v>CUST</v>
          </cell>
          <cell r="F1061" t="str">
            <v>CUST</v>
          </cell>
          <cell r="H1061" t="str">
            <v>CUST</v>
          </cell>
          <cell r="I1061" t="str">
            <v>CUST</v>
          </cell>
          <cell r="J1061" t="str">
            <v>CUST</v>
          </cell>
          <cell r="K1061" t="str">
            <v>CUST</v>
          </cell>
          <cell r="L1061" t="str">
            <v>CUST</v>
          </cell>
        </row>
        <row r="1062">
          <cell r="B1062" t="str">
            <v>CUST</v>
          </cell>
          <cell r="C1062" t="str">
            <v>CUST</v>
          </cell>
          <cell r="D1062" t="str">
            <v>CUST</v>
          </cell>
          <cell r="E1062" t="str">
            <v>CUST</v>
          </cell>
          <cell r="F1062" t="str">
            <v>CUST</v>
          </cell>
          <cell r="H1062" t="str">
            <v>CUST</v>
          </cell>
          <cell r="I1062" t="str">
            <v>CUST</v>
          </cell>
          <cell r="J1062" t="str">
            <v>CUST</v>
          </cell>
          <cell r="K1062" t="str">
            <v>CUST</v>
          </cell>
          <cell r="L1062" t="str">
            <v>CUST</v>
          </cell>
        </row>
        <row r="1063">
          <cell r="B1063" t="str">
            <v>SCHMDT-SNP</v>
          </cell>
          <cell r="C1063" t="str">
            <v>SCHMDT-SNP</v>
          </cell>
          <cell r="D1063" t="str">
            <v>SCHMDT-SNP</v>
          </cell>
          <cell r="E1063" t="str">
            <v>SCHMDT-SNP</v>
          </cell>
          <cell r="F1063" t="str">
            <v>SCHMDT-SNP</v>
          </cell>
          <cell r="H1063" t="str">
            <v>DISom</v>
          </cell>
          <cell r="I1063" t="str">
            <v>DISom</v>
          </cell>
          <cell r="J1063" t="str">
            <v>DISom</v>
          </cell>
          <cell r="K1063" t="str">
            <v>DISom</v>
          </cell>
          <cell r="L1063" t="str">
            <v>DISom</v>
          </cell>
        </row>
        <row r="1064">
          <cell r="B1064" t="str">
            <v>DPW</v>
          </cell>
          <cell r="C1064" t="str">
            <v>DPW</v>
          </cell>
          <cell r="D1064" t="str">
            <v>DPW</v>
          </cell>
          <cell r="E1064" t="str">
            <v>DPW</v>
          </cell>
          <cell r="F1064" t="str">
            <v>DPW</v>
          </cell>
          <cell r="H1064" t="str">
            <v>PLNT</v>
          </cell>
          <cell r="I1064" t="str">
            <v>PLNT</v>
          </cell>
          <cell r="J1064" t="str">
            <v>PLNT</v>
          </cell>
          <cell r="K1064" t="str">
            <v>PLNT</v>
          </cell>
          <cell r="L1064" t="str">
            <v>PLNT</v>
          </cell>
        </row>
        <row r="1065">
          <cell r="B1065" t="str">
            <v>P</v>
          </cell>
          <cell r="C1065" t="str">
            <v>P</v>
          </cell>
          <cell r="D1065" t="str">
            <v>P</v>
          </cell>
          <cell r="E1065" t="str">
            <v>P</v>
          </cell>
          <cell r="F1065" t="str">
            <v>P</v>
          </cell>
          <cell r="H1065" t="str">
            <v>DRB</v>
          </cell>
          <cell r="I1065" t="str">
            <v>DRB</v>
          </cell>
          <cell r="J1065" t="str">
            <v>DRB</v>
          </cell>
          <cell r="K1065" t="str">
            <v>DRB</v>
          </cell>
          <cell r="L1065" t="str">
            <v>DRB</v>
          </cell>
        </row>
        <row r="1066">
          <cell r="B1066" t="str">
            <v>P</v>
          </cell>
          <cell r="C1066" t="str">
            <v>P</v>
          </cell>
          <cell r="D1066" t="str">
            <v>P</v>
          </cell>
          <cell r="E1066" t="str">
            <v>P</v>
          </cell>
          <cell r="F1066" t="str">
            <v>P</v>
          </cell>
          <cell r="H1066" t="str">
            <v>DRB</v>
          </cell>
          <cell r="I1066" t="str">
            <v>DRB</v>
          </cell>
          <cell r="J1066" t="str">
            <v>DRB</v>
          </cell>
          <cell r="K1066" t="str">
            <v>DRB</v>
          </cell>
          <cell r="L1066" t="str">
            <v>DRB</v>
          </cell>
        </row>
        <row r="1067">
          <cell r="B1067" t="str">
            <v>SCHMDT-SG</v>
          </cell>
          <cell r="C1067" t="str">
            <v>SCHMDT-SG</v>
          </cell>
          <cell r="D1067" t="str">
            <v>SCHMDT-SG</v>
          </cell>
          <cell r="E1067" t="str">
            <v>SCHMDT-SG</v>
          </cell>
          <cell r="F1067" t="str">
            <v>SCHMDT-SG</v>
          </cell>
          <cell r="H1067" t="str">
            <v>DRB</v>
          </cell>
          <cell r="I1067" t="str">
            <v>DRB</v>
          </cell>
          <cell r="J1067" t="str">
            <v>DRB</v>
          </cell>
          <cell r="K1067" t="str">
            <v>DRB</v>
          </cell>
          <cell r="L1067" t="str">
            <v>DRB</v>
          </cell>
        </row>
        <row r="1068">
          <cell r="B1068" t="str">
            <v>SCHMDT-GPS</v>
          </cell>
          <cell r="C1068" t="str">
            <v>SCHMDT-GPS</v>
          </cell>
          <cell r="D1068" t="str">
            <v>SCHMDT-GPS</v>
          </cell>
          <cell r="E1068" t="str">
            <v>SCHMDT-GPS</v>
          </cell>
          <cell r="F1068" t="str">
            <v>SCHMDT-GPS</v>
          </cell>
          <cell r="H1068" t="str">
            <v>DRB</v>
          </cell>
          <cell r="I1068" t="str">
            <v>DRB</v>
          </cell>
          <cell r="J1068" t="str">
            <v>DRB</v>
          </cell>
          <cell r="K1068" t="str">
            <v>DRB</v>
          </cell>
          <cell r="L1068" t="str">
            <v>DRB</v>
          </cell>
        </row>
        <row r="1069">
          <cell r="B1069" t="str">
            <v>SCHMDT-SO</v>
          </cell>
          <cell r="C1069" t="str">
            <v>SCHMDT-SO</v>
          </cell>
          <cell r="D1069" t="str">
            <v>SCHMDT-SO</v>
          </cell>
          <cell r="E1069" t="str">
            <v>SCHMDT-SO</v>
          </cell>
          <cell r="F1069" t="str">
            <v>SCHMDT-SO</v>
          </cell>
          <cell r="H1069" t="str">
            <v>DISom</v>
          </cell>
          <cell r="I1069" t="str">
            <v>DISom</v>
          </cell>
          <cell r="J1069" t="str">
            <v>DISom</v>
          </cell>
          <cell r="K1069" t="str">
            <v>DISom</v>
          </cell>
          <cell r="L1069" t="str">
            <v>DISom</v>
          </cell>
        </row>
        <row r="1070">
          <cell r="B1070" t="str">
            <v>TAXDEPR</v>
          </cell>
          <cell r="C1070" t="str">
            <v>TAXDEPR</v>
          </cell>
          <cell r="D1070" t="str">
            <v>TAXDEPR</v>
          </cell>
          <cell r="E1070" t="str">
            <v>TAXDEPR</v>
          </cell>
          <cell r="F1070" t="str">
            <v>TAXDEPR</v>
          </cell>
          <cell r="H1070" t="str">
            <v>DISom</v>
          </cell>
          <cell r="I1070" t="str">
            <v>DISom</v>
          </cell>
          <cell r="J1070" t="str">
            <v>DISom</v>
          </cell>
          <cell r="K1070" t="str">
            <v>DISom</v>
          </cell>
          <cell r="L1070" t="str">
            <v>DISom</v>
          </cell>
        </row>
        <row r="1071">
          <cell r="B1071" t="str">
            <v>SCHMDT-SG</v>
          </cell>
          <cell r="C1071" t="str">
            <v>SCHMDT-SG</v>
          </cell>
          <cell r="D1071" t="str">
            <v>SCHMDT-SG</v>
          </cell>
          <cell r="E1071" t="str">
            <v>SCHMDT-SG</v>
          </cell>
          <cell r="F1071" t="str">
            <v>SCHMDT-SG</v>
          </cell>
          <cell r="H1071" t="str">
            <v>PLNT</v>
          </cell>
          <cell r="I1071" t="str">
            <v>PLNT</v>
          </cell>
          <cell r="J1071" t="str">
            <v>PLNT</v>
          </cell>
          <cell r="K1071" t="str">
            <v>PLNT</v>
          </cell>
          <cell r="L1071" t="str">
            <v>PLNT</v>
          </cell>
        </row>
        <row r="1072">
          <cell r="B1072" t="str">
            <v>SCHMDT-SG</v>
          </cell>
          <cell r="C1072" t="str">
            <v>SCHMDT-SG</v>
          </cell>
          <cell r="D1072" t="str">
            <v>SCHMDT-SG</v>
          </cell>
          <cell r="E1072" t="str">
            <v>SCHMDT-SG</v>
          </cell>
          <cell r="F1072" t="str">
            <v>SCHMDT-SG</v>
          </cell>
          <cell r="H1072" t="str">
            <v>DRB</v>
          </cell>
          <cell r="I1072" t="str">
            <v>DRB</v>
          </cell>
          <cell r="J1072" t="str">
            <v>DRB</v>
          </cell>
          <cell r="K1072" t="str">
            <v>DRB</v>
          </cell>
          <cell r="L1072" t="str">
            <v>DRB</v>
          </cell>
        </row>
        <row r="1073">
          <cell r="B1073" t="str">
            <v>P</v>
          </cell>
          <cell r="C1073" t="str">
            <v>P</v>
          </cell>
          <cell r="D1073" t="str">
            <v>P</v>
          </cell>
          <cell r="E1073" t="str">
            <v>P</v>
          </cell>
          <cell r="F1073" t="str">
            <v>P</v>
          </cell>
          <cell r="H1073" t="str">
            <v>DRB</v>
          </cell>
          <cell r="I1073" t="str">
            <v>DRB</v>
          </cell>
          <cell r="J1073" t="str">
            <v>DRB</v>
          </cell>
          <cell r="K1073" t="str">
            <v>DRB</v>
          </cell>
          <cell r="L1073" t="str">
            <v>DRB</v>
          </cell>
        </row>
        <row r="1074">
          <cell r="B1074" t="str">
            <v>P</v>
          </cell>
          <cell r="C1074" t="str">
            <v>P</v>
          </cell>
          <cell r="D1074" t="str">
            <v>P</v>
          </cell>
          <cell r="E1074" t="str">
            <v>P</v>
          </cell>
          <cell r="F1074" t="str">
            <v>P</v>
          </cell>
          <cell r="H1074" t="str">
            <v>DRB</v>
          </cell>
          <cell r="I1074" t="str">
            <v>DRB</v>
          </cell>
          <cell r="J1074" t="str">
            <v>DRB</v>
          </cell>
          <cell r="K1074" t="str">
            <v>DRB</v>
          </cell>
          <cell r="L1074" t="str">
            <v>DRB</v>
          </cell>
        </row>
        <row r="1075">
          <cell r="B1075" t="str">
            <v>P</v>
          </cell>
          <cell r="C1075" t="str">
            <v>P</v>
          </cell>
          <cell r="D1075" t="str">
            <v>P</v>
          </cell>
          <cell r="E1075" t="str">
            <v>P</v>
          </cell>
          <cell r="F1075" t="str">
            <v>P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5">
          <cell r="B1085" t="str">
            <v>IBT</v>
          </cell>
          <cell r="C1085" t="str">
            <v>IBT</v>
          </cell>
          <cell r="D1085" t="str">
            <v>IBT</v>
          </cell>
          <cell r="E1085" t="str">
            <v>IBT</v>
          </cell>
          <cell r="F1085" t="str">
            <v>IBT</v>
          </cell>
          <cell r="H1085" t="str">
            <v>DRB</v>
          </cell>
          <cell r="I1085" t="str">
            <v>DRB</v>
          </cell>
          <cell r="J1085" t="str">
            <v>DRB</v>
          </cell>
          <cell r="K1085" t="str">
            <v>DRB</v>
          </cell>
          <cell r="L1085" t="str">
            <v>DRB</v>
          </cell>
        </row>
        <row r="1086">
          <cell r="B1086" t="str">
            <v>IBT</v>
          </cell>
          <cell r="C1086" t="str">
            <v>IBT</v>
          </cell>
          <cell r="D1086" t="str">
            <v>IBT</v>
          </cell>
          <cell r="E1086" t="str">
            <v>IBT</v>
          </cell>
          <cell r="F1086" t="str">
            <v>IBT</v>
          </cell>
          <cell r="H1086" t="str">
            <v>DRB</v>
          </cell>
          <cell r="I1086" t="str">
            <v>DRB</v>
          </cell>
          <cell r="J1086" t="str">
            <v>DRB</v>
          </cell>
          <cell r="K1086" t="str">
            <v>DRB</v>
          </cell>
          <cell r="L1086" t="str">
            <v>DRB</v>
          </cell>
        </row>
        <row r="1087">
          <cell r="B1087" t="str">
            <v>IBT</v>
          </cell>
          <cell r="C1087" t="str">
            <v>IBT</v>
          </cell>
          <cell r="D1087" t="str">
            <v>IBT</v>
          </cell>
          <cell r="E1087" t="str">
            <v>IBT</v>
          </cell>
          <cell r="F1087" t="str">
            <v>IBT</v>
          </cell>
          <cell r="H1087" t="str">
            <v>DRB</v>
          </cell>
          <cell r="I1087" t="str">
            <v>DRB</v>
          </cell>
          <cell r="J1087" t="str">
            <v>DRB</v>
          </cell>
          <cell r="K1087" t="str">
            <v>DRB</v>
          </cell>
          <cell r="L1087" t="str">
            <v>DRB</v>
          </cell>
        </row>
        <row r="1088">
          <cell r="B1088" t="str">
            <v>IBT</v>
          </cell>
          <cell r="C1088" t="str">
            <v>IBT</v>
          </cell>
          <cell r="D1088" t="str">
            <v>IBT</v>
          </cell>
          <cell r="E1088" t="str">
            <v>IBT</v>
          </cell>
          <cell r="F1088" t="str">
            <v>IBT</v>
          </cell>
          <cell r="H1088" t="str">
            <v>DRB</v>
          </cell>
          <cell r="I1088" t="str">
            <v>DRB</v>
          </cell>
          <cell r="J1088" t="str">
            <v>DRB</v>
          </cell>
          <cell r="K1088" t="str">
            <v>DRB</v>
          </cell>
          <cell r="L1088" t="str">
            <v>DRB</v>
          </cell>
        </row>
        <row r="1108">
          <cell r="B1108" t="str">
            <v>IBT</v>
          </cell>
          <cell r="C1108" t="str">
            <v>IBT</v>
          </cell>
          <cell r="D1108" t="str">
            <v>IBT</v>
          </cell>
          <cell r="E1108" t="str">
            <v>IBT</v>
          </cell>
          <cell r="F1108" t="str">
            <v>IBT</v>
          </cell>
          <cell r="H1108" t="str">
            <v>DRB</v>
          </cell>
          <cell r="I1108" t="str">
            <v>DRB</v>
          </cell>
          <cell r="J1108" t="str">
            <v>DRB</v>
          </cell>
          <cell r="K1108" t="str">
            <v>DRB</v>
          </cell>
          <cell r="L1108" t="str">
            <v>DRB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18">
          <cell r="B1118" t="str">
            <v>P</v>
          </cell>
          <cell r="C1118" t="str">
            <v>P</v>
          </cell>
          <cell r="D1118" t="str">
            <v>P</v>
          </cell>
          <cell r="E1118" t="str">
            <v>P</v>
          </cell>
          <cell r="F1118" t="str">
            <v>P</v>
          </cell>
        </row>
        <row r="1119">
          <cell r="B1119" t="str">
            <v>P</v>
          </cell>
          <cell r="C1119" t="str">
            <v>P</v>
          </cell>
          <cell r="D1119" t="str">
            <v>P</v>
          </cell>
          <cell r="E1119" t="str">
            <v>P</v>
          </cell>
          <cell r="F1119" t="str">
            <v>P</v>
          </cell>
        </row>
        <row r="1120">
          <cell r="B1120" t="str">
            <v>P</v>
          </cell>
          <cell r="C1120" t="str">
            <v>P</v>
          </cell>
          <cell r="D1120" t="str">
            <v>P</v>
          </cell>
          <cell r="E1120" t="str">
            <v>P</v>
          </cell>
          <cell r="F1120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FIT</v>
          </cell>
          <cell r="C1122" t="str">
            <v>FIT</v>
          </cell>
          <cell r="D1122" t="str">
            <v>FIT</v>
          </cell>
          <cell r="E1122" t="str">
            <v>FIT</v>
          </cell>
          <cell r="F1122" t="str">
            <v>FIT</v>
          </cell>
          <cell r="H1122" t="str">
            <v>DRB</v>
          </cell>
          <cell r="I1122" t="str">
            <v>DRB</v>
          </cell>
          <cell r="J1122" t="str">
            <v>DRB</v>
          </cell>
          <cell r="K1122" t="str">
            <v>DRB</v>
          </cell>
          <cell r="L1122" t="str">
            <v>DRB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2">
          <cell r="B1132" t="str">
            <v>P</v>
          </cell>
          <cell r="C1132" t="str">
            <v>P</v>
          </cell>
          <cell r="D1132" t="str">
            <v>P</v>
          </cell>
          <cell r="E1132" t="str">
            <v>P</v>
          </cell>
          <cell r="F1132" t="str">
            <v>P</v>
          </cell>
        </row>
        <row r="1133">
          <cell r="B1133" t="str">
            <v>P</v>
          </cell>
          <cell r="C1133" t="str">
            <v>P</v>
          </cell>
          <cell r="D1133" t="str">
            <v>P</v>
          </cell>
          <cell r="E1133" t="str">
            <v>P</v>
          </cell>
          <cell r="F1133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39">
          <cell r="B1139" t="str">
            <v>P</v>
          </cell>
          <cell r="C1139" t="str">
            <v>P</v>
          </cell>
          <cell r="D1139" t="str">
            <v>P</v>
          </cell>
          <cell r="E1139" t="str">
            <v>P</v>
          </cell>
          <cell r="F1139" t="str">
            <v>P</v>
          </cell>
        </row>
        <row r="1140">
          <cell r="B1140" t="str">
            <v>P</v>
          </cell>
          <cell r="C1140" t="str">
            <v>P</v>
          </cell>
          <cell r="D1140" t="str">
            <v>P</v>
          </cell>
          <cell r="E1140" t="str">
            <v>P</v>
          </cell>
          <cell r="F1140" t="str">
            <v>P</v>
          </cell>
        </row>
        <row r="1144">
          <cell r="B1144" t="str">
            <v>P</v>
          </cell>
          <cell r="C1144" t="str">
            <v>P</v>
          </cell>
          <cell r="D1144" t="str">
            <v>P</v>
          </cell>
          <cell r="E1144" t="str">
            <v>P</v>
          </cell>
          <cell r="F1144" t="str">
            <v>P</v>
          </cell>
        </row>
        <row r="1145">
          <cell r="B1145" t="str">
            <v>P</v>
          </cell>
          <cell r="C1145" t="str">
            <v>P</v>
          </cell>
          <cell r="D1145" t="str">
            <v>P</v>
          </cell>
          <cell r="E1145" t="str">
            <v>P</v>
          </cell>
          <cell r="F1145" t="str">
            <v>P</v>
          </cell>
        </row>
        <row r="1146">
          <cell r="B1146" t="str">
            <v>P</v>
          </cell>
          <cell r="C1146" t="str">
            <v>P</v>
          </cell>
          <cell r="D1146" t="str">
            <v>P</v>
          </cell>
          <cell r="E1146" t="str">
            <v>P</v>
          </cell>
          <cell r="F1146" t="str">
            <v>P</v>
          </cell>
        </row>
        <row r="1147">
          <cell r="B1147" t="str">
            <v>P</v>
          </cell>
          <cell r="C1147" t="str">
            <v>P</v>
          </cell>
          <cell r="D1147" t="str">
            <v>P</v>
          </cell>
          <cell r="E1147" t="str">
            <v>P</v>
          </cell>
          <cell r="F1147" t="str">
            <v>P</v>
          </cell>
        </row>
        <row r="1151">
          <cell r="B1151" t="str">
            <v>P</v>
          </cell>
          <cell r="C1151" t="str">
            <v>P</v>
          </cell>
          <cell r="D1151" t="str">
            <v>P</v>
          </cell>
          <cell r="E1151" t="str">
            <v>P</v>
          </cell>
          <cell r="F1151" t="str">
            <v>P</v>
          </cell>
        </row>
        <row r="1152">
          <cell r="B1152" t="str">
            <v>P</v>
          </cell>
          <cell r="C1152" t="str">
            <v>P</v>
          </cell>
          <cell r="D1152" t="str">
            <v>P</v>
          </cell>
          <cell r="E1152" t="str">
            <v>P</v>
          </cell>
          <cell r="F1152" t="str">
            <v>P</v>
          </cell>
        </row>
        <row r="1153">
          <cell r="B1153" t="str">
            <v>P</v>
          </cell>
          <cell r="C1153" t="str">
            <v>P</v>
          </cell>
          <cell r="D1153" t="str">
            <v>P</v>
          </cell>
          <cell r="E1153" t="str">
            <v>P</v>
          </cell>
          <cell r="F1153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59">
          <cell r="B1159" t="str">
            <v>P</v>
          </cell>
          <cell r="C1159" t="str">
            <v>P</v>
          </cell>
          <cell r="D1159" t="str">
            <v>P</v>
          </cell>
          <cell r="E1159" t="str">
            <v>P</v>
          </cell>
          <cell r="F1159" t="str">
            <v>P</v>
          </cell>
        </row>
        <row r="1160">
          <cell r="B1160" t="str">
            <v>P</v>
          </cell>
          <cell r="C1160" t="str">
            <v>P</v>
          </cell>
          <cell r="D1160" t="str">
            <v>P</v>
          </cell>
          <cell r="E1160" t="str">
            <v>P</v>
          </cell>
          <cell r="F1160" t="str">
            <v>P</v>
          </cell>
        </row>
        <row r="1161">
          <cell r="B1161" t="str">
            <v>P</v>
          </cell>
          <cell r="C1161" t="str">
            <v>P</v>
          </cell>
          <cell r="D1161" t="str">
            <v>P</v>
          </cell>
          <cell r="E1161" t="str">
            <v>P</v>
          </cell>
          <cell r="F1161" t="str">
            <v>P</v>
          </cell>
        </row>
        <row r="1165">
          <cell r="B1165" t="str">
            <v>P</v>
          </cell>
          <cell r="C1165" t="str">
            <v>P</v>
          </cell>
          <cell r="D1165" t="str">
            <v>P</v>
          </cell>
          <cell r="E1165" t="str">
            <v>P</v>
          </cell>
          <cell r="F1165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67">
          <cell r="B1167" t="str">
            <v>P</v>
          </cell>
          <cell r="C1167" t="str">
            <v>P</v>
          </cell>
          <cell r="D1167" t="str">
            <v>P</v>
          </cell>
          <cell r="E1167" t="str">
            <v>P</v>
          </cell>
          <cell r="F1167" t="str">
            <v>P</v>
          </cell>
        </row>
        <row r="1168">
          <cell r="B1168" t="str">
            <v>P</v>
          </cell>
          <cell r="C1168" t="str">
            <v>P</v>
          </cell>
          <cell r="D1168" t="str">
            <v>P</v>
          </cell>
          <cell r="E1168" t="str">
            <v>P</v>
          </cell>
          <cell r="F1168" t="str">
            <v>P</v>
          </cell>
        </row>
        <row r="1169">
          <cell r="B1169" t="str">
            <v>P</v>
          </cell>
          <cell r="C1169" t="str">
            <v>P</v>
          </cell>
          <cell r="D1169" t="str">
            <v>P</v>
          </cell>
          <cell r="E1169" t="str">
            <v>P</v>
          </cell>
          <cell r="F1169" t="str">
            <v>P</v>
          </cell>
        </row>
        <row r="1174">
          <cell r="B1174" t="str">
            <v>P</v>
          </cell>
          <cell r="C1174" t="str">
            <v>P</v>
          </cell>
          <cell r="D1174" t="str">
            <v>P</v>
          </cell>
          <cell r="E1174" t="str">
            <v>P</v>
          </cell>
          <cell r="F1174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6">
          <cell r="B1186" t="str">
            <v>P</v>
          </cell>
          <cell r="C1186" t="str">
            <v>P</v>
          </cell>
          <cell r="D1186" t="str">
            <v>P</v>
          </cell>
          <cell r="E1186" t="str">
            <v>P</v>
          </cell>
          <cell r="F1186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4">
          <cell r="B1194" t="str">
            <v>P</v>
          </cell>
          <cell r="C1194" t="str">
            <v>P</v>
          </cell>
          <cell r="D1194" t="str">
            <v>P</v>
          </cell>
          <cell r="E1194" t="str">
            <v>P</v>
          </cell>
          <cell r="F1194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202">
          <cell r="B1202" t="str">
            <v>P</v>
          </cell>
          <cell r="C1202" t="str">
            <v>P</v>
          </cell>
          <cell r="D1202" t="str">
            <v>P</v>
          </cell>
          <cell r="E1202" t="str">
            <v>P</v>
          </cell>
          <cell r="F1202" t="str">
            <v>P</v>
          </cell>
        </row>
        <row r="1207">
          <cell r="B1207" t="str">
            <v>P</v>
          </cell>
          <cell r="C1207" t="str">
            <v>P</v>
          </cell>
          <cell r="D1207" t="str">
            <v>P</v>
          </cell>
          <cell r="E1207" t="str">
            <v>P</v>
          </cell>
          <cell r="F1207" t="str">
            <v>P</v>
          </cell>
        </row>
        <row r="1214">
          <cell r="B1214" t="str">
            <v>P</v>
          </cell>
          <cell r="C1214" t="str">
            <v>P</v>
          </cell>
          <cell r="D1214" t="str">
            <v>P</v>
          </cell>
          <cell r="E1214" t="str">
            <v>P</v>
          </cell>
          <cell r="F1214" t="str">
            <v>P</v>
          </cell>
        </row>
        <row r="1215">
          <cell r="B1215" t="str">
            <v>P</v>
          </cell>
          <cell r="C1215" t="str">
            <v>P</v>
          </cell>
          <cell r="D1215" t="str">
            <v>P</v>
          </cell>
          <cell r="E1215" t="str">
            <v>P</v>
          </cell>
          <cell r="F1215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9">
          <cell r="B1229" t="str">
            <v>P</v>
          </cell>
          <cell r="C1229" t="str">
            <v>P</v>
          </cell>
          <cell r="D1229" t="str">
            <v>P</v>
          </cell>
          <cell r="E1229" t="str">
            <v>P</v>
          </cell>
          <cell r="F1229" t="str">
            <v>P</v>
          </cell>
        </row>
        <row r="1230">
          <cell r="B1230" t="str">
            <v>P</v>
          </cell>
          <cell r="C1230" t="str">
            <v>P</v>
          </cell>
          <cell r="D1230" t="str">
            <v>P</v>
          </cell>
          <cell r="E1230" t="str">
            <v>P</v>
          </cell>
          <cell r="F1230" t="str">
            <v>P</v>
          </cell>
        </row>
        <row r="1234">
          <cell r="B1234" t="str">
            <v>P</v>
          </cell>
          <cell r="C1234" t="str">
            <v>P</v>
          </cell>
          <cell r="D1234" t="str">
            <v>P</v>
          </cell>
          <cell r="E1234" t="str">
            <v>P</v>
          </cell>
          <cell r="F1234" t="str">
            <v>P</v>
          </cell>
        </row>
        <row r="1235">
          <cell r="B1235" t="str">
            <v>P</v>
          </cell>
          <cell r="C1235" t="str">
            <v>P</v>
          </cell>
          <cell r="D1235" t="str">
            <v>P</v>
          </cell>
          <cell r="E1235" t="str">
            <v>P</v>
          </cell>
          <cell r="F1235" t="str">
            <v>P</v>
          </cell>
        </row>
        <row r="1239">
          <cell r="B1239" t="str">
            <v>P</v>
          </cell>
          <cell r="C1239" t="str">
            <v>P</v>
          </cell>
          <cell r="D1239" t="str">
            <v>P</v>
          </cell>
          <cell r="E1239" t="str">
            <v>P</v>
          </cell>
          <cell r="F1239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4">
          <cell r="B1244" t="str">
            <v>P</v>
          </cell>
          <cell r="C1244" t="str">
            <v>P</v>
          </cell>
          <cell r="D1244" t="str">
            <v>P</v>
          </cell>
          <cell r="E1244" t="str">
            <v>P</v>
          </cell>
          <cell r="F1244" t="str">
            <v>P</v>
          </cell>
        </row>
        <row r="1245">
          <cell r="B1245" t="str">
            <v>P</v>
          </cell>
          <cell r="C1245" t="str">
            <v>P</v>
          </cell>
          <cell r="D1245" t="str">
            <v>P</v>
          </cell>
          <cell r="E1245" t="str">
            <v>P</v>
          </cell>
          <cell r="F1245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51">
          <cell r="B1251" t="str">
            <v>P</v>
          </cell>
          <cell r="C1251" t="str">
            <v>P</v>
          </cell>
          <cell r="D1251" t="str">
            <v>P</v>
          </cell>
          <cell r="E1251" t="str">
            <v>P</v>
          </cell>
          <cell r="F1251" t="str">
            <v>P</v>
          </cell>
        </row>
        <row r="1252">
          <cell r="B1252" t="str">
            <v>P</v>
          </cell>
          <cell r="C1252" t="str">
            <v>P</v>
          </cell>
          <cell r="D1252" t="str">
            <v>P</v>
          </cell>
          <cell r="E1252" t="str">
            <v>P</v>
          </cell>
          <cell r="F1252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4">
          <cell r="B1264" t="str">
            <v>P</v>
          </cell>
          <cell r="C1264" t="str">
            <v>P</v>
          </cell>
          <cell r="D1264" t="str">
            <v>P</v>
          </cell>
          <cell r="E1264" t="str">
            <v>P</v>
          </cell>
          <cell r="F1264" t="str">
            <v>P</v>
          </cell>
        </row>
        <row r="1265">
          <cell r="B1265" t="str">
            <v>P</v>
          </cell>
          <cell r="C1265" t="str">
            <v>P</v>
          </cell>
          <cell r="D1265" t="str">
            <v>P</v>
          </cell>
          <cell r="E1265" t="str">
            <v>P</v>
          </cell>
          <cell r="F1265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0">
          <cell r="B1270" t="str">
            <v>P</v>
          </cell>
          <cell r="C1270" t="str">
            <v>P</v>
          </cell>
          <cell r="D1270" t="str">
            <v>P</v>
          </cell>
          <cell r="E1270" t="str">
            <v>P</v>
          </cell>
          <cell r="F1270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77">
          <cell r="B1277" t="str">
            <v>P</v>
          </cell>
          <cell r="C1277" t="str">
            <v>P</v>
          </cell>
          <cell r="D1277" t="str">
            <v>P</v>
          </cell>
          <cell r="E1277" t="str">
            <v>P</v>
          </cell>
          <cell r="F1277" t="str">
            <v>P</v>
          </cell>
        </row>
        <row r="1278">
          <cell r="B1278" t="str">
            <v>P</v>
          </cell>
          <cell r="C1278" t="str">
            <v>P</v>
          </cell>
          <cell r="D1278" t="str">
            <v>P</v>
          </cell>
          <cell r="E1278" t="str">
            <v>P</v>
          </cell>
          <cell r="F1278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3">
          <cell r="B1283" t="str">
            <v>P</v>
          </cell>
          <cell r="C1283" t="str">
            <v>P</v>
          </cell>
          <cell r="D1283" t="str">
            <v>P</v>
          </cell>
          <cell r="E1283" t="str">
            <v>P</v>
          </cell>
          <cell r="F1283" t="str">
            <v>P</v>
          </cell>
        </row>
        <row r="1284">
          <cell r="B1284" t="str">
            <v>P</v>
          </cell>
          <cell r="C1284" t="str">
            <v>P</v>
          </cell>
          <cell r="D1284" t="str">
            <v>P</v>
          </cell>
          <cell r="E1284" t="str">
            <v>P</v>
          </cell>
          <cell r="F1284" t="str">
            <v>P</v>
          </cell>
        </row>
        <row r="1285">
          <cell r="B1285" t="str">
            <v>P</v>
          </cell>
          <cell r="C1285" t="str">
            <v>P</v>
          </cell>
          <cell r="D1285" t="str">
            <v>P</v>
          </cell>
          <cell r="E1285" t="str">
            <v>P</v>
          </cell>
          <cell r="F1285" t="str">
            <v>P</v>
          </cell>
        </row>
        <row r="1289">
          <cell r="B1289" t="str">
            <v>P</v>
          </cell>
          <cell r="C1289" t="str">
            <v>P</v>
          </cell>
          <cell r="D1289" t="str">
            <v>P</v>
          </cell>
          <cell r="E1289" t="str">
            <v>P</v>
          </cell>
          <cell r="F1289" t="str">
            <v>P</v>
          </cell>
        </row>
        <row r="1290">
          <cell r="B1290" t="str">
            <v>P</v>
          </cell>
          <cell r="C1290" t="str">
            <v>P</v>
          </cell>
          <cell r="D1290" t="str">
            <v>P</v>
          </cell>
          <cell r="E1290" t="str">
            <v>P</v>
          </cell>
          <cell r="F1290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295">
          <cell r="B1295" t="str">
            <v>P</v>
          </cell>
          <cell r="C1295" t="str">
            <v>P</v>
          </cell>
          <cell r="D1295" t="str">
            <v>P</v>
          </cell>
          <cell r="E1295" t="str">
            <v>P</v>
          </cell>
          <cell r="F1295" t="str">
            <v>P</v>
          </cell>
        </row>
        <row r="1299">
          <cell r="B1299" t="str">
            <v>P</v>
          </cell>
          <cell r="C1299" t="str">
            <v>P</v>
          </cell>
          <cell r="D1299" t="str">
            <v>P</v>
          </cell>
          <cell r="E1299" t="str">
            <v>P</v>
          </cell>
          <cell r="F1299" t="str">
            <v>P</v>
          </cell>
        </row>
        <row r="1300">
          <cell r="B1300" t="str">
            <v>P</v>
          </cell>
          <cell r="C1300" t="str">
            <v>P</v>
          </cell>
          <cell r="D1300" t="str">
            <v>P</v>
          </cell>
          <cell r="E1300" t="str">
            <v>P</v>
          </cell>
          <cell r="F1300" t="str">
            <v>P</v>
          </cell>
        </row>
        <row r="1307">
          <cell r="B1307" t="str">
            <v>P</v>
          </cell>
          <cell r="C1307" t="str">
            <v>P</v>
          </cell>
          <cell r="D1307" t="str">
            <v>P</v>
          </cell>
          <cell r="E1307" t="str">
            <v>P</v>
          </cell>
          <cell r="F1307" t="str">
            <v>P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2">
          <cell r="B1322" t="str">
            <v>T</v>
          </cell>
          <cell r="C1322" t="str">
            <v>T</v>
          </cell>
          <cell r="D1322" t="str">
            <v>T</v>
          </cell>
          <cell r="E1322" t="str">
            <v>T</v>
          </cell>
          <cell r="F1322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28">
          <cell r="B1328" t="str">
            <v>T</v>
          </cell>
          <cell r="C1328" t="str">
            <v>T</v>
          </cell>
          <cell r="D1328" t="str">
            <v>T</v>
          </cell>
          <cell r="E1328" t="str">
            <v>T</v>
          </cell>
          <cell r="F1328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4">
          <cell r="B1334" t="str">
            <v>T</v>
          </cell>
          <cell r="C1334" t="str">
            <v>T</v>
          </cell>
          <cell r="D1334" t="str">
            <v>T</v>
          </cell>
          <cell r="E1334" t="str">
            <v>T</v>
          </cell>
          <cell r="F1334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0">
          <cell r="B1340" t="str">
            <v>T</v>
          </cell>
          <cell r="C1340" t="str">
            <v>T</v>
          </cell>
          <cell r="D1340" t="str">
            <v>T</v>
          </cell>
          <cell r="E1340" t="str">
            <v>T</v>
          </cell>
          <cell r="F1340" t="str">
            <v>T</v>
          </cell>
        </row>
        <row r="1341">
          <cell r="B1341" t="str">
            <v>T</v>
          </cell>
          <cell r="C1341" t="str">
            <v>T</v>
          </cell>
          <cell r="D1341" t="str">
            <v>T</v>
          </cell>
          <cell r="E1341" t="str">
            <v>T</v>
          </cell>
          <cell r="F1341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6">
          <cell r="B1346" t="str">
            <v>T</v>
          </cell>
          <cell r="C1346" t="str">
            <v>T</v>
          </cell>
          <cell r="D1346" t="str">
            <v>T</v>
          </cell>
          <cell r="E1346" t="str">
            <v>T</v>
          </cell>
          <cell r="F1346" t="str">
            <v>T</v>
          </cell>
        </row>
        <row r="1347">
          <cell r="B1347" t="str">
            <v>T</v>
          </cell>
          <cell r="C1347" t="str">
            <v>T</v>
          </cell>
          <cell r="D1347" t="str">
            <v>T</v>
          </cell>
          <cell r="E1347" t="str">
            <v>T</v>
          </cell>
          <cell r="F1347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2">
          <cell r="B1352" t="str">
            <v>T</v>
          </cell>
          <cell r="C1352" t="str">
            <v>T</v>
          </cell>
          <cell r="D1352" t="str">
            <v>T</v>
          </cell>
          <cell r="E1352" t="str">
            <v>T</v>
          </cell>
          <cell r="F1352" t="str">
            <v>T</v>
          </cell>
        </row>
        <row r="1353">
          <cell r="B1353" t="str">
            <v>T</v>
          </cell>
          <cell r="C1353" t="str">
            <v>T</v>
          </cell>
          <cell r="D1353" t="str">
            <v>T</v>
          </cell>
          <cell r="E1353" t="str">
            <v>T</v>
          </cell>
          <cell r="F1353" t="str">
            <v>T</v>
          </cell>
        </row>
        <row r="1357">
          <cell r="B1357" t="str">
            <v>T</v>
          </cell>
          <cell r="C1357" t="str">
            <v>T</v>
          </cell>
          <cell r="D1357" t="str">
            <v>T</v>
          </cell>
          <cell r="E1357" t="str">
            <v>T</v>
          </cell>
          <cell r="F1357" t="str">
            <v>T</v>
          </cell>
        </row>
        <row r="1358">
          <cell r="B1358" t="str">
            <v>T</v>
          </cell>
          <cell r="C1358" t="str">
            <v>T</v>
          </cell>
          <cell r="D1358" t="str">
            <v>T</v>
          </cell>
          <cell r="E1358" t="str">
            <v>T</v>
          </cell>
          <cell r="F1358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3">
          <cell r="B1363" t="str">
            <v>T</v>
          </cell>
          <cell r="C1363" t="str">
            <v>T</v>
          </cell>
          <cell r="D1363" t="str">
            <v>T</v>
          </cell>
          <cell r="E1363" t="str">
            <v>T</v>
          </cell>
          <cell r="F1363" t="str">
            <v>T</v>
          </cell>
        </row>
        <row r="1364">
          <cell r="B1364" t="str">
            <v>T</v>
          </cell>
          <cell r="C1364" t="str">
            <v>T</v>
          </cell>
          <cell r="D1364" t="str">
            <v>T</v>
          </cell>
          <cell r="E1364" t="str">
            <v>T</v>
          </cell>
          <cell r="F1364" t="str">
            <v>T</v>
          </cell>
        </row>
        <row r="1365">
          <cell r="B1365" t="str">
            <v>T</v>
          </cell>
          <cell r="C1365" t="str">
            <v>T</v>
          </cell>
          <cell r="D1365" t="str">
            <v>T</v>
          </cell>
          <cell r="E1365" t="str">
            <v>T</v>
          </cell>
          <cell r="F1365" t="str">
            <v>T</v>
          </cell>
        </row>
        <row r="1369">
          <cell r="B1369" t="str">
            <v>T</v>
          </cell>
          <cell r="C1369" t="str">
            <v>T</v>
          </cell>
          <cell r="D1369" t="str">
            <v>T</v>
          </cell>
          <cell r="E1369" t="str">
            <v>T</v>
          </cell>
          <cell r="F1369" t="str">
            <v>T</v>
          </cell>
        </row>
        <row r="1370">
          <cell r="B1370" t="str">
            <v>T</v>
          </cell>
          <cell r="C1370" t="str">
            <v>T</v>
          </cell>
          <cell r="D1370" t="str">
            <v>T</v>
          </cell>
          <cell r="E1370" t="str">
            <v>T</v>
          </cell>
          <cell r="F1370" t="str">
            <v>T</v>
          </cell>
        </row>
        <row r="1374">
          <cell r="B1374" t="str">
            <v>T</v>
          </cell>
          <cell r="C1374" t="str">
            <v>T</v>
          </cell>
          <cell r="D1374" t="str">
            <v>T</v>
          </cell>
          <cell r="E1374" t="str">
            <v>T</v>
          </cell>
          <cell r="F1374" t="str">
            <v>T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PLNT2</v>
          </cell>
          <cell r="I1381" t="str">
            <v>PLNT2</v>
          </cell>
          <cell r="J1381" t="str">
            <v>PLNT2</v>
          </cell>
          <cell r="K1381" t="str">
            <v>PLNT2</v>
          </cell>
          <cell r="L1381" t="str">
            <v>PLNT2</v>
          </cell>
        </row>
        <row r="1382">
          <cell r="B1382" t="str">
            <v>DPW</v>
          </cell>
          <cell r="C1382" t="str">
            <v>DPW</v>
          </cell>
          <cell r="D1382" t="str">
            <v>DPW</v>
          </cell>
          <cell r="E1382" t="str">
            <v>DPW</v>
          </cell>
          <cell r="F1382" t="str">
            <v>DPW</v>
          </cell>
          <cell r="H1382" t="str">
            <v>PLNT2</v>
          </cell>
          <cell r="I1382" t="str">
            <v>PLNT2</v>
          </cell>
          <cell r="J1382" t="str">
            <v>PLNT2</v>
          </cell>
          <cell r="K1382" t="str">
            <v>PLNT2</v>
          </cell>
          <cell r="L1382" t="str">
            <v>PLNT2</v>
          </cell>
        </row>
        <row r="1387">
          <cell r="B1387" t="str">
            <v>DPW</v>
          </cell>
          <cell r="C1387" t="str">
            <v>DPW</v>
          </cell>
          <cell r="D1387" t="str">
            <v>DPW</v>
          </cell>
          <cell r="E1387" t="str">
            <v>DPW</v>
          </cell>
          <cell r="F1387" t="str">
            <v>DPW</v>
          </cell>
          <cell r="H1387" t="str">
            <v>PLNT2</v>
          </cell>
          <cell r="I1387" t="str">
            <v>PLNT2</v>
          </cell>
          <cell r="J1387" t="str">
            <v>PLNT2</v>
          </cell>
          <cell r="K1387" t="str">
            <v>PLNT2</v>
          </cell>
          <cell r="L1387" t="str">
            <v>PLNT2</v>
          </cell>
        </row>
        <row r="1388">
          <cell r="B1388" t="str">
            <v>DPW</v>
          </cell>
          <cell r="C1388" t="str">
            <v>DPW</v>
          </cell>
          <cell r="D1388" t="str">
            <v>DPW</v>
          </cell>
          <cell r="E1388" t="str">
            <v>DPW</v>
          </cell>
          <cell r="F1388" t="str">
            <v>DPW</v>
          </cell>
          <cell r="H1388" t="str">
            <v>PLNT2</v>
          </cell>
          <cell r="I1388" t="str">
            <v>PLNT2</v>
          </cell>
          <cell r="J1388" t="str">
            <v>PLNT2</v>
          </cell>
          <cell r="K1388" t="str">
            <v>PLNT2</v>
          </cell>
          <cell r="L1388" t="str">
            <v>PLNT2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SUBS</v>
          </cell>
          <cell r="I1393" t="str">
            <v>SUBS</v>
          </cell>
          <cell r="J1393" t="str">
            <v>SUBS</v>
          </cell>
          <cell r="K1393" t="str">
            <v>SUBS</v>
          </cell>
          <cell r="L1393" t="str">
            <v>SUBS</v>
          </cell>
        </row>
        <row r="1394">
          <cell r="B1394" t="str">
            <v>DPW</v>
          </cell>
          <cell r="C1394" t="str">
            <v>DPW</v>
          </cell>
          <cell r="D1394" t="str">
            <v>DPW</v>
          </cell>
          <cell r="E1394" t="str">
            <v>DPW</v>
          </cell>
          <cell r="F1394" t="str">
            <v>DPW</v>
          </cell>
          <cell r="H1394" t="str">
            <v>SUBS</v>
          </cell>
          <cell r="I1394" t="str">
            <v>SUBS</v>
          </cell>
          <cell r="J1394" t="str">
            <v>SUBS</v>
          </cell>
          <cell r="K1394" t="str">
            <v>SUBS</v>
          </cell>
          <cell r="L1394" t="str">
            <v>SUBS</v>
          </cell>
        </row>
        <row r="1399">
          <cell r="B1399" t="str">
            <v>DPW</v>
          </cell>
          <cell r="C1399" t="str">
            <v>DPW</v>
          </cell>
          <cell r="D1399" t="str">
            <v>DPW</v>
          </cell>
          <cell r="E1399" t="str">
            <v>DPW</v>
          </cell>
          <cell r="F1399" t="str">
            <v>DPW</v>
          </cell>
          <cell r="H1399" t="str">
            <v>PC</v>
          </cell>
          <cell r="I1399" t="str">
            <v>PC</v>
          </cell>
          <cell r="J1399" t="str">
            <v>PC</v>
          </cell>
          <cell r="K1399" t="str">
            <v>PC</v>
          </cell>
          <cell r="L1399" t="str">
            <v>PC</v>
          </cell>
        </row>
        <row r="1400">
          <cell r="B1400" t="str">
            <v>DPW</v>
          </cell>
          <cell r="C1400" t="str">
            <v>DPW</v>
          </cell>
          <cell r="D1400" t="str">
            <v>DPW</v>
          </cell>
          <cell r="E1400" t="str">
            <v>DPW</v>
          </cell>
          <cell r="F1400" t="str">
            <v>DPW</v>
          </cell>
          <cell r="H1400" t="str">
            <v>PC</v>
          </cell>
          <cell r="I1400" t="str">
            <v>PC</v>
          </cell>
          <cell r="J1400" t="str">
            <v>PC</v>
          </cell>
          <cell r="K1400" t="str">
            <v>PC</v>
          </cell>
          <cell r="L1400" t="str">
            <v>PC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PC</v>
          </cell>
          <cell r="I1401" t="str">
            <v>PC</v>
          </cell>
          <cell r="J1401" t="str">
            <v>PC</v>
          </cell>
          <cell r="K1401" t="str">
            <v>PC</v>
          </cell>
          <cell r="L1401" t="str">
            <v>PC</v>
          </cell>
        </row>
        <row r="1406">
          <cell r="B1406" t="str">
            <v>DPW</v>
          </cell>
          <cell r="C1406" t="str">
            <v>DPW</v>
          </cell>
          <cell r="D1406" t="str">
            <v>DPW</v>
          </cell>
          <cell r="E1406" t="str">
            <v>DPW</v>
          </cell>
          <cell r="F1406" t="str">
            <v>DPW</v>
          </cell>
          <cell r="H1406" t="str">
            <v>PC</v>
          </cell>
          <cell r="I1406" t="str">
            <v>PC</v>
          </cell>
          <cell r="J1406" t="str">
            <v>PC</v>
          </cell>
          <cell r="K1406" t="str">
            <v>PC</v>
          </cell>
          <cell r="L1406" t="str">
            <v>PC</v>
          </cell>
        </row>
        <row r="1407">
          <cell r="B1407" t="str">
            <v>DPW</v>
          </cell>
          <cell r="C1407" t="str">
            <v>DPW</v>
          </cell>
          <cell r="D1407" t="str">
            <v>DPW</v>
          </cell>
          <cell r="E1407" t="str">
            <v>DPW</v>
          </cell>
          <cell r="F1407" t="str">
            <v>DPW</v>
          </cell>
          <cell r="H1407" t="str">
            <v>PC</v>
          </cell>
          <cell r="I1407" t="str">
            <v>PC</v>
          </cell>
          <cell r="J1407" t="str">
            <v>PC</v>
          </cell>
          <cell r="K1407" t="str">
            <v>PC</v>
          </cell>
          <cell r="L1407" t="str">
            <v>PC</v>
          </cell>
        </row>
        <row r="1408">
          <cell r="B1408" t="str">
            <v>DPW</v>
          </cell>
          <cell r="C1408" t="str">
            <v>DPW</v>
          </cell>
          <cell r="D1408" t="str">
            <v>DPW</v>
          </cell>
          <cell r="E1408" t="str">
            <v>DPW</v>
          </cell>
          <cell r="F1408" t="str">
            <v>DPW</v>
          </cell>
          <cell r="H1408" t="str">
            <v>PC</v>
          </cell>
          <cell r="I1408" t="str">
            <v>PC</v>
          </cell>
          <cell r="J1408" t="str">
            <v>PC</v>
          </cell>
          <cell r="K1408" t="str">
            <v>PC</v>
          </cell>
          <cell r="L1408" t="str">
            <v>PC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4">
          <cell r="B1414" t="str">
            <v>DPW</v>
          </cell>
          <cell r="C1414" t="str">
            <v>DPW</v>
          </cell>
          <cell r="D1414" t="str">
            <v>DPW</v>
          </cell>
          <cell r="E1414" t="str">
            <v>DPW</v>
          </cell>
          <cell r="F1414" t="str">
            <v>DPW</v>
          </cell>
          <cell r="H1414" t="str">
            <v>PC</v>
          </cell>
          <cell r="I1414" t="str">
            <v>PC</v>
          </cell>
          <cell r="J1414" t="str">
            <v>PC</v>
          </cell>
          <cell r="K1414" t="str">
            <v>PC</v>
          </cell>
          <cell r="L1414" t="str">
            <v>PC</v>
          </cell>
        </row>
        <row r="1415">
          <cell r="B1415" t="str">
            <v>DPW</v>
          </cell>
          <cell r="C1415" t="str">
            <v>DPW</v>
          </cell>
          <cell r="D1415" t="str">
            <v>DPW</v>
          </cell>
          <cell r="E1415" t="str">
            <v>DPW</v>
          </cell>
          <cell r="F1415" t="str">
            <v>DPW</v>
          </cell>
          <cell r="H1415" t="str">
            <v>PC</v>
          </cell>
          <cell r="I1415" t="str">
            <v>PC</v>
          </cell>
          <cell r="J1415" t="str">
            <v>PC</v>
          </cell>
          <cell r="K1415" t="str">
            <v>PC</v>
          </cell>
          <cell r="L1415" t="str">
            <v>PC</v>
          </cell>
        </row>
        <row r="1420">
          <cell r="B1420" t="str">
            <v>DPW</v>
          </cell>
          <cell r="C1420" t="str">
            <v>DPW</v>
          </cell>
          <cell r="D1420" t="str">
            <v>DPW</v>
          </cell>
          <cell r="E1420" t="str">
            <v>DPW</v>
          </cell>
          <cell r="F1420" t="str">
            <v>DPW</v>
          </cell>
          <cell r="H1420" t="str">
            <v>PC</v>
          </cell>
          <cell r="I1420" t="str">
            <v>PC</v>
          </cell>
          <cell r="J1420" t="str">
            <v>PC</v>
          </cell>
          <cell r="K1420" t="str">
            <v>PC</v>
          </cell>
          <cell r="L1420" t="str">
            <v>PC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PC</v>
          </cell>
          <cell r="I1421" t="str">
            <v>PC</v>
          </cell>
          <cell r="J1421" t="str">
            <v>PC</v>
          </cell>
          <cell r="K1421" t="str">
            <v>PC</v>
          </cell>
          <cell r="L1421" t="str">
            <v>PC</v>
          </cell>
        </row>
        <row r="1422">
          <cell r="B1422" t="str">
            <v>DPW</v>
          </cell>
          <cell r="C1422" t="str">
            <v>DPW</v>
          </cell>
          <cell r="D1422" t="str">
            <v>DPW</v>
          </cell>
          <cell r="E1422" t="str">
            <v>DPW</v>
          </cell>
          <cell r="F1422" t="str">
            <v>DPW</v>
          </cell>
          <cell r="H1422" t="str">
            <v>PC</v>
          </cell>
          <cell r="I1422" t="str">
            <v>PC</v>
          </cell>
          <cell r="J1422" t="str">
            <v>PC</v>
          </cell>
          <cell r="K1422" t="str">
            <v>PC</v>
          </cell>
          <cell r="L1422" t="str">
            <v>PC</v>
          </cell>
        </row>
        <row r="1427">
          <cell r="B1427" t="str">
            <v>DPW</v>
          </cell>
          <cell r="C1427" t="str">
            <v>DPW</v>
          </cell>
          <cell r="D1427" t="str">
            <v>DPW</v>
          </cell>
          <cell r="E1427" t="str">
            <v>DPW</v>
          </cell>
          <cell r="F1427" t="str">
            <v>DPW</v>
          </cell>
          <cell r="H1427" t="str">
            <v>XFMR</v>
          </cell>
          <cell r="I1427" t="str">
            <v>XFMR</v>
          </cell>
          <cell r="J1427" t="str">
            <v>XFMR</v>
          </cell>
          <cell r="K1427" t="str">
            <v>XFMR</v>
          </cell>
          <cell r="L1427" t="str">
            <v>XFMR</v>
          </cell>
        </row>
        <row r="1428">
          <cell r="B1428" t="str">
            <v>DPW</v>
          </cell>
          <cell r="C1428" t="str">
            <v>DPW</v>
          </cell>
          <cell r="D1428" t="str">
            <v>DPW</v>
          </cell>
          <cell r="E1428" t="str">
            <v>DPW</v>
          </cell>
          <cell r="F1428" t="str">
            <v>DPW</v>
          </cell>
          <cell r="H1428" t="str">
            <v>XFMR</v>
          </cell>
          <cell r="I1428" t="str">
            <v>XFMR</v>
          </cell>
          <cell r="J1428" t="str">
            <v>XFMR</v>
          </cell>
          <cell r="K1428" t="str">
            <v>XFMR</v>
          </cell>
          <cell r="L1428" t="str">
            <v>XFMR</v>
          </cell>
        </row>
        <row r="1433">
          <cell r="B1433" t="str">
            <v>DPW</v>
          </cell>
          <cell r="C1433" t="str">
            <v>DPW</v>
          </cell>
          <cell r="D1433" t="str">
            <v>DPW</v>
          </cell>
          <cell r="E1433" t="str">
            <v>DPW</v>
          </cell>
          <cell r="F1433" t="str">
            <v>DPW</v>
          </cell>
          <cell r="H1433" t="str">
            <v>SERV</v>
          </cell>
          <cell r="I1433" t="str">
            <v>SERV</v>
          </cell>
          <cell r="J1433" t="str">
            <v>SERV</v>
          </cell>
          <cell r="K1433" t="str">
            <v>SERV</v>
          </cell>
          <cell r="L1433" t="str">
            <v>SERV</v>
          </cell>
        </row>
        <row r="1434">
          <cell r="B1434" t="str">
            <v>DPW</v>
          </cell>
          <cell r="C1434" t="str">
            <v>DPW</v>
          </cell>
          <cell r="D1434" t="str">
            <v>DPW</v>
          </cell>
          <cell r="E1434" t="str">
            <v>DPW</v>
          </cell>
          <cell r="F1434" t="str">
            <v>DPW</v>
          </cell>
          <cell r="H1434" t="str">
            <v>SERV</v>
          </cell>
          <cell r="I1434" t="str">
            <v>SERV</v>
          </cell>
          <cell r="J1434" t="str">
            <v>SERV</v>
          </cell>
          <cell r="K1434" t="str">
            <v>SERV</v>
          </cell>
          <cell r="L1434" t="str">
            <v>SERV</v>
          </cell>
        </row>
        <row r="1435">
          <cell r="B1435" t="str">
            <v>DPW</v>
          </cell>
          <cell r="C1435" t="str">
            <v>DPW</v>
          </cell>
          <cell r="D1435" t="str">
            <v>DPW</v>
          </cell>
          <cell r="E1435" t="str">
            <v>DPW</v>
          </cell>
          <cell r="F1435" t="str">
            <v>DPW</v>
          </cell>
          <cell r="H1435" t="str">
            <v>SERV</v>
          </cell>
          <cell r="I1435" t="str">
            <v>SERV</v>
          </cell>
          <cell r="J1435" t="str">
            <v>SERV</v>
          </cell>
          <cell r="K1435" t="str">
            <v>SERV</v>
          </cell>
          <cell r="L1435" t="str">
            <v>SERV</v>
          </cell>
        </row>
        <row r="1440">
          <cell r="B1440" t="str">
            <v>DPW</v>
          </cell>
          <cell r="C1440" t="str">
            <v>DPW</v>
          </cell>
          <cell r="D1440" t="str">
            <v>DPW</v>
          </cell>
          <cell r="E1440" t="str">
            <v>DPW</v>
          </cell>
          <cell r="F1440" t="str">
            <v>DPW</v>
          </cell>
          <cell r="H1440" t="str">
            <v>METR</v>
          </cell>
          <cell r="I1440" t="str">
            <v>METR</v>
          </cell>
          <cell r="J1440" t="str">
            <v>METR</v>
          </cell>
          <cell r="K1440" t="str">
            <v>METR</v>
          </cell>
          <cell r="L1440" t="str">
            <v>METR</v>
          </cell>
        </row>
        <row r="1441">
          <cell r="B1441" t="str">
            <v>DPW</v>
          </cell>
          <cell r="C1441" t="str">
            <v>DPW</v>
          </cell>
          <cell r="D1441" t="str">
            <v>DPW</v>
          </cell>
          <cell r="E1441" t="str">
            <v>DPW</v>
          </cell>
          <cell r="F1441" t="str">
            <v>DPW</v>
          </cell>
          <cell r="H1441" t="str">
            <v>METR</v>
          </cell>
          <cell r="I1441" t="str">
            <v>METR</v>
          </cell>
          <cell r="J1441" t="str">
            <v>METR</v>
          </cell>
          <cell r="K1441" t="str">
            <v>METR</v>
          </cell>
          <cell r="L1441" t="str">
            <v>METR</v>
          </cell>
        </row>
        <row r="1446">
          <cell r="B1446" t="str">
            <v>DPW</v>
          </cell>
          <cell r="C1446" t="str">
            <v>DPW</v>
          </cell>
          <cell r="D1446" t="str">
            <v>DPW</v>
          </cell>
          <cell r="E1446" t="str">
            <v>DPW</v>
          </cell>
          <cell r="F1446" t="str">
            <v>DPW</v>
          </cell>
          <cell r="H1446" t="str">
            <v>PC</v>
          </cell>
          <cell r="I1446" t="str">
            <v>PC</v>
          </cell>
          <cell r="J1446" t="str">
            <v>PC</v>
          </cell>
          <cell r="K1446" t="str">
            <v>PC</v>
          </cell>
          <cell r="L1446" t="str">
            <v>PC</v>
          </cell>
        </row>
        <row r="1447">
          <cell r="B1447" t="str">
            <v>DPW</v>
          </cell>
          <cell r="C1447" t="str">
            <v>DPW</v>
          </cell>
          <cell r="D1447" t="str">
            <v>DPW</v>
          </cell>
          <cell r="E1447" t="str">
            <v>DPW</v>
          </cell>
          <cell r="F1447" t="str">
            <v>DPW</v>
          </cell>
          <cell r="H1447" t="str">
            <v>PC</v>
          </cell>
          <cell r="I1447" t="str">
            <v>PC</v>
          </cell>
          <cell r="J1447" t="str">
            <v>PC</v>
          </cell>
          <cell r="K1447" t="str">
            <v>PC</v>
          </cell>
          <cell r="L1447" t="str">
            <v>PC</v>
          </cell>
        </row>
        <row r="1448">
          <cell r="B1448" t="str">
            <v>DPW</v>
          </cell>
          <cell r="C1448" t="str">
            <v>DPW</v>
          </cell>
          <cell r="D1448" t="str">
            <v>DPW</v>
          </cell>
          <cell r="E1448" t="str">
            <v>DPW</v>
          </cell>
          <cell r="F1448" t="str">
            <v>DPW</v>
          </cell>
          <cell r="H1448" t="str">
            <v>PC</v>
          </cell>
          <cell r="I1448" t="str">
            <v>PC</v>
          </cell>
          <cell r="J1448" t="str">
            <v>PC</v>
          </cell>
          <cell r="K1448" t="str">
            <v>PC</v>
          </cell>
          <cell r="L1448" t="str">
            <v>PC</v>
          </cell>
        </row>
        <row r="1453">
          <cell r="B1453" t="str">
            <v>DPW</v>
          </cell>
          <cell r="C1453" t="str">
            <v>DPW</v>
          </cell>
          <cell r="D1453" t="str">
            <v>DPW</v>
          </cell>
          <cell r="E1453" t="str">
            <v>DPW</v>
          </cell>
          <cell r="F1453" t="str">
            <v>DPW</v>
          </cell>
          <cell r="H1453" t="str">
            <v>PLNT2</v>
          </cell>
          <cell r="I1453" t="str">
            <v>PLNT2</v>
          </cell>
          <cell r="J1453" t="str">
            <v>PLNT2</v>
          </cell>
          <cell r="K1453" t="str">
            <v>PLNT2</v>
          </cell>
          <cell r="L1453" t="str">
            <v>PLNT2</v>
          </cell>
        </row>
        <row r="1454">
          <cell r="B1454" t="str">
            <v>DPW</v>
          </cell>
          <cell r="C1454" t="str">
            <v>DPW</v>
          </cell>
          <cell r="D1454" t="str">
            <v>DPW</v>
          </cell>
          <cell r="E1454" t="str">
            <v>DPW</v>
          </cell>
          <cell r="F1454" t="str">
            <v>DPW</v>
          </cell>
          <cell r="H1454" t="str">
            <v>PLNT2</v>
          </cell>
          <cell r="I1454" t="str">
            <v>PLNT2</v>
          </cell>
          <cell r="J1454" t="str">
            <v>PLNT2</v>
          </cell>
          <cell r="K1454" t="str">
            <v>PLNT2</v>
          </cell>
          <cell r="L1454" t="str">
            <v>PLNT2</v>
          </cell>
        </row>
        <row r="1455">
          <cell r="B1455" t="str">
            <v>DPW</v>
          </cell>
          <cell r="C1455" t="str">
            <v>DPW</v>
          </cell>
          <cell r="D1455" t="str">
            <v>DPW</v>
          </cell>
          <cell r="E1455" t="str">
            <v>DPW</v>
          </cell>
          <cell r="F1455" t="str">
            <v>DPW</v>
          </cell>
          <cell r="H1455" t="str">
            <v>PLNT2</v>
          </cell>
          <cell r="I1455" t="str">
            <v>PLNT2</v>
          </cell>
          <cell r="J1455" t="str">
            <v>PLNT2</v>
          </cell>
          <cell r="K1455" t="str">
            <v>PLNT2</v>
          </cell>
          <cell r="L1455" t="str">
            <v>PLNT2</v>
          </cell>
        </row>
        <row r="1459">
          <cell r="B1459" t="str">
            <v>DPW</v>
          </cell>
          <cell r="C1459" t="str">
            <v>DPW</v>
          </cell>
          <cell r="D1459" t="str">
            <v>DPW</v>
          </cell>
          <cell r="E1459" t="str">
            <v>DPW</v>
          </cell>
          <cell r="F1459" t="str">
            <v>DPW</v>
          </cell>
          <cell r="H1459" t="str">
            <v>PC</v>
          </cell>
          <cell r="I1459" t="str">
            <v>PC</v>
          </cell>
          <cell r="J1459" t="str">
            <v>PC</v>
          </cell>
          <cell r="K1459" t="str">
            <v>PC</v>
          </cell>
          <cell r="L1459" t="str">
            <v>PC</v>
          </cell>
        </row>
        <row r="1460">
          <cell r="B1460" t="str">
            <v>DPW</v>
          </cell>
          <cell r="C1460" t="str">
            <v>DPW</v>
          </cell>
          <cell r="D1460" t="str">
            <v>DPW</v>
          </cell>
          <cell r="E1460" t="str">
            <v>DPW</v>
          </cell>
          <cell r="F1460" t="str">
            <v>DPW</v>
          </cell>
          <cell r="H1460" t="str">
            <v>PC</v>
          </cell>
          <cell r="I1460" t="str">
            <v>PC</v>
          </cell>
          <cell r="J1460" t="str">
            <v>PC</v>
          </cell>
          <cell r="K1460" t="str">
            <v>PC</v>
          </cell>
          <cell r="L1460" t="str">
            <v>PC</v>
          </cell>
        </row>
        <row r="1461">
          <cell r="B1461" t="str">
            <v>DPW</v>
          </cell>
          <cell r="C1461" t="str">
            <v>DPW</v>
          </cell>
          <cell r="D1461" t="str">
            <v>DPW</v>
          </cell>
          <cell r="E1461" t="str">
            <v>DPW</v>
          </cell>
          <cell r="F1461" t="str">
            <v>DPW</v>
          </cell>
          <cell r="H1461" t="str">
            <v>PC</v>
          </cell>
          <cell r="I1461" t="str">
            <v>PC</v>
          </cell>
          <cell r="J1461" t="str">
            <v>PC</v>
          </cell>
          <cell r="K1461" t="str">
            <v>PC</v>
          </cell>
          <cell r="L1461" t="str">
            <v>PC</v>
          </cell>
        </row>
        <row r="1465">
          <cell r="B1465" t="str">
            <v>DPW</v>
          </cell>
          <cell r="C1465" t="str">
            <v>DPW</v>
          </cell>
          <cell r="D1465" t="str">
            <v>DPW</v>
          </cell>
          <cell r="E1465" t="str">
            <v>DPW</v>
          </cell>
          <cell r="F1465" t="str">
            <v>DPW</v>
          </cell>
          <cell r="H1465" t="str">
            <v>PLNT2</v>
          </cell>
          <cell r="I1465" t="str">
            <v>PLNT2</v>
          </cell>
          <cell r="J1465" t="str">
            <v>PLNT2</v>
          </cell>
          <cell r="K1465" t="str">
            <v>PLNT2</v>
          </cell>
          <cell r="L1465" t="str">
            <v>PLNT2</v>
          </cell>
        </row>
        <row r="1469">
          <cell r="B1469" t="str">
            <v>DPW</v>
          </cell>
          <cell r="C1469" t="str">
            <v>DPW</v>
          </cell>
          <cell r="D1469" t="str">
            <v>DPW</v>
          </cell>
          <cell r="E1469" t="str">
            <v>DPW</v>
          </cell>
          <cell r="F1469" t="str">
            <v>DPW</v>
          </cell>
          <cell r="H1469" t="str">
            <v>PLNT2</v>
          </cell>
          <cell r="I1469" t="str">
            <v>PLNT2</v>
          </cell>
          <cell r="J1469" t="str">
            <v>PLNT2</v>
          </cell>
          <cell r="K1469" t="str">
            <v>PLNT2</v>
          </cell>
          <cell r="L1469" t="str">
            <v>PLNT2</v>
          </cell>
        </row>
        <row r="1476">
          <cell r="B1476" t="str">
            <v>G-SITUS</v>
          </cell>
          <cell r="C1476" t="str">
            <v>G-SITUS</v>
          </cell>
          <cell r="D1476" t="str">
            <v>G-SITUS</v>
          </cell>
          <cell r="E1476" t="str">
            <v>G-SITUS</v>
          </cell>
          <cell r="F1476" t="str">
            <v>G-SITUS</v>
          </cell>
          <cell r="H1476" t="str">
            <v>PLNT</v>
          </cell>
          <cell r="I1476" t="str">
            <v>PLNT</v>
          </cell>
          <cell r="J1476" t="str">
            <v>PLNT</v>
          </cell>
          <cell r="K1476" t="str">
            <v>PLNT</v>
          </cell>
          <cell r="L1476" t="str">
            <v>PLNT</v>
          </cell>
        </row>
        <row r="1477">
          <cell r="B1477" t="str">
            <v>CUST</v>
          </cell>
          <cell r="C1477" t="str">
            <v>CUST</v>
          </cell>
          <cell r="D1477" t="str">
            <v>CUST</v>
          </cell>
          <cell r="E1477" t="str">
            <v>CUST</v>
          </cell>
          <cell r="F1477" t="str">
            <v>CUST</v>
          </cell>
          <cell r="H1477" t="str">
            <v>CUST</v>
          </cell>
          <cell r="I1477" t="str">
            <v>CUST</v>
          </cell>
          <cell r="J1477" t="str">
            <v>CUST</v>
          </cell>
          <cell r="K1477" t="str">
            <v>CUST</v>
          </cell>
          <cell r="L1477" t="str">
            <v>CUST</v>
          </cell>
        </row>
        <row r="1478">
          <cell r="B1478" t="str">
            <v>G-DGU</v>
          </cell>
          <cell r="C1478" t="str">
            <v>G-DGU</v>
          </cell>
          <cell r="D1478" t="str">
            <v>G-DGU</v>
          </cell>
          <cell r="E1478" t="str">
            <v>G-DGU</v>
          </cell>
          <cell r="F1478" t="str">
            <v>G-DGU</v>
          </cell>
          <cell r="H1478" t="str">
            <v>PLNT</v>
          </cell>
          <cell r="I1478" t="str">
            <v>PLNT</v>
          </cell>
          <cell r="J1478" t="str">
            <v>PLNT</v>
          </cell>
          <cell r="K1478" t="str">
            <v>PLNT</v>
          </cell>
          <cell r="L1478" t="str">
            <v>PLNT</v>
          </cell>
        </row>
        <row r="1479">
          <cell r="B1479" t="str">
            <v>G-SG</v>
          </cell>
          <cell r="C1479" t="str">
            <v>G-SG</v>
          </cell>
          <cell r="D1479" t="str">
            <v>G-SG</v>
          </cell>
          <cell r="E1479" t="str">
            <v>G-SG</v>
          </cell>
          <cell r="F1479" t="str">
            <v>G-SG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PTD</v>
          </cell>
          <cell r="C1480" t="str">
            <v>PTD</v>
          </cell>
          <cell r="D1480" t="str">
            <v>PTD</v>
          </cell>
          <cell r="E1480" t="str">
            <v>PTD</v>
          </cell>
          <cell r="F1480" t="str">
            <v>PTD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4">
          <cell r="B1484" t="str">
            <v>G-SITUS</v>
          </cell>
          <cell r="C1484" t="str">
            <v>G-SITUS</v>
          </cell>
          <cell r="D1484" t="str">
            <v>G-SITUS</v>
          </cell>
          <cell r="E1484" t="str">
            <v>G-SITUS</v>
          </cell>
          <cell r="F1484" t="str">
            <v>G-SITUS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G-DGP</v>
          </cell>
          <cell r="C1485" t="str">
            <v>G-DGP</v>
          </cell>
          <cell r="D1485" t="str">
            <v>G-DGP</v>
          </cell>
          <cell r="E1485" t="str">
            <v>G-DGP</v>
          </cell>
          <cell r="F1485" t="str">
            <v>G-DGP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G-DGU</v>
          </cell>
          <cell r="C1486" t="str">
            <v>G-DGU</v>
          </cell>
          <cell r="D1486" t="str">
            <v>G-DGU</v>
          </cell>
          <cell r="E1486" t="str">
            <v>G-DGU</v>
          </cell>
          <cell r="F1486" t="str">
            <v>G-DGU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87">
          <cell r="B1487" t="str">
            <v>CUST</v>
          </cell>
          <cell r="C1487" t="str">
            <v>CUST</v>
          </cell>
          <cell r="D1487" t="str">
            <v>CUST</v>
          </cell>
          <cell r="E1487" t="str">
            <v>CUST</v>
          </cell>
          <cell r="F1487" t="str">
            <v>CUST</v>
          </cell>
          <cell r="H1487" t="str">
            <v>CUST</v>
          </cell>
          <cell r="I1487" t="str">
            <v>CUST</v>
          </cell>
          <cell r="J1487" t="str">
            <v>CUST</v>
          </cell>
          <cell r="K1487" t="str">
            <v>CUST</v>
          </cell>
          <cell r="L1487" t="str">
            <v>CUST</v>
          </cell>
        </row>
        <row r="1488">
          <cell r="B1488" t="str">
            <v>G-SG</v>
          </cell>
          <cell r="C1488" t="str">
            <v>G-SG</v>
          </cell>
          <cell r="D1488" t="str">
            <v>G-SG</v>
          </cell>
          <cell r="E1488" t="str">
            <v>G-SG</v>
          </cell>
          <cell r="F1488" t="str">
            <v>G-SG</v>
          </cell>
          <cell r="H1488" t="str">
            <v>PLNT</v>
          </cell>
          <cell r="I1488" t="str">
            <v>PLNT</v>
          </cell>
          <cell r="J1488" t="str">
            <v>PLNT</v>
          </cell>
          <cell r="K1488" t="str">
            <v>PLNT</v>
          </cell>
          <cell r="L1488" t="str">
            <v>PLNT</v>
          </cell>
        </row>
        <row r="1489">
          <cell r="B1489" t="str">
            <v>G-SG</v>
          </cell>
          <cell r="C1489" t="str">
            <v>G-SG</v>
          </cell>
          <cell r="D1489" t="str">
            <v>G-SG</v>
          </cell>
          <cell r="E1489" t="str">
            <v>G-SG</v>
          </cell>
          <cell r="F1489" t="str">
            <v>G-SG</v>
          </cell>
          <cell r="H1489" t="str">
            <v>PLNT</v>
          </cell>
          <cell r="I1489" t="str">
            <v>PLNT</v>
          </cell>
          <cell r="J1489" t="str">
            <v>PLNT</v>
          </cell>
          <cell r="K1489" t="str">
            <v>PLNT</v>
          </cell>
          <cell r="L1489" t="str">
            <v>PLNT</v>
          </cell>
        </row>
        <row r="1490">
          <cell r="B1490" t="str">
            <v>PTD</v>
          </cell>
          <cell r="C1490" t="str">
            <v>PTD</v>
          </cell>
          <cell r="D1490" t="str">
            <v>PTD</v>
          </cell>
          <cell r="E1490" t="str">
            <v>PTD</v>
          </cell>
          <cell r="F1490" t="str">
            <v>PTD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4">
          <cell r="B1494" t="str">
            <v>G-SITUS</v>
          </cell>
          <cell r="C1494" t="str">
            <v>G-SITUS</v>
          </cell>
          <cell r="D1494" t="str">
            <v>G-SITUS</v>
          </cell>
          <cell r="E1494" t="str">
            <v>G-SITUS</v>
          </cell>
          <cell r="F1494" t="str">
            <v>G-SITUS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G-DGP</v>
          </cell>
          <cell r="C1495" t="str">
            <v>G-DGP</v>
          </cell>
          <cell r="D1495" t="str">
            <v>G-DGP</v>
          </cell>
          <cell r="E1495" t="str">
            <v>G-DGP</v>
          </cell>
          <cell r="F1495" t="str">
            <v>G-DGP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G-DGU</v>
          </cell>
          <cell r="C1496" t="str">
            <v>G-DGU</v>
          </cell>
          <cell r="D1496" t="str">
            <v>G-DGU</v>
          </cell>
          <cell r="E1496" t="str">
            <v>G-DGU</v>
          </cell>
          <cell r="F1496" t="str">
            <v>G-DGU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CUST</v>
          </cell>
          <cell r="C1497" t="str">
            <v>CUST</v>
          </cell>
          <cell r="D1497" t="str">
            <v>CUST</v>
          </cell>
          <cell r="E1497" t="str">
            <v>CUST</v>
          </cell>
          <cell r="F1497" t="str">
            <v>CUST</v>
          </cell>
          <cell r="H1497" t="str">
            <v>CUST</v>
          </cell>
          <cell r="I1497" t="str">
            <v>CUST</v>
          </cell>
          <cell r="J1497" t="str">
            <v>CUST</v>
          </cell>
          <cell r="K1497" t="str">
            <v>CUST</v>
          </cell>
          <cell r="L1497" t="str">
            <v>CUST</v>
          </cell>
        </row>
        <row r="1498">
          <cell r="B1498" t="str">
            <v>G-SG</v>
          </cell>
          <cell r="C1498" t="str">
            <v>G-SG</v>
          </cell>
          <cell r="D1498" t="str">
            <v>G-SG</v>
          </cell>
          <cell r="E1498" t="str">
            <v>G-SG</v>
          </cell>
          <cell r="F1498" t="str">
            <v>G-SG</v>
          </cell>
          <cell r="H1498" t="str">
            <v>PLNT</v>
          </cell>
          <cell r="I1498" t="str">
            <v>PLNT</v>
          </cell>
          <cell r="J1498" t="str">
            <v>PLNT</v>
          </cell>
          <cell r="K1498" t="str">
            <v>PLNT</v>
          </cell>
          <cell r="L1498" t="str">
            <v>PLNT</v>
          </cell>
        </row>
        <row r="1499">
          <cell r="B1499" t="str">
            <v>P</v>
          </cell>
          <cell r="C1499" t="str">
            <v>P</v>
          </cell>
          <cell r="D1499" t="str">
            <v>P</v>
          </cell>
          <cell r="E1499" t="str">
            <v>P</v>
          </cell>
          <cell r="F1499" t="str">
            <v>P</v>
          </cell>
          <cell r="H1499" t="str">
            <v>PLNT</v>
          </cell>
          <cell r="I1499" t="str">
            <v>PLNT</v>
          </cell>
          <cell r="J1499" t="str">
            <v>PLNT</v>
          </cell>
          <cell r="K1499" t="str">
            <v>PLNT</v>
          </cell>
          <cell r="L1499" t="str">
            <v>PLNT</v>
          </cell>
        </row>
        <row r="1500">
          <cell r="B1500" t="str">
            <v>PTD</v>
          </cell>
          <cell r="C1500" t="str">
            <v>PTD</v>
          </cell>
          <cell r="D1500" t="str">
            <v>PTD</v>
          </cell>
          <cell r="E1500" t="str">
            <v>PTD</v>
          </cell>
          <cell r="F1500" t="str">
            <v>PTD</v>
          </cell>
          <cell r="H1500" t="str">
            <v>PLNT</v>
          </cell>
          <cell r="I1500" t="str">
            <v>PLNT</v>
          </cell>
          <cell r="J1500" t="str">
            <v>PLNT</v>
          </cell>
          <cell r="K1500" t="str">
            <v>PLNT</v>
          </cell>
          <cell r="L1500" t="str">
            <v>PLNT</v>
          </cell>
        </row>
        <row r="1501">
          <cell r="B1501" t="str">
            <v>G-SG</v>
          </cell>
          <cell r="C1501" t="str">
            <v>G-SG</v>
          </cell>
          <cell r="D1501" t="str">
            <v>G-SG</v>
          </cell>
          <cell r="E1501" t="str">
            <v>G-SG</v>
          </cell>
          <cell r="F1501" t="str">
            <v>G-SG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P</v>
          </cell>
          <cell r="C1502" t="str">
            <v>P</v>
          </cell>
          <cell r="D1502" t="str">
            <v>P</v>
          </cell>
          <cell r="E1502" t="str">
            <v>P</v>
          </cell>
          <cell r="F1502" t="str">
            <v>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6">
          <cell r="B1506" t="str">
            <v>G-SITUS</v>
          </cell>
          <cell r="C1506" t="str">
            <v>G-SITUS</v>
          </cell>
          <cell r="D1506" t="str">
            <v>G-SITUS</v>
          </cell>
          <cell r="E1506" t="str">
            <v>G-SITUS</v>
          </cell>
          <cell r="F1506" t="str">
            <v>G-SITUS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PTD</v>
          </cell>
          <cell r="C1507" t="str">
            <v>PTD</v>
          </cell>
          <cell r="D1507" t="str">
            <v>PTD</v>
          </cell>
          <cell r="E1507" t="str">
            <v>PTD</v>
          </cell>
          <cell r="F1507" t="str">
            <v>PTD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09">
          <cell r="B1509" t="str">
            <v>CUST</v>
          </cell>
          <cell r="C1509" t="str">
            <v>CUST</v>
          </cell>
          <cell r="D1509" t="str">
            <v>CUST</v>
          </cell>
          <cell r="E1509" t="str">
            <v>CUST</v>
          </cell>
          <cell r="F1509" t="str">
            <v>CUST</v>
          </cell>
          <cell r="H1509" t="str">
            <v>CUST</v>
          </cell>
          <cell r="I1509" t="str">
            <v>CUST</v>
          </cell>
          <cell r="J1509" t="str">
            <v>CUST</v>
          </cell>
          <cell r="K1509" t="str">
            <v>CUST</v>
          </cell>
          <cell r="L1509" t="str">
            <v>CUST</v>
          </cell>
        </row>
        <row r="1510">
          <cell r="B1510" t="str">
            <v>G-DGU</v>
          </cell>
          <cell r="C1510" t="str">
            <v>G-DGU</v>
          </cell>
          <cell r="D1510" t="str">
            <v>G-DGU</v>
          </cell>
          <cell r="E1510" t="str">
            <v>G-DGU</v>
          </cell>
          <cell r="F1510" t="str">
            <v>G-DGU</v>
          </cell>
          <cell r="H1510" t="str">
            <v>PLNT</v>
          </cell>
          <cell r="I1510" t="str">
            <v>PLNT</v>
          </cell>
          <cell r="J1510" t="str">
            <v>PLNT</v>
          </cell>
          <cell r="K1510" t="str">
            <v>PLNT</v>
          </cell>
          <cell r="L1510" t="str">
            <v>PLNT</v>
          </cell>
        </row>
        <row r="1511">
          <cell r="B1511" t="str">
            <v>P</v>
          </cell>
          <cell r="C1511" t="str">
            <v>P</v>
          </cell>
          <cell r="D1511" t="str">
            <v>P</v>
          </cell>
          <cell r="E1511" t="str">
            <v>P</v>
          </cell>
          <cell r="F1511" t="str">
            <v>P</v>
          </cell>
          <cell r="H1511" t="str">
            <v>PLNT</v>
          </cell>
          <cell r="I1511" t="str">
            <v>PLNT</v>
          </cell>
          <cell r="J1511" t="str">
            <v>PLNT</v>
          </cell>
          <cell r="K1511" t="str">
            <v>PLNT</v>
          </cell>
          <cell r="L1511" t="str">
            <v>PLNT</v>
          </cell>
        </row>
        <row r="1512">
          <cell r="B1512" t="str">
            <v>G-DGP</v>
          </cell>
          <cell r="C1512" t="str">
            <v>G-DGP</v>
          </cell>
          <cell r="D1512" t="str">
            <v>G-DGP</v>
          </cell>
          <cell r="E1512" t="str">
            <v>G-DGP</v>
          </cell>
          <cell r="F1512" t="str">
            <v>G-DGP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G-SG</v>
          </cell>
          <cell r="C1513" t="str">
            <v>G-SG</v>
          </cell>
          <cell r="D1513" t="str">
            <v>G-SG</v>
          </cell>
          <cell r="E1513" t="str">
            <v>G-SG</v>
          </cell>
          <cell r="F1513" t="str">
            <v>G-SG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P</v>
          </cell>
          <cell r="C1514" t="str">
            <v>P</v>
          </cell>
          <cell r="D1514" t="str">
            <v>P</v>
          </cell>
          <cell r="E1514" t="str">
            <v>P</v>
          </cell>
          <cell r="F1514" t="str">
            <v>P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8">
          <cell r="B1518" t="str">
            <v>G-SITUS</v>
          </cell>
          <cell r="C1518" t="str">
            <v>G-SITUS</v>
          </cell>
          <cell r="D1518" t="str">
            <v>G-SITUS</v>
          </cell>
          <cell r="E1518" t="str">
            <v>G-SITUS</v>
          </cell>
          <cell r="F1518" t="str">
            <v>G-SITUS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G-DGP</v>
          </cell>
          <cell r="C1519" t="str">
            <v>G-DGP</v>
          </cell>
          <cell r="D1519" t="str">
            <v>G-DGP</v>
          </cell>
          <cell r="E1519" t="str">
            <v>G-DGP</v>
          </cell>
          <cell r="F1519" t="str">
            <v>G-DGP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G-DGU</v>
          </cell>
          <cell r="C1520" t="str">
            <v>G-DGU</v>
          </cell>
          <cell r="D1520" t="str">
            <v>G-DGU</v>
          </cell>
          <cell r="E1520" t="str">
            <v>G-DGU</v>
          </cell>
          <cell r="F1520" t="str">
            <v>G-DGU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1">
          <cell r="B1521" t="str">
            <v>PTD</v>
          </cell>
          <cell r="C1521" t="str">
            <v>PTD</v>
          </cell>
          <cell r="D1521" t="str">
            <v>PTD</v>
          </cell>
          <cell r="E1521" t="str">
            <v>PTD</v>
          </cell>
          <cell r="F1521" t="str">
            <v>PTD</v>
          </cell>
          <cell r="H1521" t="str">
            <v>PLNT</v>
          </cell>
          <cell r="I1521" t="str">
            <v>PLNT</v>
          </cell>
          <cell r="J1521" t="str">
            <v>PLNT</v>
          </cell>
          <cell r="K1521" t="str">
            <v>PLNT</v>
          </cell>
          <cell r="L1521" t="str">
            <v>PLNT</v>
          </cell>
        </row>
        <row r="1522">
          <cell r="B1522" t="str">
            <v>G-SG</v>
          </cell>
          <cell r="C1522" t="str">
            <v>G-SG</v>
          </cell>
          <cell r="D1522" t="str">
            <v>G-SG</v>
          </cell>
          <cell r="E1522" t="str">
            <v>G-SG</v>
          </cell>
          <cell r="F1522" t="str">
            <v>G-SG</v>
          </cell>
          <cell r="H1522" t="str">
            <v>PLNT</v>
          </cell>
          <cell r="I1522" t="str">
            <v>PLNT</v>
          </cell>
          <cell r="J1522" t="str">
            <v>PLNT</v>
          </cell>
          <cell r="K1522" t="str">
            <v>PLNT</v>
          </cell>
          <cell r="L1522" t="str">
            <v>PLNT</v>
          </cell>
        </row>
        <row r="1523">
          <cell r="B1523" t="str">
            <v>G-SG</v>
          </cell>
          <cell r="C1523" t="str">
            <v>G-SG</v>
          </cell>
          <cell r="D1523" t="str">
            <v>G-SG</v>
          </cell>
          <cell r="E1523" t="str">
            <v>G-SG</v>
          </cell>
          <cell r="F1523" t="str">
            <v>G-SG</v>
          </cell>
          <cell r="H1523" t="str">
            <v>PLNT</v>
          </cell>
          <cell r="I1523" t="str">
            <v>PLNT</v>
          </cell>
          <cell r="J1523" t="str">
            <v>PLNT</v>
          </cell>
          <cell r="K1523" t="str">
            <v>PLNT</v>
          </cell>
          <cell r="L1523" t="str">
            <v>PLNT</v>
          </cell>
        </row>
        <row r="1527">
          <cell r="B1527" t="str">
            <v>G-SITUS</v>
          </cell>
          <cell r="C1527" t="str">
            <v>G-SITUS</v>
          </cell>
          <cell r="D1527" t="str">
            <v>G-SITUS</v>
          </cell>
          <cell r="E1527" t="str">
            <v>G-SITUS</v>
          </cell>
          <cell r="F1527" t="str">
            <v>G-SITUS</v>
          </cell>
          <cell r="H1527" t="str">
            <v>PLNT</v>
          </cell>
          <cell r="I1527" t="str">
            <v>PLNT</v>
          </cell>
          <cell r="J1527" t="str">
            <v>PLNT</v>
          </cell>
          <cell r="K1527" t="str">
            <v>PLNT</v>
          </cell>
          <cell r="L1527" t="str">
            <v>PLNT</v>
          </cell>
        </row>
        <row r="1528">
          <cell r="B1528" t="str">
            <v>G-DGP</v>
          </cell>
          <cell r="C1528" t="str">
            <v>G-DGP</v>
          </cell>
          <cell r="D1528" t="str">
            <v>G-DGP</v>
          </cell>
          <cell r="E1528" t="str">
            <v>G-DGP</v>
          </cell>
          <cell r="F1528" t="str">
            <v>G-DGP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G-SG</v>
          </cell>
          <cell r="C1529" t="str">
            <v>G-SG</v>
          </cell>
          <cell r="D1529" t="str">
            <v>G-SG</v>
          </cell>
          <cell r="E1529" t="str">
            <v>G-SG</v>
          </cell>
          <cell r="F1529" t="str">
            <v>G-SG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PTD</v>
          </cell>
          <cell r="C1530" t="str">
            <v>PTD</v>
          </cell>
          <cell r="D1530" t="str">
            <v>PTD</v>
          </cell>
          <cell r="E1530" t="str">
            <v>PTD</v>
          </cell>
          <cell r="F1530" t="str">
            <v>PTD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P</v>
          </cell>
          <cell r="C1531" t="str">
            <v>P</v>
          </cell>
          <cell r="D1531" t="str">
            <v>P</v>
          </cell>
          <cell r="E1531" t="str">
            <v>P</v>
          </cell>
          <cell r="F1531" t="str">
            <v>P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2">
          <cell r="B1532" t="str">
            <v>G-DGU</v>
          </cell>
          <cell r="C1532" t="str">
            <v>G-DGU</v>
          </cell>
          <cell r="D1532" t="str">
            <v>G-DGU</v>
          </cell>
          <cell r="E1532" t="str">
            <v>G-DGU</v>
          </cell>
          <cell r="F1532" t="str">
            <v>G-DGU</v>
          </cell>
          <cell r="H1532" t="str">
            <v>PLNT</v>
          </cell>
          <cell r="I1532" t="str">
            <v>PLNT</v>
          </cell>
          <cell r="J1532" t="str">
            <v>PLNT</v>
          </cell>
          <cell r="K1532" t="str">
            <v>PLNT</v>
          </cell>
          <cell r="L1532" t="str">
            <v>PLNT</v>
          </cell>
        </row>
        <row r="1533">
          <cell r="B1533" t="str">
            <v>G-SG</v>
          </cell>
          <cell r="C1533" t="str">
            <v>G-SG</v>
          </cell>
          <cell r="D1533" t="str">
            <v>G-SG</v>
          </cell>
          <cell r="E1533" t="str">
            <v>G-SG</v>
          </cell>
          <cell r="F1533" t="str">
            <v>G-SG</v>
          </cell>
          <cell r="H1533" t="str">
            <v>PLNT</v>
          </cell>
          <cell r="I1533" t="str">
            <v>PLNT</v>
          </cell>
          <cell r="J1533" t="str">
            <v>PLNT</v>
          </cell>
          <cell r="K1533" t="str">
            <v>PLNT</v>
          </cell>
          <cell r="L1533" t="str">
            <v>PLNT</v>
          </cell>
        </row>
        <row r="1534">
          <cell r="B1534" t="str">
            <v>P</v>
          </cell>
          <cell r="C1534" t="str">
            <v>P</v>
          </cell>
          <cell r="D1534" t="str">
            <v>P</v>
          </cell>
          <cell r="E1534" t="str">
            <v>P</v>
          </cell>
          <cell r="F1534" t="str">
            <v>P</v>
          </cell>
          <cell r="H1534" t="str">
            <v>PLNT</v>
          </cell>
          <cell r="I1534" t="str">
            <v>PLNT</v>
          </cell>
          <cell r="J1534" t="str">
            <v>PLNT</v>
          </cell>
          <cell r="K1534" t="str">
            <v>PLNT</v>
          </cell>
          <cell r="L1534" t="str">
            <v>PLNT</v>
          </cell>
        </row>
        <row r="1538">
          <cell r="B1538" t="str">
            <v>G-SITUS</v>
          </cell>
          <cell r="C1538" t="str">
            <v>G-SITUS</v>
          </cell>
          <cell r="D1538" t="str">
            <v>G-SITUS</v>
          </cell>
          <cell r="E1538" t="str">
            <v>G-SITUS</v>
          </cell>
          <cell r="F1538" t="str">
            <v>G-SITUS</v>
          </cell>
          <cell r="H1538" t="str">
            <v>PLNT</v>
          </cell>
          <cell r="I1538" t="str">
            <v>PLNT</v>
          </cell>
          <cell r="J1538" t="str">
            <v>PLNT</v>
          </cell>
          <cell r="K1538" t="str">
            <v>PLNT</v>
          </cell>
          <cell r="L1538" t="str">
            <v>PLNT</v>
          </cell>
        </row>
        <row r="1539">
          <cell r="B1539" t="str">
            <v>G-DGP</v>
          </cell>
          <cell r="C1539" t="str">
            <v>G-DGP</v>
          </cell>
          <cell r="D1539" t="str">
            <v>G-DGP</v>
          </cell>
          <cell r="E1539" t="str">
            <v>G-DGP</v>
          </cell>
          <cell r="F1539" t="str">
            <v>G-DGP</v>
          </cell>
          <cell r="H1539" t="str">
            <v>PLNT</v>
          </cell>
          <cell r="I1539" t="str">
            <v>PLNT</v>
          </cell>
          <cell r="J1539" t="str">
            <v>PLNT</v>
          </cell>
          <cell r="K1539" t="str">
            <v>PLNT</v>
          </cell>
          <cell r="L1539" t="str">
            <v>PLNT</v>
          </cell>
        </row>
        <row r="1540">
          <cell r="B1540" t="str">
            <v>G-DGU</v>
          </cell>
          <cell r="C1540" t="str">
            <v>G-DGU</v>
          </cell>
          <cell r="D1540" t="str">
            <v>G-DGU</v>
          </cell>
          <cell r="E1540" t="str">
            <v>G-DGU</v>
          </cell>
          <cell r="F1540" t="str">
            <v>G-DGU</v>
          </cell>
          <cell r="H1540" t="str">
            <v>PLNT</v>
          </cell>
          <cell r="I1540" t="str">
            <v>PLNT</v>
          </cell>
          <cell r="J1540" t="str">
            <v>PLNT</v>
          </cell>
          <cell r="K1540" t="str">
            <v>PLNT</v>
          </cell>
          <cell r="L1540" t="str">
            <v>PLNT</v>
          </cell>
        </row>
        <row r="1541">
          <cell r="B1541" t="str">
            <v>PTD</v>
          </cell>
          <cell r="C1541" t="str">
            <v>PTD</v>
          </cell>
          <cell r="D1541" t="str">
            <v>PTD</v>
          </cell>
          <cell r="E1541" t="str">
            <v>PTD</v>
          </cell>
          <cell r="F1541" t="str">
            <v>PTD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2">
          <cell r="B1542" t="str">
            <v>P</v>
          </cell>
          <cell r="C1542" t="str">
            <v>P</v>
          </cell>
          <cell r="D1542" t="str">
            <v>P</v>
          </cell>
          <cell r="E1542" t="str">
            <v>P</v>
          </cell>
          <cell r="F1542" t="str">
            <v>P</v>
          </cell>
          <cell r="H1542" t="str">
            <v>PLNT</v>
          </cell>
          <cell r="I1542" t="str">
            <v>PLNT</v>
          </cell>
          <cell r="J1542" t="str">
            <v>PLNT</v>
          </cell>
          <cell r="K1542" t="str">
            <v>PLNT</v>
          </cell>
          <cell r="L1542" t="str">
            <v>PLNT</v>
          </cell>
        </row>
        <row r="1543">
          <cell r="B1543" t="str">
            <v>G-SG</v>
          </cell>
          <cell r="C1543" t="str">
            <v>G-SG</v>
          </cell>
          <cell r="D1543" t="str">
            <v>G-SG</v>
          </cell>
          <cell r="E1543" t="str">
            <v>G-SG</v>
          </cell>
          <cell r="F1543" t="str">
            <v>G-SG</v>
          </cell>
          <cell r="H1543" t="str">
            <v>PLNT</v>
          </cell>
          <cell r="I1543" t="str">
            <v>PLNT</v>
          </cell>
          <cell r="J1543" t="str">
            <v>PLNT</v>
          </cell>
          <cell r="K1543" t="str">
            <v>PLNT</v>
          </cell>
          <cell r="L1543" t="str">
            <v>PLNT</v>
          </cell>
        </row>
        <row r="1544">
          <cell r="B1544" t="str">
            <v>G-SG</v>
          </cell>
          <cell r="C1544" t="str">
            <v>G-SG</v>
          </cell>
          <cell r="D1544" t="str">
            <v>G-SG</v>
          </cell>
          <cell r="E1544" t="str">
            <v>G-SG</v>
          </cell>
          <cell r="F1544" t="str">
            <v>G-SG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5">
          <cell r="B1545" t="str">
            <v>P</v>
          </cell>
          <cell r="C1545" t="str">
            <v>P</v>
          </cell>
          <cell r="D1545" t="str">
            <v>P</v>
          </cell>
          <cell r="E1545" t="str">
            <v>P</v>
          </cell>
          <cell r="F1545" t="str">
            <v>P</v>
          </cell>
          <cell r="H1545" t="str">
            <v>PLNT</v>
          </cell>
          <cell r="I1545" t="str">
            <v>PLNT</v>
          </cell>
          <cell r="J1545" t="str">
            <v>PLNT</v>
          </cell>
          <cell r="K1545" t="str">
            <v>PLNT</v>
          </cell>
          <cell r="L1545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G-DGP</v>
          </cell>
          <cell r="C1550" t="str">
            <v>G-DGP</v>
          </cell>
          <cell r="D1550" t="str">
            <v>G-DGP</v>
          </cell>
          <cell r="E1550" t="str">
            <v>G-DGP</v>
          </cell>
          <cell r="F1550" t="str">
            <v>G-DGP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G-SG</v>
          </cell>
          <cell r="C1551" t="str">
            <v>G-SG</v>
          </cell>
          <cell r="D1551" t="str">
            <v>G-SG</v>
          </cell>
          <cell r="E1551" t="str">
            <v>G-SG</v>
          </cell>
          <cell r="F1551" t="str">
            <v>G-SG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2">
          <cell r="B1552" t="str">
            <v>PTD</v>
          </cell>
          <cell r="C1552" t="str">
            <v>PTD</v>
          </cell>
          <cell r="D1552" t="str">
            <v>PTD</v>
          </cell>
          <cell r="E1552" t="str">
            <v>PTD</v>
          </cell>
          <cell r="F1552" t="str">
            <v>PTD</v>
          </cell>
          <cell r="H1552" t="str">
            <v>PLNT</v>
          </cell>
          <cell r="I1552" t="str">
            <v>PLNT</v>
          </cell>
          <cell r="J1552" t="str">
            <v>PLNT</v>
          </cell>
          <cell r="K1552" t="str">
            <v>PLNT</v>
          </cell>
          <cell r="L1552" t="str">
            <v>PLNT</v>
          </cell>
        </row>
        <row r="1553">
          <cell r="B1553" t="str">
            <v>G-DGU</v>
          </cell>
          <cell r="C1553" t="str">
            <v>G-DGU</v>
          </cell>
          <cell r="D1553" t="str">
            <v>G-DGU</v>
          </cell>
          <cell r="E1553" t="str">
            <v>G-DGU</v>
          </cell>
          <cell r="F1553" t="str">
            <v>G-DGU</v>
          </cell>
          <cell r="H1553" t="str">
            <v>PLNT</v>
          </cell>
          <cell r="I1553" t="str">
            <v>PLNT</v>
          </cell>
          <cell r="J1553" t="str">
            <v>PLNT</v>
          </cell>
          <cell r="K1553" t="str">
            <v>PLNT</v>
          </cell>
          <cell r="L1553" t="str">
            <v>PLNT</v>
          </cell>
        </row>
        <row r="1554">
          <cell r="B1554" t="str">
            <v>P</v>
          </cell>
          <cell r="C1554" t="str">
            <v>P</v>
          </cell>
          <cell r="D1554" t="str">
            <v>P</v>
          </cell>
          <cell r="E1554" t="str">
            <v>P</v>
          </cell>
          <cell r="F1554" t="str">
            <v>P</v>
          </cell>
          <cell r="H1554" t="str">
            <v>PLNT</v>
          </cell>
          <cell r="I1554" t="str">
            <v>PLNT</v>
          </cell>
          <cell r="J1554" t="str">
            <v>PLNT</v>
          </cell>
          <cell r="K1554" t="str">
            <v>PLNT</v>
          </cell>
          <cell r="L1554" t="str">
            <v>PLNT</v>
          </cell>
        </row>
        <row r="1555">
          <cell r="B1555" t="str">
            <v>G-SG</v>
          </cell>
          <cell r="C1555" t="str">
            <v>G-SG</v>
          </cell>
          <cell r="D1555" t="str">
            <v>G-SG</v>
          </cell>
          <cell r="E1555" t="str">
            <v>G-SG</v>
          </cell>
          <cell r="F1555" t="str">
            <v>G-SG</v>
          </cell>
          <cell r="H1555" t="str">
            <v>PLNT</v>
          </cell>
          <cell r="I1555" t="str">
            <v>PLNT</v>
          </cell>
          <cell r="J1555" t="str">
            <v>PLNT</v>
          </cell>
          <cell r="K1555" t="str">
            <v>PLNT</v>
          </cell>
          <cell r="L1555" t="str">
            <v>PLNT</v>
          </cell>
        </row>
        <row r="1556">
          <cell r="B1556" t="str">
            <v>G-SG</v>
          </cell>
          <cell r="C1556" t="str">
            <v>G-SG</v>
          </cell>
          <cell r="D1556" t="str">
            <v>G-SG</v>
          </cell>
          <cell r="E1556" t="str">
            <v>G-SG</v>
          </cell>
          <cell r="F1556" t="str">
            <v>G-SG</v>
          </cell>
          <cell r="H1556" t="str">
            <v>PLNT</v>
          </cell>
          <cell r="I1556" t="str">
            <v>PLNT</v>
          </cell>
          <cell r="J1556" t="str">
            <v>PLNT</v>
          </cell>
          <cell r="K1556" t="str">
            <v>PLNT</v>
          </cell>
          <cell r="L1556" t="str">
            <v>PLNT</v>
          </cell>
        </row>
        <row r="1560">
          <cell r="B1560" t="str">
            <v>G-SITUS</v>
          </cell>
          <cell r="C1560" t="str">
            <v>G-SITUS</v>
          </cell>
          <cell r="D1560" t="str">
            <v>G-SITUS</v>
          </cell>
          <cell r="E1560" t="str">
            <v>G-SITUS</v>
          </cell>
          <cell r="F1560" t="str">
            <v>G-SITUS</v>
          </cell>
          <cell r="H1560" t="str">
            <v>PLNT</v>
          </cell>
          <cell r="I1560" t="str">
            <v>PLNT</v>
          </cell>
          <cell r="J1560" t="str">
            <v>PLNT</v>
          </cell>
          <cell r="K1560" t="str">
            <v>PLNT</v>
          </cell>
          <cell r="L1560" t="str">
            <v>PLNT</v>
          </cell>
        </row>
        <row r="1561">
          <cell r="B1561" t="str">
            <v>G-DGP</v>
          </cell>
          <cell r="C1561" t="str">
            <v>G-DGP</v>
          </cell>
          <cell r="D1561" t="str">
            <v>G-DGP</v>
          </cell>
          <cell r="E1561" t="str">
            <v>G-DGP</v>
          </cell>
          <cell r="F1561" t="str">
            <v>G-DGP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2">
          <cell r="B1562" t="str">
            <v>G-DGU</v>
          </cell>
          <cell r="C1562" t="str">
            <v>G-DGU</v>
          </cell>
          <cell r="D1562" t="str">
            <v>G-DGU</v>
          </cell>
          <cell r="E1562" t="str">
            <v>G-DGU</v>
          </cell>
          <cell r="F1562" t="str">
            <v>G-DGU</v>
          </cell>
          <cell r="H1562" t="str">
            <v>PLNT</v>
          </cell>
          <cell r="I1562" t="str">
            <v>PLNT</v>
          </cell>
          <cell r="J1562" t="str">
            <v>PLNT</v>
          </cell>
          <cell r="K1562" t="str">
            <v>PLNT</v>
          </cell>
          <cell r="L1562" t="str">
            <v>PLNT</v>
          </cell>
        </row>
        <row r="1563">
          <cell r="B1563" t="str">
            <v>PTD</v>
          </cell>
          <cell r="C1563" t="str">
            <v>PTD</v>
          </cell>
          <cell r="D1563" t="str">
            <v>PTD</v>
          </cell>
          <cell r="E1563" t="str">
            <v>PTD</v>
          </cell>
          <cell r="F1563" t="str">
            <v>PTD</v>
          </cell>
          <cell r="H1563" t="str">
            <v>PLNT</v>
          </cell>
          <cell r="I1563" t="str">
            <v>PLNT</v>
          </cell>
          <cell r="J1563" t="str">
            <v>PLNT</v>
          </cell>
          <cell r="K1563" t="str">
            <v>PLNT</v>
          </cell>
          <cell r="L1563" t="str">
            <v>PLNT</v>
          </cell>
        </row>
        <row r="1564">
          <cell r="B1564" t="str">
            <v>CUST</v>
          </cell>
          <cell r="C1564" t="str">
            <v>CUST</v>
          </cell>
          <cell r="D1564" t="str">
            <v>CUST</v>
          </cell>
          <cell r="E1564" t="str">
            <v>CUST</v>
          </cell>
          <cell r="F1564" t="str">
            <v>CUST</v>
          </cell>
          <cell r="H1564" t="str">
            <v>PLNT</v>
          </cell>
          <cell r="I1564" t="str">
            <v>PLNT</v>
          </cell>
          <cell r="J1564" t="str">
            <v>PLNT</v>
          </cell>
          <cell r="K1564" t="str">
            <v>PLNT</v>
          </cell>
          <cell r="L1564" t="str">
            <v>PLNT</v>
          </cell>
        </row>
        <row r="1565">
          <cell r="B1565" t="str">
            <v>G-SG</v>
          </cell>
          <cell r="C1565" t="str">
            <v>G-SG</v>
          </cell>
          <cell r="D1565" t="str">
            <v>G-SG</v>
          </cell>
          <cell r="E1565" t="str">
            <v>G-SG</v>
          </cell>
          <cell r="F1565" t="str">
            <v>G-SG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</v>
          </cell>
          <cell r="C1566" t="str">
            <v>P</v>
          </cell>
          <cell r="D1566" t="str">
            <v>P</v>
          </cell>
          <cell r="E1566" t="str">
            <v>P</v>
          </cell>
          <cell r="F1566" t="str">
            <v>P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P</v>
          </cell>
          <cell r="C1567" t="str">
            <v>P</v>
          </cell>
          <cell r="D1567" t="str">
            <v>P</v>
          </cell>
          <cell r="E1567" t="str">
            <v>P</v>
          </cell>
          <cell r="F1567" t="str">
            <v>P</v>
          </cell>
          <cell r="H1567" t="str">
            <v>PLNT</v>
          </cell>
          <cell r="I1567" t="str">
            <v>PLNT</v>
          </cell>
          <cell r="J1567" t="str">
            <v>PLNT</v>
          </cell>
          <cell r="K1567" t="str">
            <v>PLNT</v>
          </cell>
          <cell r="L1567" t="str">
            <v>PLNT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G-SG</v>
          </cell>
          <cell r="C1569" t="str">
            <v>G-SG</v>
          </cell>
          <cell r="D1569" t="str">
            <v>G-SG</v>
          </cell>
          <cell r="E1569" t="str">
            <v>G-SG</v>
          </cell>
          <cell r="F1569" t="str">
            <v>G-SG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3">
          <cell r="B1573" t="str">
            <v>G-SITUS</v>
          </cell>
          <cell r="C1573" t="str">
            <v>G-SITUS</v>
          </cell>
          <cell r="D1573" t="str">
            <v>G-SITUS</v>
          </cell>
          <cell r="E1573" t="str">
            <v>G-SITUS</v>
          </cell>
          <cell r="F1573" t="str">
            <v>G-SITUS</v>
          </cell>
          <cell r="H1573" t="str">
            <v>PLNT</v>
          </cell>
          <cell r="I1573" t="str">
            <v>PLNT</v>
          </cell>
          <cell r="J1573" t="str">
            <v>PLNT</v>
          </cell>
          <cell r="K1573" t="str">
            <v>PLNT</v>
          </cell>
          <cell r="L1573" t="str">
            <v>PLNT</v>
          </cell>
        </row>
        <row r="1574">
          <cell r="B1574" t="str">
            <v>G-DGP</v>
          </cell>
          <cell r="C1574" t="str">
            <v>G-DGP</v>
          </cell>
          <cell r="D1574" t="str">
            <v>G-DGP</v>
          </cell>
          <cell r="E1574" t="str">
            <v>G-DGP</v>
          </cell>
          <cell r="F1574" t="str">
            <v>G-DGP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G-DGU</v>
          </cell>
          <cell r="C1575" t="str">
            <v>G-DGU</v>
          </cell>
          <cell r="D1575" t="str">
            <v>G-DGU</v>
          </cell>
          <cell r="E1575" t="str">
            <v>G-DGU</v>
          </cell>
          <cell r="F1575" t="str">
            <v>G-DGU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CUST</v>
          </cell>
          <cell r="C1576" t="str">
            <v>CUST</v>
          </cell>
          <cell r="D1576" t="str">
            <v>CUST</v>
          </cell>
          <cell r="E1576" t="str">
            <v>CUST</v>
          </cell>
          <cell r="F1576" t="str">
            <v>CUST</v>
          </cell>
          <cell r="H1576" t="str">
            <v>CUST</v>
          </cell>
          <cell r="I1576" t="str">
            <v>CUST</v>
          </cell>
          <cell r="J1576" t="str">
            <v>CUST</v>
          </cell>
          <cell r="K1576" t="str">
            <v>CUST</v>
          </cell>
          <cell r="L1576" t="str">
            <v>CUST</v>
          </cell>
        </row>
        <row r="1577">
          <cell r="B1577" t="str">
            <v>PTD</v>
          </cell>
          <cell r="C1577" t="str">
            <v>PTD</v>
          </cell>
          <cell r="D1577" t="str">
            <v>PTD</v>
          </cell>
          <cell r="E1577" t="str">
            <v>PTD</v>
          </cell>
          <cell r="F1577" t="str">
            <v>PTD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</v>
          </cell>
          <cell r="C1578" t="str">
            <v>P</v>
          </cell>
          <cell r="D1578" t="str">
            <v>P</v>
          </cell>
          <cell r="E1578" t="str">
            <v>P</v>
          </cell>
          <cell r="F1578" t="str">
            <v>P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79">
          <cell r="B1579" t="str">
            <v>G-SG</v>
          </cell>
          <cell r="C1579" t="str">
            <v>G-SG</v>
          </cell>
          <cell r="D1579" t="str">
            <v>G-SG</v>
          </cell>
          <cell r="E1579" t="str">
            <v>G-SG</v>
          </cell>
          <cell r="F1579" t="str">
            <v>G-SG</v>
          </cell>
          <cell r="H1579" t="str">
            <v>PLNT</v>
          </cell>
          <cell r="I1579" t="str">
            <v>PLNT</v>
          </cell>
          <cell r="J1579" t="str">
            <v>PLNT</v>
          </cell>
          <cell r="K1579" t="str">
            <v>PLNT</v>
          </cell>
          <cell r="L1579" t="str">
            <v>PLNT</v>
          </cell>
        </row>
        <row r="1580">
          <cell r="B1580" t="str">
            <v>G-SG</v>
          </cell>
          <cell r="C1580" t="str">
            <v>G-SG</v>
          </cell>
          <cell r="D1580" t="str">
            <v>G-SG</v>
          </cell>
          <cell r="E1580" t="str">
            <v>G-SG</v>
          </cell>
          <cell r="F1580" t="str">
            <v>G-SG</v>
          </cell>
          <cell r="H1580" t="str">
            <v>PLNT</v>
          </cell>
          <cell r="I1580" t="str">
            <v>PLNT</v>
          </cell>
          <cell r="J1580" t="str">
            <v>PLNT</v>
          </cell>
          <cell r="K1580" t="str">
            <v>PLNT</v>
          </cell>
          <cell r="L1580" t="str">
            <v>PLNT</v>
          </cell>
        </row>
        <row r="1584">
          <cell r="B1584" t="str">
            <v>P</v>
          </cell>
          <cell r="C1584" t="str">
            <v>P</v>
          </cell>
          <cell r="D1584" t="str">
            <v>P</v>
          </cell>
          <cell r="E1584" t="str">
            <v>P</v>
          </cell>
          <cell r="F1584" t="str">
            <v>P</v>
          </cell>
          <cell r="H1584" t="str">
            <v>ZERO</v>
          </cell>
          <cell r="I1584" t="str">
            <v>ZERO</v>
          </cell>
          <cell r="J1584" t="str">
            <v>ZERO</v>
          </cell>
          <cell r="K1584" t="str">
            <v>ZERO</v>
          </cell>
          <cell r="L1584" t="str">
            <v>ZERO</v>
          </cell>
        </row>
        <row r="1585">
          <cell r="B1585" t="str">
            <v>P</v>
          </cell>
          <cell r="C1585" t="str">
            <v>P</v>
          </cell>
          <cell r="D1585" t="str">
            <v>P</v>
          </cell>
          <cell r="E1585" t="str">
            <v>P</v>
          </cell>
          <cell r="F1585" t="str">
            <v>P</v>
          </cell>
          <cell r="H1585" t="str">
            <v>ZERO</v>
          </cell>
          <cell r="I1585" t="str">
            <v>ZERO</v>
          </cell>
          <cell r="J1585" t="str">
            <v>ZERO</v>
          </cell>
          <cell r="K1585" t="str">
            <v>ZERO</v>
          </cell>
          <cell r="L1585" t="str">
            <v>ZERO</v>
          </cell>
        </row>
        <row r="1586">
          <cell r="B1586" t="str">
            <v>P</v>
          </cell>
          <cell r="C1586" t="str">
            <v>P</v>
          </cell>
          <cell r="D1586" t="str">
            <v>P</v>
          </cell>
          <cell r="E1586" t="str">
            <v>P</v>
          </cell>
          <cell r="F1586" t="str">
            <v>P</v>
          </cell>
          <cell r="H1586" t="str">
            <v>ZERO</v>
          </cell>
          <cell r="I1586" t="str">
            <v>ZERO</v>
          </cell>
          <cell r="J1586" t="str">
            <v>ZERO</v>
          </cell>
          <cell r="K1586" t="str">
            <v>ZERO</v>
          </cell>
          <cell r="L1586" t="str">
            <v>ZERO</v>
          </cell>
        </row>
        <row r="1591">
          <cell r="B1591" t="str">
            <v>P</v>
          </cell>
          <cell r="C1591" t="str">
            <v>P</v>
          </cell>
          <cell r="D1591" t="str">
            <v>P</v>
          </cell>
          <cell r="E1591" t="str">
            <v>P</v>
          </cell>
          <cell r="F1591" t="str">
            <v>P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9">
          <cell r="B1599" t="str">
            <v>G-SITUS</v>
          </cell>
          <cell r="C1599" t="str">
            <v>G-SITUS</v>
          </cell>
          <cell r="D1599" t="str">
            <v>G-SITUS</v>
          </cell>
          <cell r="E1599" t="str">
            <v>G-SITUS</v>
          </cell>
          <cell r="F1599" t="str">
            <v>G-SITUS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</v>
          </cell>
          <cell r="C1600" t="str">
            <v>P</v>
          </cell>
          <cell r="D1600" t="str">
            <v>P</v>
          </cell>
          <cell r="E1600" t="str">
            <v>P</v>
          </cell>
          <cell r="F1600" t="str">
            <v>P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PTD</v>
          </cell>
          <cell r="C1601" t="str">
            <v>PTD</v>
          </cell>
          <cell r="D1601" t="str">
            <v>PTD</v>
          </cell>
          <cell r="E1601" t="str">
            <v>PTD</v>
          </cell>
          <cell r="F1601" t="str">
            <v>PTD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8">
          <cell r="B1608" t="str">
            <v>PTD</v>
          </cell>
          <cell r="C1608" t="str">
            <v>PTD</v>
          </cell>
          <cell r="D1608" t="str">
            <v>PTD</v>
          </cell>
          <cell r="E1608" t="str">
            <v>PTD</v>
          </cell>
          <cell r="F1608" t="str">
            <v>PTD</v>
          </cell>
          <cell r="H1608" t="str">
            <v>PLNT</v>
          </cell>
          <cell r="I1608" t="str">
            <v>PLNT</v>
          </cell>
          <cell r="J1608" t="str">
            <v>PLNT</v>
          </cell>
          <cell r="K1608" t="str">
            <v>PLNT</v>
          </cell>
          <cell r="L1608" t="str">
            <v>PLNT</v>
          </cell>
        </row>
        <row r="1611">
          <cell r="B1611" t="str">
            <v>LABOR</v>
          </cell>
          <cell r="C1611" t="str">
            <v>LABOR</v>
          </cell>
          <cell r="D1611" t="str">
            <v>LABOR</v>
          </cell>
          <cell r="E1611" t="str">
            <v>LABOR</v>
          </cell>
          <cell r="F1611" t="str">
            <v>LABOR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5">
          <cell r="B1615" t="str">
            <v>G-SITUS</v>
          </cell>
          <cell r="C1615" t="str">
            <v>G-SITUS</v>
          </cell>
          <cell r="D1615" t="str">
            <v>G-SITUS</v>
          </cell>
          <cell r="E1615" t="str">
            <v>G-SITUS</v>
          </cell>
          <cell r="F1615" t="str">
            <v>G-SITUS</v>
          </cell>
          <cell r="H1615" t="str">
            <v>PLNT</v>
          </cell>
          <cell r="I1615" t="str">
            <v>PLNT</v>
          </cell>
          <cell r="J1615" t="str">
            <v>PLNT</v>
          </cell>
          <cell r="K1615" t="str">
            <v>PLNT</v>
          </cell>
          <cell r="L1615" t="str">
            <v>PLNT</v>
          </cell>
        </row>
        <row r="1616">
          <cell r="B1616" t="str">
            <v>PTD</v>
          </cell>
          <cell r="C1616" t="str">
            <v>PTD</v>
          </cell>
          <cell r="D1616" t="str">
            <v>PTD</v>
          </cell>
          <cell r="E1616" t="str">
            <v>PTD</v>
          </cell>
          <cell r="F1616" t="str">
            <v>PTD</v>
          </cell>
          <cell r="H1616" t="str">
            <v>PLNT</v>
          </cell>
          <cell r="I1616" t="str">
            <v>PLNT</v>
          </cell>
          <cell r="J1616" t="str">
            <v>PLNT</v>
          </cell>
          <cell r="K1616" t="str">
            <v>PLNT</v>
          </cell>
          <cell r="L1616" t="str">
            <v>PLNT</v>
          </cell>
        </row>
        <row r="1617">
          <cell r="B1617" t="str">
            <v>CUST</v>
          </cell>
          <cell r="C1617" t="str">
            <v>CUST</v>
          </cell>
          <cell r="D1617" t="str">
            <v>CUST</v>
          </cell>
          <cell r="E1617" t="str">
            <v>CUST</v>
          </cell>
          <cell r="F1617" t="str">
            <v>CUST</v>
          </cell>
          <cell r="H1617" t="str">
            <v>CUST</v>
          </cell>
          <cell r="I1617" t="str">
            <v>CUST</v>
          </cell>
          <cell r="J1617" t="str">
            <v>CUST</v>
          </cell>
          <cell r="K1617" t="str">
            <v>CUST</v>
          </cell>
          <cell r="L1617" t="str">
            <v>CUST</v>
          </cell>
        </row>
        <row r="1618">
          <cell r="B1618" t="str">
            <v>G-SG</v>
          </cell>
          <cell r="C1618" t="str">
            <v>G-SG</v>
          </cell>
          <cell r="D1618" t="str">
            <v>G-SG</v>
          </cell>
          <cell r="E1618" t="str">
            <v>G-SG</v>
          </cell>
          <cell r="F1618" t="str">
            <v>G-SG</v>
          </cell>
          <cell r="H1618" t="str">
            <v>PLNT</v>
          </cell>
          <cell r="I1618" t="str">
            <v>PLNT</v>
          </cell>
          <cell r="J1618" t="str">
            <v>PLNT</v>
          </cell>
          <cell r="K1618" t="str">
            <v>PLNT</v>
          </cell>
          <cell r="L1618" t="str">
            <v>PLNT</v>
          </cell>
        </row>
        <row r="1619">
          <cell r="B1619" t="str">
            <v>G-DGP</v>
          </cell>
          <cell r="C1619" t="str">
            <v>G-DGP</v>
          </cell>
          <cell r="D1619" t="str">
            <v>G-DGP</v>
          </cell>
          <cell r="E1619" t="str">
            <v>G-DGP</v>
          </cell>
          <cell r="F1619" t="str">
            <v>G-DGP</v>
          </cell>
          <cell r="H1619" t="str">
            <v>PLNT</v>
          </cell>
          <cell r="I1619" t="str">
            <v>PLNT</v>
          </cell>
          <cell r="J1619" t="str">
            <v>PLNT</v>
          </cell>
          <cell r="K1619" t="str">
            <v>PLNT</v>
          </cell>
          <cell r="L1619" t="str">
            <v>PLNT</v>
          </cell>
        </row>
        <row r="1620">
          <cell r="B1620" t="str">
            <v>G-DGU</v>
          </cell>
          <cell r="C1620" t="str">
            <v>G-DGU</v>
          </cell>
          <cell r="D1620" t="str">
            <v>G-DGU</v>
          </cell>
          <cell r="E1620" t="str">
            <v>G-DGU</v>
          </cell>
          <cell r="F1620" t="str">
            <v>G-DGU</v>
          </cell>
          <cell r="H1620" t="str">
            <v>PLNT</v>
          </cell>
          <cell r="I1620" t="str">
            <v>PLNT</v>
          </cell>
          <cell r="J1620" t="str">
            <v>PLNT</v>
          </cell>
          <cell r="K1620" t="str">
            <v>PLNT</v>
          </cell>
          <cell r="L1620" t="str">
            <v>PLNT</v>
          </cell>
        </row>
        <row r="1624">
          <cell r="B1624" t="str">
            <v>G-SITUS</v>
          </cell>
          <cell r="C1624" t="str">
            <v>G-SITUS</v>
          </cell>
          <cell r="D1624" t="str">
            <v>G-SITUS</v>
          </cell>
          <cell r="E1624" t="str">
            <v>G-SITUS</v>
          </cell>
          <cell r="F1624" t="str">
            <v>G-SITUS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PTD</v>
          </cell>
          <cell r="C1625" t="str">
            <v>PTD</v>
          </cell>
          <cell r="D1625" t="str">
            <v>PTD</v>
          </cell>
          <cell r="E1625" t="str">
            <v>PTD</v>
          </cell>
          <cell r="F1625" t="str">
            <v>PTD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G-SG</v>
          </cell>
          <cell r="C1626" t="str">
            <v>G-SG</v>
          </cell>
          <cell r="D1626" t="str">
            <v>G-SG</v>
          </cell>
          <cell r="E1626" t="str">
            <v>G-SG</v>
          </cell>
          <cell r="F1626" t="str">
            <v>G-SG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G-DGP</v>
          </cell>
          <cell r="C1627" t="str">
            <v>G-DGP</v>
          </cell>
          <cell r="D1627" t="str">
            <v>G-DGP</v>
          </cell>
          <cell r="E1627" t="str">
            <v>G-DGP</v>
          </cell>
          <cell r="F1627" t="str">
            <v>G-DGP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G-DGU</v>
          </cell>
          <cell r="C1628" t="str">
            <v>G-DGU</v>
          </cell>
          <cell r="D1628" t="str">
            <v>G-DGU</v>
          </cell>
          <cell r="E1628" t="str">
            <v>G-DGU</v>
          </cell>
          <cell r="F1628" t="str">
            <v>G-DGU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4">
          <cell r="B1634" t="str">
            <v>I-SITUS</v>
          </cell>
          <cell r="C1634" t="str">
            <v>I-SITUS</v>
          </cell>
          <cell r="D1634" t="str">
            <v>I-SITUS</v>
          </cell>
          <cell r="E1634" t="str">
            <v>I-SITUS</v>
          </cell>
          <cell r="F1634" t="str">
            <v>I-SITUS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5">
          <cell r="B1635" t="str">
            <v>PTD</v>
          </cell>
          <cell r="C1635" t="str">
            <v>PTD</v>
          </cell>
          <cell r="D1635" t="str">
            <v>PTD</v>
          </cell>
          <cell r="E1635" t="str">
            <v>PTD</v>
          </cell>
          <cell r="F1635" t="str">
            <v>PTD</v>
          </cell>
          <cell r="H1635" t="str">
            <v>PLNT</v>
          </cell>
          <cell r="I1635" t="str">
            <v>PLNT</v>
          </cell>
          <cell r="J1635" t="str">
            <v>PLNT</v>
          </cell>
          <cell r="K1635" t="str">
            <v>PLNT</v>
          </cell>
          <cell r="L1635" t="str">
            <v>PLNT</v>
          </cell>
        </row>
        <row r="1636">
          <cell r="B1636" t="str">
            <v>I-SG</v>
          </cell>
          <cell r="C1636" t="str">
            <v>I-SG</v>
          </cell>
          <cell r="D1636" t="str">
            <v>I-SG</v>
          </cell>
          <cell r="E1636" t="str">
            <v>I-SG</v>
          </cell>
          <cell r="F1636" t="str">
            <v>I-SG</v>
          </cell>
          <cell r="H1636" t="str">
            <v>PLNT</v>
          </cell>
          <cell r="I1636" t="str">
            <v>PLNT</v>
          </cell>
          <cell r="J1636" t="str">
            <v>PLNT</v>
          </cell>
          <cell r="K1636" t="str">
            <v>PLNT</v>
          </cell>
          <cell r="L1636" t="str">
            <v>PLNT</v>
          </cell>
        </row>
        <row r="1639">
          <cell r="B1639" t="str">
            <v>I-SITUS</v>
          </cell>
          <cell r="C1639" t="str">
            <v>I-SITUS</v>
          </cell>
          <cell r="D1639" t="str">
            <v>I-SITUS</v>
          </cell>
          <cell r="E1639" t="str">
            <v>I-SITUS</v>
          </cell>
          <cell r="F1639" t="str">
            <v>I-SITUS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I-SG</v>
          </cell>
          <cell r="C1640" t="str">
            <v>I-SG</v>
          </cell>
          <cell r="D1640" t="str">
            <v>I-SG</v>
          </cell>
          <cell r="E1640" t="str">
            <v>I-SG</v>
          </cell>
          <cell r="F1640" t="str">
            <v>I-SG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1">
          <cell r="B1641" t="str">
            <v>I-DGP</v>
          </cell>
          <cell r="C1641" t="str">
            <v>I-DGP</v>
          </cell>
          <cell r="D1641" t="str">
            <v>I-DGP</v>
          </cell>
          <cell r="E1641" t="str">
            <v>I-DGP</v>
          </cell>
          <cell r="F1641" t="str">
            <v>I-DGP</v>
          </cell>
          <cell r="H1641" t="str">
            <v>PLNT</v>
          </cell>
          <cell r="I1641" t="str">
            <v>PLNT</v>
          </cell>
          <cell r="J1641" t="str">
            <v>PLNT</v>
          </cell>
          <cell r="K1641" t="str">
            <v>PLNT</v>
          </cell>
          <cell r="L1641" t="str">
            <v>PLNT</v>
          </cell>
        </row>
        <row r="1642">
          <cell r="B1642" t="str">
            <v>I-DGU</v>
          </cell>
          <cell r="C1642" t="str">
            <v>I-DGU</v>
          </cell>
          <cell r="D1642" t="str">
            <v>I-DGU</v>
          </cell>
          <cell r="E1642" t="str">
            <v>I-DGU</v>
          </cell>
          <cell r="F1642" t="str">
            <v>I-DGU</v>
          </cell>
          <cell r="H1642" t="str">
            <v>PLNT</v>
          </cell>
          <cell r="I1642" t="str">
            <v>PLNT</v>
          </cell>
          <cell r="J1642" t="str">
            <v>PLNT</v>
          </cell>
          <cell r="K1642" t="str">
            <v>PLNT</v>
          </cell>
          <cell r="L1642" t="str">
            <v>PLNT</v>
          </cell>
        </row>
        <row r="1646">
          <cell r="B1646" t="str">
            <v>I-SITUS</v>
          </cell>
          <cell r="C1646" t="str">
            <v>I-SITUS</v>
          </cell>
          <cell r="D1646" t="str">
            <v>I-SITUS</v>
          </cell>
          <cell r="E1646" t="str">
            <v>I-SITUS</v>
          </cell>
          <cell r="F1646" t="str">
            <v>I-SITUS</v>
          </cell>
          <cell r="H1646" t="str">
            <v>PLNT</v>
          </cell>
          <cell r="I1646" t="str">
            <v>PLNT</v>
          </cell>
          <cell r="J1646" t="str">
            <v>PLNT</v>
          </cell>
          <cell r="K1646" t="str">
            <v>PLNT</v>
          </cell>
          <cell r="L1646" t="str">
            <v>PLNT</v>
          </cell>
        </row>
        <row r="1647">
          <cell r="B1647" t="str">
            <v>I-SG</v>
          </cell>
          <cell r="C1647" t="str">
            <v>I-SG</v>
          </cell>
          <cell r="D1647" t="str">
            <v>I-SG</v>
          </cell>
          <cell r="E1647" t="str">
            <v>I-SG</v>
          </cell>
          <cell r="F1647" t="str">
            <v>I-SG</v>
          </cell>
          <cell r="H1647" t="str">
            <v>PLNT</v>
          </cell>
          <cell r="I1647" t="str">
            <v>PLNT</v>
          </cell>
          <cell r="J1647" t="str">
            <v>PLNT</v>
          </cell>
          <cell r="K1647" t="str">
            <v>PLNT</v>
          </cell>
          <cell r="L1647" t="str">
            <v>PLNT</v>
          </cell>
        </row>
        <row r="1648">
          <cell r="B1648" t="str">
            <v>PTD</v>
          </cell>
          <cell r="C1648" t="str">
            <v>PTD</v>
          </cell>
          <cell r="D1648" t="str">
            <v>PTD</v>
          </cell>
          <cell r="E1648" t="str">
            <v>PTD</v>
          </cell>
          <cell r="F1648" t="str">
            <v>PTD</v>
          </cell>
          <cell r="H1648" t="str">
            <v>PLNT</v>
          </cell>
          <cell r="I1648" t="str">
            <v>PLNT</v>
          </cell>
          <cell r="J1648" t="str">
            <v>PLNT</v>
          </cell>
          <cell r="K1648" t="str">
            <v>PLNT</v>
          </cell>
          <cell r="L1648" t="str">
            <v>PLNT</v>
          </cell>
        </row>
        <row r="1649">
          <cell r="B1649" t="str">
            <v>I-SG</v>
          </cell>
          <cell r="C1649" t="str">
            <v>I-SG</v>
          </cell>
          <cell r="D1649" t="str">
            <v>I-SG</v>
          </cell>
          <cell r="E1649" t="str">
            <v>I-SG</v>
          </cell>
          <cell r="F1649" t="str">
            <v>I-SG</v>
          </cell>
          <cell r="H1649" t="str">
            <v>PLNT</v>
          </cell>
          <cell r="I1649" t="str">
            <v>PLNT</v>
          </cell>
          <cell r="J1649" t="str">
            <v>PLNT</v>
          </cell>
          <cell r="K1649" t="str">
            <v>PLNT</v>
          </cell>
          <cell r="L1649" t="str">
            <v>PLNT</v>
          </cell>
        </row>
        <row r="1650">
          <cell r="B1650" t="str">
            <v>CUST</v>
          </cell>
          <cell r="C1650" t="str">
            <v>CUST</v>
          </cell>
          <cell r="D1650" t="str">
            <v>CUST</v>
          </cell>
          <cell r="E1650" t="str">
            <v>CUST</v>
          </cell>
          <cell r="F1650" t="str">
            <v>CUST</v>
          </cell>
          <cell r="H1650" t="str">
            <v>CUST</v>
          </cell>
          <cell r="I1650" t="str">
            <v>CUST</v>
          </cell>
          <cell r="J1650" t="str">
            <v>CUST</v>
          </cell>
          <cell r="K1650" t="str">
            <v>CUST</v>
          </cell>
          <cell r="L1650" t="str">
            <v>CUST</v>
          </cell>
        </row>
        <row r="1651">
          <cell r="B1651" t="str">
            <v>I-DGU</v>
          </cell>
          <cell r="C1651" t="str">
            <v>I-DGU</v>
          </cell>
          <cell r="D1651" t="str">
            <v>I-DGU</v>
          </cell>
          <cell r="E1651" t="str">
            <v>I-DGU</v>
          </cell>
          <cell r="F1651" t="str">
            <v>I-DGU</v>
          </cell>
          <cell r="H1651" t="str">
            <v>PLNT</v>
          </cell>
          <cell r="I1651" t="str">
            <v>PLNT</v>
          </cell>
          <cell r="J1651" t="str">
            <v>PLNT</v>
          </cell>
          <cell r="K1651" t="str">
            <v>PLNT</v>
          </cell>
          <cell r="L1651" t="str">
            <v>PLNT</v>
          </cell>
        </row>
        <row r="1652">
          <cell r="B1652" t="str">
            <v>I-DGP</v>
          </cell>
          <cell r="C1652" t="str">
            <v>I-DGP</v>
          </cell>
          <cell r="D1652" t="str">
            <v>I-DGP</v>
          </cell>
          <cell r="E1652" t="str">
            <v>I-DGP</v>
          </cell>
          <cell r="F1652" t="str">
            <v>I-DGP</v>
          </cell>
          <cell r="H1652" t="str">
            <v>PLNT</v>
          </cell>
          <cell r="I1652" t="str">
            <v>PLNT</v>
          </cell>
          <cell r="J1652" t="str">
            <v>PLNT</v>
          </cell>
          <cell r="K1652" t="str">
            <v>PLNT</v>
          </cell>
          <cell r="L1652" t="str">
            <v>PLNT</v>
          </cell>
        </row>
        <row r="1653">
          <cell r="B1653" t="str">
            <v>I-SG</v>
          </cell>
          <cell r="C1653" t="str">
            <v>I-SG</v>
          </cell>
          <cell r="D1653" t="str">
            <v>I-SG</v>
          </cell>
          <cell r="E1653" t="str">
            <v>I-SG</v>
          </cell>
          <cell r="F1653" t="str">
            <v>I-SG</v>
          </cell>
          <cell r="H1653" t="str">
            <v>PLNT</v>
          </cell>
          <cell r="I1653" t="str">
            <v>PLNT</v>
          </cell>
          <cell r="J1653" t="str">
            <v>PLNT</v>
          </cell>
          <cell r="K1653" t="str">
            <v>PLNT</v>
          </cell>
          <cell r="L1653" t="str">
            <v>PLNT</v>
          </cell>
        </row>
        <row r="1656">
          <cell r="B1656" t="str">
            <v>I-SITUS</v>
          </cell>
          <cell r="C1656" t="str">
            <v>I-SITUS</v>
          </cell>
          <cell r="D1656" t="str">
            <v>I-SITUS</v>
          </cell>
          <cell r="E1656" t="str">
            <v>I-SITUS</v>
          </cell>
          <cell r="F1656" t="str">
            <v>I-SITUS</v>
          </cell>
          <cell r="H1656" t="str">
            <v>PLNT</v>
          </cell>
          <cell r="I1656" t="str">
            <v>PLNT</v>
          </cell>
          <cell r="J1656" t="str">
            <v>PLNT</v>
          </cell>
          <cell r="K1656" t="str">
            <v>PLNT</v>
          </cell>
          <cell r="L1656" t="str">
            <v>PLNT</v>
          </cell>
        </row>
        <row r="1660">
          <cell r="B1660" t="str">
            <v>I-SITUS</v>
          </cell>
          <cell r="C1660" t="str">
            <v>I-SITUS</v>
          </cell>
          <cell r="D1660" t="str">
            <v>I-SITUS</v>
          </cell>
          <cell r="E1660" t="str">
            <v>I-SITUS</v>
          </cell>
          <cell r="F1660" t="str">
            <v>I-SITUS</v>
          </cell>
          <cell r="H1660" t="str">
            <v>PLNT</v>
          </cell>
          <cell r="I1660" t="str">
            <v>PLNT</v>
          </cell>
          <cell r="J1660" t="str">
            <v>PLNT</v>
          </cell>
          <cell r="K1660" t="str">
            <v>PLNT</v>
          </cell>
          <cell r="L1660" t="str">
            <v>PLNT</v>
          </cell>
        </row>
        <row r="1661">
          <cell r="B1661" t="str">
            <v>I-SG</v>
          </cell>
          <cell r="C1661" t="str">
            <v>I-SG</v>
          </cell>
          <cell r="D1661" t="str">
            <v>I-SG</v>
          </cell>
          <cell r="E1661" t="str">
            <v>I-SG</v>
          </cell>
          <cell r="F1661" t="str">
            <v>I-SG</v>
          </cell>
          <cell r="H1661" t="str">
            <v>PLNT</v>
          </cell>
          <cell r="I1661" t="str">
            <v>PLNT</v>
          </cell>
          <cell r="J1661" t="str">
            <v>PLNT</v>
          </cell>
          <cell r="K1661" t="str">
            <v>PLNT</v>
          </cell>
          <cell r="L1661" t="str">
            <v>PLNT</v>
          </cell>
        </row>
        <row r="1662">
          <cell r="B1662" t="str">
            <v>I-DGU</v>
          </cell>
          <cell r="C1662" t="str">
            <v>I-DGU</v>
          </cell>
          <cell r="D1662" t="str">
            <v>I-DGU</v>
          </cell>
          <cell r="E1662" t="str">
            <v>I-DGU</v>
          </cell>
          <cell r="F1662" t="str">
            <v>I-DGU</v>
          </cell>
          <cell r="H1662" t="str">
            <v>PLNT</v>
          </cell>
          <cell r="I1662" t="str">
            <v>PLNT</v>
          </cell>
          <cell r="J1662" t="str">
            <v>PLNT</v>
          </cell>
          <cell r="K1662" t="str">
            <v>PLNT</v>
          </cell>
          <cell r="L1662" t="str">
            <v>PLNT</v>
          </cell>
        </row>
        <row r="1663">
          <cell r="B1663" t="str">
            <v>PTD</v>
          </cell>
          <cell r="C1663" t="str">
            <v>PTD</v>
          </cell>
          <cell r="D1663" t="str">
            <v>PTD</v>
          </cell>
          <cell r="E1663" t="str">
            <v>PTD</v>
          </cell>
          <cell r="F1663" t="str">
            <v>PTD</v>
          </cell>
          <cell r="H1663" t="str">
            <v>PLNT</v>
          </cell>
          <cell r="I1663" t="str">
            <v>PLNT</v>
          </cell>
          <cell r="J1663" t="str">
            <v>PLNT</v>
          </cell>
          <cell r="K1663" t="str">
            <v>PLNT</v>
          </cell>
          <cell r="L1663" t="str">
            <v>PLNT</v>
          </cell>
        </row>
        <row r="1672">
          <cell r="B1672" t="str">
            <v>DPW</v>
          </cell>
          <cell r="C1672" t="str">
            <v>DPW</v>
          </cell>
          <cell r="D1672" t="str">
            <v>DPW</v>
          </cell>
          <cell r="E1672" t="str">
            <v>DPW</v>
          </cell>
          <cell r="F1672" t="str">
            <v>DPW</v>
          </cell>
          <cell r="H1672" t="str">
            <v>PLNT</v>
          </cell>
          <cell r="I1672" t="str">
            <v>PLNT</v>
          </cell>
          <cell r="J1672" t="str">
            <v>PLNT</v>
          </cell>
          <cell r="K1672" t="str">
            <v>PLNT</v>
          </cell>
          <cell r="L1672" t="str">
            <v>PLNT</v>
          </cell>
        </row>
        <row r="1673">
          <cell r="B1673" t="str">
            <v>P</v>
          </cell>
          <cell r="C1673" t="str">
            <v>P</v>
          </cell>
          <cell r="D1673" t="str">
            <v>P</v>
          </cell>
          <cell r="E1673" t="str">
            <v>P</v>
          </cell>
          <cell r="F1673" t="str">
            <v>P</v>
          </cell>
          <cell r="H1673" t="str">
            <v>PLNT</v>
          </cell>
          <cell r="I1673" t="str">
            <v>PLNT</v>
          </cell>
          <cell r="J1673" t="str">
            <v>PLNT</v>
          </cell>
          <cell r="K1673" t="str">
            <v>PLNT</v>
          </cell>
          <cell r="L1673" t="str">
            <v>PLNT</v>
          </cell>
        </row>
        <row r="1674">
          <cell r="B1674" t="str">
            <v>T</v>
          </cell>
          <cell r="C1674" t="str">
            <v>T</v>
          </cell>
          <cell r="D1674" t="str">
            <v>T</v>
          </cell>
          <cell r="E1674" t="str">
            <v>T</v>
          </cell>
          <cell r="F1674" t="str">
            <v>T</v>
          </cell>
          <cell r="H1674" t="str">
            <v>PLNT</v>
          </cell>
          <cell r="I1674" t="str">
            <v>PLNT</v>
          </cell>
          <cell r="J1674" t="str">
            <v>PLNT</v>
          </cell>
          <cell r="K1674" t="str">
            <v>PLNT</v>
          </cell>
          <cell r="L1674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6">
          <cell r="B1676" t="str">
            <v>P</v>
          </cell>
          <cell r="C1676" t="str">
            <v>P</v>
          </cell>
          <cell r="D1676" t="str">
            <v>P</v>
          </cell>
          <cell r="E1676" t="str">
            <v>P</v>
          </cell>
          <cell r="F1676" t="str">
            <v>P</v>
          </cell>
          <cell r="H1676" t="str">
            <v>PLNT</v>
          </cell>
          <cell r="I1676" t="str">
            <v>PLNT</v>
          </cell>
          <cell r="J1676" t="str">
            <v>PLNT</v>
          </cell>
          <cell r="K1676" t="str">
            <v>PLNT</v>
          </cell>
          <cell r="L1676" t="str">
            <v>PLNT</v>
          </cell>
        </row>
        <row r="1677">
          <cell r="B1677" t="str">
            <v>G</v>
          </cell>
          <cell r="C1677" t="str">
            <v>G</v>
          </cell>
          <cell r="D1677" t="str">
            <v>G</v>
          </cell>
          <cell r="E1677" t="str">
            <v>G</v>
          </cell>
          <cell r="F1677" t="str">
            <v>G</v>
          </cell>
          <cell r="H1677" t="str">
            <v>PLNT</v>
          </cell>
          <cell r="I1677" t="str">
            <v>PLNT</v>
          </cell>
          <cell r="J1677" t="str">
            <v>PLNT</v>
          </cell>
          <cell r="K1677" t="str">
            <v>PLNT</v>
          </cell>
          <cell r="L1677" t="str">
            <v>PLNT</v>
          </cell>
        </row>
        <row r="1681">
          <cell r="B1681" t="str">
            <v>P</v>
          </cell>
          <cell r="C1681" t="str">
            <v>P</v>
          </cell>
          <cell r="D1681" t="str">
            <v>P</v>
          </cell>
          <cell r="E1681" t="str">
            <v>P</v>
          </cell>
          <cell r="F1681" t="str">
            <v>P</v>
          </cell>
          <cell r="H1681" t="str">
            <v>PLNT</v>
          </cell>
          <cell r="I1681" t="str">
            <v>PLNT</v>
          </cell>
          <cell r="J1681" t="str">
            <v>PLNT</v>
          </cell>
          <cell r="K1681" t="str">
            <v>PLNT</v>
          </cell>
          <cell r="L1681" t="str">
            <v>PLNT</v>
          </cell>
        </row>
        <row r="1682">
          <cell r="B1682" t="str">
            <v>P</v>
          </cell>
          <cell r="C1682" t="str">
            <v>P</v>
          </cell>
          <cell r="D1682" t="str">
            <v>P</v>
          </cell>
          <cell r="E1682" t="str">
            <v>P</v>
          </cell>
          <cell r="F1682" t="str">
            <v>P</v>
          </cell>
          <cell r="H1682" t="str">
            <v>PLNT</v>
          </cell>
          <cell r="I1682" t="str">
            <v>PLNT</v>
          </cell>
          <cell r="J1682" t="str">
            <v>PLNT</v>
          </cell>
          <cell r="K1682" t="str">
            <v>PLNT</v>
          </cell>
          <cell r="L1682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1">
          <cell r="B1691" t="str">
            <v>COMMON</v>
          </cell>
          <cell r="C1691" t="str">
            <v>COMMON</v>
          </cell>
          <cell r="D1691" t="str">
            <v>COMMON</v>
          </cell>
          <cell r="E1691" t="str">
            <v>COMMON</v>
          </cell>
          <cell r="F1691" t="str">
            <v>COMMON</v>
          </cell>
          <cell r="H1691" t="str">
            <v>MISC</v>
          </cell>
          <cell r="I1691" t="str">
            <v>MISC</v>
          </cell>
          <cell r="J1691" t="str">
            <v>MISC</v>
          </cell>
          <cell r="K1691" t="str">
            <v>MISC</v>
          </cell>
          <cell r="L1691" t="str">
            <v>MISC</v>
          </cell>
        </row>
        <row r="1692">
          <cell r="B1692" t="str">
            <v>COMMON</v>
          </cell>
          <cell r="C1692" t="str">
            <v>COMMON</v>
          </cell>
          <cell r="D1692" t="str">
            <v>COMMON</v>
          </cell>
          <cell r="E1692" t="str">
            <v>COMMON</v>
          </cell>
          <cell r="F1692" t="str">
            <v>COMMON</v>
          </cell>
          <cell r="H1692" t="str">
            <v>MISC</v>
          </cell>
          <cell r="I1692" t="str">
            <v>MISC</v>
          </cell>
          <cell r="J1692" t="str">
            <v>MISC</v>
          </cell>
          <cell r="K1692" t="str">
            <v>MISC</v>
          </cell>
          <cell r="L1692" t="str">
            <v>MISC</v>
          </cell>
        </row>
        <row r="1696">
          <cell r="B1696" t="str">
            <v>COMMON</v>
          </cell>
          <cell r="C1696" t="str">
            <v>COMMON</v>
          </cell>
          <cell r="D1696" t="str">
            <v>COMMON</v>
          </cell>
          <cell r="E1696" t="str">
            <v>COMMON</v>
          </cell>
          <cell r="F1696" t="str">
            <v>COMMON</v>
          </cell>
          <cell r="H1696" t="str">
            <v>MISC</v>
          </cell>
          <cell r="I1696" t="str">
            <v>MISC</v>
          </cell>
          <cell r="J1696" t="str">
            <v>MISC</v>
          </cell>
          <cell r="K1696" t="str">
            <v>MISC</v>
          </cell>
          <cell r="L1696" t="str">
            <v>MISC</v>
          </cell>
        </row>
        <row r="1697">
          <cell r="B1697" t="str">
            <v>COMMON</v>
          </cell>
          <cell r="C1697" t="str">
            <v>COMMON</v>
          </cell>
          <cell r="D1697" t="str">
            <v>COMMON</v>
          </cell>
          <cell r="E1697" t="str">
            <v>COMMON</v>
          </cell>
          <cell r="F1697" t="str">
            <v>COMMON</v>
          </cell>
          <cell r="H1697" t="str">
            <v>MISC</v>
          </cell>
          <cell r="I1697" t="str">
            <v>MISC</v>
          </cell>
          <cell r="J1697" t="str">
            <v>MISC</v>
          </cell>
          <cell r="K1697" t="str">
            <v>MISC</v>
          </cell>
          <cell r="L1697" t="str">
            <v>MISC</v>
          </cell>
        </row>
        <row r="1698">
          <cell r="B1698" t="str">
            <v>COMMON</v>
          </cell>
          <cell r="C1698" t="str">
            <v>COMMON</v>
          </cell>
          <cell r="D1698" t="str">
            <v>COMMON</v>
          </cell>
          <cell r="E1698" t="str">
            <v>COMMON</v>
          </cell>
          <cell r="F1698" t="str">
            <v>COMMON</v>
          </cell>
          <cell r="H1698" t="str">
            <v>MISC</v>
          </cell>
          <cell r="I1698" t="str">
            <v>MISC</v>
          </cell>
          <cell r="J1698" t="str">
            <v>MISC</v>
          </cell>
          <cell r="K1698" t="str">
            <v>MISC</v>
          </cell>
          <cell r="L1698" t="str">
            <v>MISC</v>
          </cell>
        </row>
        <row r="1699">
          <cell r="B1699" t="str">
            <v>COMMON</v>
          </cell>
          <cell r="C1699" t="str">
            <v>COMMON</v>
          </cell>
          <cell r="D1699" t="str">
            <v>COMMON</v>
          </cell>
          <cell r="E1699" t="str">
            <v>COMMON</v>
          </cell>
          <cell r="F1699" t="str">
            <v>COMMON</v>
          </cell>
          <cell r="H1699" t="str">
            <v>MISC</v>
          </cell>
          <cell r="I1699" t="str">
            <v>MISC</v>
          </cell>
          <cell r="J1699" t="str">
            <v>MISC</v>
          </cell>
          <cell r="K1699" t="str">
            <v>MISC</v>
          </cell>
          <cell r="L1699" t="str">
            <v>MISC</v>
          </cell>
        </row>
        <row r="1703">
          <cell r="B1703" t="str">
            <v>COMMON</v>
          </cell>
          <cell r="C1703" t="str">
            <v>COMMON</v>
          </cell>
          <cell r="D1703" t="str">
            <v>COMMON</v>
          </cell>
          <cell r="E1703" t="str">
            <v>COMMON</v>
          </cell>
          <cell r="F1703" t="str">
            <v>COMMON</v>
          </cell>
          <cell r="H1703" t="str">
            <v>MISC</v>
          </cell>
          <cell r="I1703" t="str">
            <v>MISC</v>
          </cell>
          <cell r="J1703" t="str">
            <v>MISC</v>
          </cell>
          <cell r="K1703" t="str">
            <v>MISC</v>
          </cell>
          <cell r="L1703" t="str">
            <v>MISC</v>
          </cell>
        </row>
        <row r="1704">
          <cell r="B1704" t="str">
            <v>CUST</v>
          </cell>
          <cell r="C1704" t="str">
            <v>CUST</v>
          </cell>
          <cell r="D1704" t="str">
            <v>CUST</v>
          </cell>
          <cell r="E1704" t="str">
            <v>CUST</v>
          </cell>
          <cell r="F1704" t="str">
            <v>COMMON</v>
          </cell>
          <cell r="H1704" t="str">
            <v>CUST</v>
          </cell>
          <cell r="I1704" t="str">
            <v>CUST</v>
          </cell>
          <cell r="J1704" t="str">
            <v>CUST</v>
          </cell>
          <cell r="K1704" t="str">
            <v>CUST</v>
          </cell>
          <cell r="L1704" t="str">
            <v>CUST</v>
          </cell>
        </row>
        <row r="1705">
          <cell r="B1705" t="str">
            <v>CUST</v>
          </cell>
          <cell r="C1705" t="str">
            <v>CUST</v>
          </cell>
          <cell r="D1705" t="str">
            <v>CUST</v>
          </cell>
          <cell r="E1705" t="str">
            <v>CUST</v>
          </cell>
          <cell r="F1705" t="str">
            <v>COMMON</v>
          </cell>
          <cell r="H1705" t="str">
            <v>CUST</v>
          </cell>
          <cell r="I1705" t="str">
            <v>CUST</v>
          </cell>
          <cell r="J1705" t="str">
            <v>CUST</v>
          </cell>
          <cell r="K1705" t="str">
            <v>CUST</v>
          </cell>
          <cell r="L1705" t="str">
            <v>CUST</v>
          </cell>
        </row>
        <row r="1706">
          <cell r="B1706" t="str">
            <v>COMMON</v>
          </cell>
          <cell r="C1706" t="str">
            <v>COMMON</v>
          </cell>
          <cell r="D1706" t="str">
            <v>COMMON</v>
          </cell>
          <cell r="E1706" t="str">
            <v>COMMON</v>
          </cell>
          <cell r="F1706" t="str">
            <v>COMMON</v>
          </cell>
          <cell r="H1706" t="str">
            <v>MISC</v>
          </cell>
          <cell r="I1706" t="str">
            <v>MISC</v>
          </cell>
          <cell r="J1706" t="str">
            <v>MISC</v>
          </cell>
          <cell r="K1706" t="str">
            <v>MISC</v>
          </cell>
          <cell r="L1706" t="str">
            <v>MISC</v>
          </cell>
        </row>
        <row r="1707">
          <cell r="B1707" t="str">
            <v>COMMON</v>
          </cell>
          <cell r="C1707" t="str">
            <v>COMMON</v>
          </cell>
          <cell r="D1707" t="str">
            <v>COMMON</v>
          </cell>
          <cell r="E1707" t="str">
            <v>COMMON</v>
          </cell>
          <cell r="F1707" t="str">
            <v>COMMON</v>
          </cell>
          <cell r="H1707" t="str">
            <v>MISC</v>
          </cell>
          <cell r="I1707" t="str">
            <v>MISC</v>
          </cell>
          <cell r="J1707" t="str">
            <v>MISC</v>
          </cell>
          <cell r="K1707" t="str">
            <v>MISC</v>
          </cell>
          <cell r="L1707" t="str">
            <v>MISC</v>
          </cell>
        </row>
        <row r="1713">
          <cell r="B1713" t="str">
            <v>P</v>
          </cell>
          <cell r="C1713" t="str">
            <v>P</v>
          </cell>
          <cell r="D1713" t="str">
            <v>P</v>
          </cell>
          <cell r="E1713" t="str">
            <v>P</v>
          </cell>
          <cell r="F1713" t="str">
            <v>P</v>
          </cell>
          <cell r="H1713" t="str">
            <v>PLNT</v>
          </cell>
          <cell r="I1713" t="str">
            <v>PLNT</v>
          </cell>
          <cell r="J1713" t="str">
            <v>PLNT</v>
          </cell>
          <cell r="K1713" t="str">
            <v>PLNT</v>
          </cell>
          <cell r="L1713" t="str">
            <v>PLNT</v>
          </cell>
        </row>
        <row r="1714">
          <cell r="B1714" t="str">
            <v>P</v>
          </cell>
          <cell r="C1714" t="str">
            <v>P</v>
          </cell>
          <cell r="D1714" t="str">
            <v>P</v>
          </cell>
          <cell r="E1714" t="str">
            <v>P</v>
          </cell>
          <cell r="F1714" t="str">
            <v>P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15">
          <cell r="B1715" t="str">
            <v>P</v>
          </cell>
          <cell r="C1715" t="str">
            <v>P</v>
          </cell>
          <cell r="D1715" t="str">
            <v>P</v>
          </cell>
          <cell r="E1715" t="str">
            <v>P</v>
          </cell>
          <cell r="F1715" t="str">
            <v>P</v>
          </cell>
          <cell r="H1715" t="str">
            <v>PLNT</v>
          </cell>
          <cell r="I1715" t="str">
            <v>PLNT</v>
          </cell>
          <cell r="J1715" t="str">
            <v>PLNT</v>
          </cell>
          <cell r="K1715" t="str">
            <v>PLNT</v>
          </cell>
          <cell r="L1715" t="str">
            <v>PLNT</v>
          </cell>
        </row>
        <row r="1719">
          <cell r="B1719" t="str">
            <v>P</v>
          </cell>
          <cell r="C1719" t="str">
            <v>P</v>
          </cell>
          <cell r="D1719" t="str">
            <v>P</v>
          </cell>
          <cell r="E1719" t="str">
            <v>P</v>
          </cell>
          <cell r="F1719" t="str">
            <v>P</v>
          </cell>
          <cell r="H1719" t="str">
            <v>PLNT</v>
          </cell>
          <cell r="I1719" t="str">
            <v>PLNT</v>
          </cell>
          <cell r="J1719" t="str">
            <v>PLNT</v>
          </cell>
          <cell r="K1719" t="str">
            <v>PLNT</v>
          </cell>
          <cell r="L1719" t="str">
            <v>PLNT</v>
          </cell>
        </row>
        <row r="1723">
          <cell r="B1723" t="str">
            <v>P</v>
          </cell>
          <cell r="C1723" t="str">
            <v>P</v>
          </cell>
          <cell r="D1723" t="str">
            <v>P</v>
          </cell>
          <cell r="E1723" t="str">
            <v>P</v>
          </cell>
          <cell r="F1723" t="str">
            <v>P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7">
          <cell r="B1727" t="str">
            <v>P</v>
          </cell>
          <cell r="C1727" t="str">
            <v>P</v>
          </cell>
          <cell r="D1727" t="str">
            <v>P</v>
          </cell>
          <cell r="E1727" t="str">
            <v>P</v>
          </cell>
          <cell r="F1727" t="str">
            <v>P</v>
          </cell>
          <cell r="H1727" t="str">
            <v>PLNT</v>
          </cell>
          <cell r="I1727" t="str">
            <v>PLNT</v>
          </cell>
          <cell r="J1727" t="str">
            <v>PLNT</v>
          </cell>
          <cell r="K1727" t="str">
            <v>PLNT</v>
          </cell>
          <cell r="L1727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7">
          <cell r="B1737" t="str">
            <v>MSS</v>
          </cell>
          <cell r="C1737" t="str">
            <v>MSS</v>
          </cell>
          <cell r="D1737" t="str">
            <v>MSS</v>
          </cell>
          <cell r="E1737" t="str">
            <v>MSS</v>
          </cell>
          <cell r="F1737" t="str">
            <v>MSS</v>
          </cell>
          <cell r="H1737" t="str">
            <v>PLNT</v>
          </cell>
          <cell r="I1737" t="str">
            <v>PLNT</v>
          </cell>
          <cell r="J1737" t="str">
            <v>PLNT</v>
          </cell>
          <cell r="K1737" t="str">
            <v>PLNT</v>
          </cell>
          <cell r="L1737" t="str">
            <v>PLNT</v>
          </cell>
        </row>
        <row r="1738">
          <cell r="B1738" t="str">
            <v>MSS</v>
          </cell>
          <cell r="C1738" t="str">
            <v>MSS</v>
          </cell>
          <cell r="D1738" t="str">
            <v>MSS</v>
          </cell>
          <cell r="E1738" t="str">
            <v>MSS</v>
          </cell>
          <cell r="F1738" t="str">
            <v>MSS</v>
          </cell>
          <cell r="H1738" t="str">
            <v>PLNT</v>
          </cell>
          <cell r="I1738" t="str">
            <v>PLNT</v>
          </cell>
          <cell r="J1738" t="str">
            <v>PLNT</v>
          </cell>
          <cell r="K1738" t="str">
            <v>PLNT</v>
          </cell>
          <cell r="L1738" t="str">
            <v>PLNT</v>
          </cell>
        </row>
        <row r="1739">
          <cell r="B1739" t="str">
            <v>MSS</v>
          </cell>
          <cell r="C1739" t="str">
            <v>MSS</v>
          </cell>
          <cell r="D1739" t="str">
            <v>MSS</v>
          </cell>
          <cell r="E1739" t="str">
            <v>MSS</v>
          </cell>
          <cell r="F1739" t="str">
            <v>MSS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MSS</v>
          </cell>
          <cell r="C1740" t="str">
            <v>MSS</v>
          </cell>
          <cell r="D1740" t="str">
            <v>MSS</v>
          </cell>
          <cell r="E1740" t="str">
            <v>MSS</v>
          </cell>
          <cell r="F1740" t="str">
            <v>MSS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MSS</v>
          </cell>
          <cell r="C1741" t="str">
            <v>MSS</v>
          </cell>
          <cell r="D1741" t="str">
            <v>MSS</v>
          </cell>
          <cell r="E1741" t="str">
            <v>MSS</v>
          </cell>
          <cell r="F1741" t="str">
            <v>MSS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MSS</v>
          </cell>
          <cell r="C1742" t="str">
            <v>MSS</v>
          </cell>
          <cell r="D1742" t="str">
            <v>MSS</v>
          </cell>
          <cell r="E1742" t="str">
            <v>MSS</v>
          </cell>
          <cell r="F1742" t="str">
            <v>MSS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MSS</v>
          </cell>
          <cell r="C1743" t="str">
            <v>MSS</v>
          </cell>
          <cell r="D1743" t="str">
            <v>MSS</v>
          </cell>
          <cell r="E1743" t="str">
            <v>MSS</v>
          </cell>
          <cell r="F1743" t="str">
            <v>MSS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MSS</v>
          </cell>
          <cell r="C1744" t="str">
            <v>MSS</v>
          </cell>
          <cell r="D1744" t="str">
            <v>MSS</v>
          </cell>
          <cell r="E1744" t="str">
            <v>MSS</v>
          </cell>
          <cell r="F1744" t="str">
            <v>MSS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MSS</v>
          </cell>
          <cell r="C1745" t="str">
            <v>MSS</v>
          </cell>
          <cell r="D1745" t="str">
            <v>MSS</v>
          </cell>
          <cell r="E1745" t="str">
            <v>MSS</v>
          </cell>
          <cell r="F1745" t="str">
            <v>MSS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MSS</v>
          </cell>
          <cell r="C1746" t="str">
            <v>MSS</v>
          </cell>
          <cell r="D1746" t="str">
            <v>MSS</v>
          </cell>
          <cell r="E1746" t="str">
            <v>MSS</v>
          </cell>
          <cell r="F1746" t="str">
            <v>MSS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47">
          <cell r="B1747" t="str">
            <v>MSS</v>
          </cell>
          <cell r="C1747" t="str">
            <v>MSS</v>
          </cell>
          <cell r="D1747" t="str">
            <v>MSS</v>
          </cell>
          <cell r="E1747" t="str">
            <v>MSS</v>
          </cell>
          <cell r="F1747" t="str">
            <v>MSS</v>
          </cell>
          <cell r="H1747" t="str">
            <v>PLNT</v>
          </cell>
          <cell r="I1747" t="str">
            <v>PLNT</v>
          </cell>
          <cell r="J1747" t="str">
            <v>PLNT</v>
          </cell>
          <cell r="K1747" t="str">
            <v>PLNT</v>
          </cell>
          <cell r="L1747" t="str">
            <v>PLNT</v>
          </cell>
        </row>
        <row r="1748">
          <cell r="B1748" t="str">
            <v>MSS</v>
          </cell>
          <cell r="C1748" t="str">
            <v>MSS</v>
          </cell>
          <cell r="D1748" t="str">
            <v>MSS</v>
          </cell>
          <cell r="E1748" t="str">
            <v>MSS</v>
          </cell>
          <cell r="F1748" t="str">
            <v>MSS</v>
          </cell>
          <cell r="H1748" t="str">
            <v>PLNT</v>
          </cell>
          <cell r="I1748" t="str">
            <v>PLNT</v>
          </cell>
          <cell r="J1748" t="str">
            <v>PLNT</v>
          </cell>
          <cell r="K1748" t="str">
            <v>PLNT</v>
          </cell>
          <cell r="L1748" t="str">
            <v>PLNT</v>
          </cell>
        </row>
        <row r="1749">
          <cell r="B1749" t="str">
            <v>MSS</v>
          </cell>
          <cell r="C1749" t="str">
            <v>MSS</v>
          </cell>
          <cell r="D1749" t="str">
            <v>MSS</v>
          </cell>
          <cell r="E1749" t="str">
            <v>MSS</v>
          </cell>
          <cell r="F1749" t="str">
            <v>MSS</v>
          </cell>
          <cell r="H1749" t="str">
            <v>PLNT</v>
          </cell>
          <cell r="I1749" t="str">
            <v>PLNT</v>
          </cell>
          <cell r="J1749" t="str">
            <v>PLNT</v>
          </cell>
          <cell r="K1749" t="str">
            <v>PLNT</v>
          </cell>
          <cell r="L1749" t="str">
            <v>PLNT</v>
          </cell>
        </row>
        <row r="1753">
          <cell r="B1753" t="str">
            <v>MSS</v>
          </cell>
          <cell r="C1753" t="str">
            <v>MSS</v>
          </cell>
          <cell r="D1753" t="str">
            <v>MSS</v>
          </cell>
          <cell r="E1753" t="str">
            <v>MSS</v>
          </cell>
          <cell r="F1753" t="str">
            <v>MSS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8">
          <cell r="B1758" t="str">
            <v>MSS</v>
          </cell>
          <cell r="C1758" t="str">
            <v>MSS</v>
          </cell>
          <cell r="D1758" t="str">
            <v>MSS</v>
          </cell>
          <cell r="E1758" t="str">
            <v>MSS</v>
          </cell>
          <cell r="F1758" t="str">
            <v>MSS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65">
          <cell r="B1765" t="str">
            <v>COMMON</v>
          </cell>
          <cell r="C1765" t="str">
            <v>COMMON</v>
          </cell>
          <cell r="D1765" t="str">
            <v>COMMON</v>
          </cell>
          <cell r="E1765" t="str">
            <v>COMMON</v>
          </cell>
          <cell r="F1765" t="str">
            <v>COMMON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66">
          <cell r="B1766" t="str">
            <v>GP</v>
          </cell>
          <cell r="C1766" t="str">
            <v>GP</v>
          </cell>
          <cell r="D1766" t="str">
            <v>GP</v>
          </cell>
          <cell r="E1766" t="str">
            <v>GP</v>
          </cell>
          <cell r="F1766" t="str">
            <v>GP</v>
          </cell>
          <cell r="H1766" t="str">
            <v>PLNT</v>
          </cell>
          <cell r="I1766" t="str">
            <v>PLNT</v>
          </cell>
          <cell r="J1766" t="str">
            <v>PLNT</v>
          </cell>
          <cell r="K1766" t="str">
            <v>PLNT</v>
          </cell>
          <cell r="L1766" t="str">
            <v>PLNT</v>
          </cell>
        </row>
        <row r="1767">
          <cell r="B1767" t="str">
            <v>PT</v>
          </cell>
          <cell r="C1767" t="str">
            <v>PT</v>
          </cell>
          <cell r="D1767" t="str">
            <v>PT</v>
          </cell>
          <cell r="E1767" t="str">
            <v>PT</v>
          </cell>
          <cell r="F1767" t="str">
            <v>PT</v>
          </cell>
          <cell r="H1767" t="str">
            <v>PLNT</v>
          </cell>
          <cell r="I1767" t="str">
            <v>PLNT</v>
          </cell>
          <cell r="J1767" t="str">
            <v>PLNT</v>
          </cell>
          <cell r="K1767" t="str">
            <v>PLNT</v>
          </cell>
          <cell r="L1767" t="str">
            <v>PLNT</v>
          </cell>
        </row>
        <row r="1768">
          <cell r="B1768" t="str">
            <v>P</v>
          </cell>
          <cell r="C1768" t="str">
            <v>P</v>
          </cell>
          <cell r="D1768" t="str">
            <v>P</v>
          </cell>
          <cell r="E1768" t="str">
            <v>P</v>
          </cell>
          <cell r="F1768" t="str">
            <v>P</v>
          </cell>
          <cell r="H1768" t="str">
            <v>PLNT</v>
          </cell>
          <cell r="I1768" t="str">
            <v>PLNT</v>
          </cell>
          <cell r="J1768" t="str">
            <v>PLNT</v>
          </cell>
          <cell r="K1768" t="str">
            <v>PLNT</v>
          </cell>
          <cell r="L1768" t="str">
            <v>PLNT</v>
          </cell>
        </row>
        <row r="1769">
          <cell r="B1769" t="str">
            <v>PTD</v>
          </cell>
          <cell r="C1769" t="str">
            <v>PTD</v>
          </cell>
          <cell r="D1769" t="str">
            <v>PTD</v>
          </cell>
          <cell r="E1769" t="str">
            <v>PTD</v>
          </cell>
          <cell r="F1769" t="str">
            <v>PTD</v>
          </cell>
          <cell r="H1769" t="str">
            <v>PLNT</v>
          </cell>
          <cell r="I1769" t="str">
            <v>PLNT</v>
          </cell>
          <cell r="J1769" t="str">
            <v>PLNT</v>
          </cell>
          <cell r="K1769" t="str">
            <v>PLNT</v>
          </cell>
          <cell r="L1769" t="str">
            <v>PLNT</v>
          </cell>
        </row>
        <row r="1773">
          <cell r="B1773" t="str">
            <v>P</v>
          </cell>
          <cell r="C1773" t="str">
            <v>P</v>
          </cell>
          <cell r="D1773" t="str">
            <v>P</v>
          </cell>
          <cell r="E1773" t="str">
            <v>P</v>
          </cell>
          <cell r="F1773" t="str">
            <v>P</v>
          </cell>
          <cell r="H1773" t="str">
            <v>PLNT</v>
          </cell>
          <cell r="I1773" t="str">
            <v>PLNT</v>
          </cell>
          <cell r="J1773" t="str">
            <v>PLNT</v>
          </cell>
          <cell r="K1773" t="str">
            <v>PLNT</v>
          </cell>
          <cell r="L1773" t="str">
            <v>PLNT</v>
          </cell>
        </row>
        <row r="1774">
          <cell r="B1774" t="str">
            <v>P</v>
          </cell>
          <cell r="C1774" t="str">
            <v>P</v>
          </cell>
          <cell r="D1774" t="str">
            <v>P</v>
          </cell>
          <cell r="E1774" t="str">
            <v>P</v>
          </cell>
          <cell r="F1774" t="str">
            <v>P</v>
          </cell>
          <cell r="H1774" t="str">
            <v>PLNT</v>
          </cell>
          <cell r="I1774" t="str">
            <v>PLNT</v>
          </cell>
          <cell r="J1774" t="str">
            <v>PLNT</v>
          </cell>
          <cell r="K1774" t="str">
            <v>PLNT</v>
          </cell>
          <cell r="L1774" t="str">
            <v>PLNT</v>
          </cell>
        </row>
        <row r="1775">
          <cell r="B1775" t="str">
            <v>P</v>
          </cell>
          <cell r="C1775" t="str">
            <v>P</v>
          </cell>
          <cell r="D1775" t="str">
            <v>P</v>
          </cell>
          <cell r="E1775" t="str">
            <v>P</v>
          </cell>
          <cell r="F1775" t="str">
            <v>P</v>
          </cell>
          <cell r="H1775" t="str">
            <v>PLNT</v>
          </cell>
          <cell r="I1775" t="str">
            <v>PLNT</v>
          </cell>
          <cell r="J1775" t="str">
            <v>PLNT</v>
          </cell>
          <cell r="K1775" t="str">
            <v>PLNT</v>
          </cell>
          <cell r="L1775" t="str">
            <v>PLNT</v>
          </cell>
        </row>
        <row r="1776">
          <cell r="B1776" t="str">
            <v>P</v>
          </cell>
          <cell r="C1776" t="str">
            <v>P</v>
          </cell>
          <cell r="D1776" t="str">
            <v>P</v>
          </cell>
          <cell r="E1776" t="str">
            <v>P</v>
          </cell>
          <cell r="F1776" t="str">
            <v>P</v>
          </cell>
          <cell r="H1776" t="str">
            <v>PLNT</v>
          </cell>
          <cell r="I1776" t="str">
            <v>PLNT</v>
          </cell>
          <cell r="J1776" t="str">
            <v>PLNT</v>
          </cell>
          <cell r="K1776" t="str">
            <v>PLNT</v>
          </cell>
          <cell r="L1776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T</v>
          </cell>
          <cell r="C1779" t="str">
            <v>T</v>
          </cell>
          <cell r="D1779" t="str">
            <v>T</v>
          </cell>
          <cell r="E1779" t="str">
            <v>T</v>
          </cell>
          <cell r="F1779" t="str">
            <v>T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T</v>
          </cell>
          <cell r="C1783" t="str">
            <v>T</v>
          </cell>
          <cell r="D1783" t="str">
            <v>T</v>
          </cell>
          <cell r="E1783" t="str">
            <v>T</v>
          </cell>
          <cell r="F1783" t="str">
            <v>T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5">
          <cell r="B1785" t="str">
            <v>P</v>
          </cell>
          <cell r="C1785" t="str">
            <v>P</v>
          </cell>
          <cell r="D1785" t="str">
            <v>P</v>
          </cell>
          <cell r="E1785" t="str">
            <v>P</v>
          </cell>
          <cell r="F1785" t="str">
            <v>P</v>
          </cell>
          <cell r="H1785" t="str">
            <v>PLNT</v>
          </cell>
          <cell r="I1785" t="str">
            <v>PLNT</v>
          </cell>
          <cell r="J1785" t="str">
            <v>PLNT</v>
          </cell>
          <cell r="K1785" t="str">
            <v>PLNT</v>
          </cell>
          <cell r="L1785" t="str">
            <v>PLNT</v>
          </cell>
        </row>
        <row r="1786">
          <cell r="B1786" t="str">
            <v>P</v>
          </cell>
          <cell r="C1786" t="str">
            <v>P</v>
          </cell>
          <cell r="D1786" t="str">
            <v>P</v>
          </cell>
          <cell r="E1786" t="str">
            <v>P</v>
          </cell>
          <cell r="F1786" t="str">
            <v>P</v>
          </cell>
          <cell r="H1786" t="str">
            <v>PLNT</v>
          </cell>
          <cell r="I1786" t="str">
            <v>PLNT</v>
          </cell>
          <cell r="J1786" t="str">
            <v>PLNT</v>
          </cell>
          <cell r="K1786" t="str">
            <v>PLNT</v>
          </cell>
          <cell r="L1786" t="str">
            <v>PLNT</v>
          </cell>
        </row>
        <row r="1787">
          <cell r="B1787" t="str">
            <v>LABOR</v>
          </cell>
          <cell r="C1787" t="str">
            <v>LABOR</v>
          </cell>
          <cell r="D1787" t="str">
            <v>LABOR</v>
          </cell>
          <cell r="E1787" t="str">
            <v>LABOR</v>
          </cell>
          <cell r="F1787" t="str">
            <v>LABOR</v>
          </cell>
          <cell r="H1787" t="str">
            <v>PLNT</v>
          </cell>
          <cell r="I1787" t="str">
            <v>PLNT</v>
          </cell>
          <cell r="J1787" t="str">
            <v>PLNT</v>
          </cell>
          <cell r="K1787" t="str">
            <v>PLNT</v>
          </cell>
          <cell r="L1787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89">
          <cell r="B1789" t="str">
            <v>P</v>
          </cell>
          <cell r="C1789" t="str">
            <v>P</v>
          </cell>
          <cell r="D1789" t="str">
            <v>P</v>
          </cell>
          <cell r="E1789" t="str">
            <v>P</v>
          </cell>
          <cell r="F1789" t="str">
            <v>P</v>
          </cell>
          <cell r="H1789" t="str">
            <v>PLNT</v>
          </cell>
          <cell r="I1789" t="str">
            <v>PLNT</v>
          </cell>
          <cell r="J1789" t="str">
            <v>PLNT</v>
          </cell>
          <cell r="K1789" t="str">
            <v>PLNT</v>
          </cell>
          <cell r="L1789" t="str">
            <v>PLNT</v>
          </cell>
        </row>
        <row r="1790">
          <cell r="B1790" t="str">
            <v>GP</v>
          </cell>
          <cell r="C1790" t="str">
            <v>GP</v>
          </cell>
          <cell r="D1790" t="str">
            <v>GP</v>
          </cell>
          <cell r="E1790" t="str">
            <v>GP</v>
          </cell>
          <cell r="F1790" t="str">
            <v>GP</v>
          </cell>
          <cell r="H1790" t="str">
            <v>PLNT</v>
          </cell>
          <cell r="I1790" t="str">
            <v>PLNT</v>
          </cell>
          <cell r="J1790" t="str">
            <v>PLNT</v>
          </cell>
          <cell r="K1790" t="str">
            <v>PLNT</v>
          </cell>
          <cell r="L1790" t="str">
            <v>PLNT</v>
          </cell>
        </row>
        <row r="1795">
          <cell r="B1795" t="str">
            <v>CWC</v>
          </cell>
          <cell r="C1795" t="str">
            <v>CWC</v>
          </cell>
          <cell r="D1795" t="str">
            <v>CWC</v>
          </cell>
          <cell r="E1795" t="str">
            <v>CWC</v>
          </cell>
          <cell r="F1795" t="str">
            <v>COMMON</v>
          </cell>
          <cell r="H1795" t="str">
            <v>PLNT</v>
          </cell>
          <cell r="I1795" t="str">
            <v>PLNT</v>
          </cell>
          <cell r="J1795" t="str">
            <v>PLNT</v>
          </cell>
          <cell r="K1795" t="str">
            <v>PLNT</v>
          </cell>
          <cell r="L1795" t="str">
            <v>PLNT</v>
          </cell>
        </row>
        <row r="1796">
          <cell r="B1796" t="str">
            <v>CWC</v>
          </cell>
          <cell r="C1796" t="str">
            <v>CWC</v>
          </cell>
          <cell r="D1796" t="str">
            <v>CWC</v>
          </cell>
          <cell r="E1796" t="str">
            <v>CWC</v>
          </cell>
          <cell r="F1796" t="str">
            <v>COMMON</v>
          </cell>
          <cell r="H1796" t="str">
            <v>PLNT</v>
          </cell>
          <cell r="I1796" t="str">
            <v>PLNT</v>
          </cell>
          <cell r="J1796" t="str">
            <v>PLNT</v>
          </cell>
          <cell r="K1796" t="str">
            <v>PLNT</v>
          </cell>
          <cell r="L1796" t="str">
            <v>PLNT</v>
          </cell>
        </row>
        <row r="1797">
          <cell r="B1797" t="str">
            <v>CWC</v>
          </cell>
          <cell r="C1797" t="str">
            <v>CWC</v>
          </cell>
          <cell r="D1797" t="str">
            <v>CWC</v>
          </cell>
          <cell r="E1797" t="str">
            <v>CWC</v>
          </cell>
          <cell r="F1797" t="str">
            <v>COMMON</v>
          </cell>
          <cell r="H1797" t="str">
            <v>PLNT</v>
          </cell>
          <cell r="I1797" t="str">
            <v>PLNT</v>
          </cell>
          <cell r="J1797" t="str">
            <v>PLNT</v>
          </cell>
          <cell r="K1797" t="str">
            <v>PLNT</v>
          </cell>
          <cell r="L1797" t="str">
            <v>PLNT</v>
          </cell>
        </row>
        <row r="1801">
          <cell r="B1801" t="str">
            <v>GP</v>
          </cell>
          <cell r="C1801" t="str">
            <v>GP</v>
          </cell>
          <cell r="D1801" t="str">
            <v>GP</v>
          </cell>
          <cell r="E1801" t="str">
            <v>GP</v>
          </cell>
          <cell r="F1801" t="str">
            <v>COMMON</v>
          </cell>
          <cell r="H1801" t="str">
            <v>PLNT</v>
          </cell>
          <cell r="I1801" t="str">
            <v>PLNT</v>
          </cell>
          <cell r="J1801" t="str">
            <v>PLNT</v>
          </cell>
          <cell r="K1801" t="str">
            <v>PLNT</v>
          </cell>
          <cell r="L1801" t="str">
            <v>PLNT</v>
          </cell>
        </row>
        <row r="1802">
          <cell r="B1802" t="str">
            <v>GP</v>
          </cell>
          <cell r="C1802" t="str">
            <v>GP</v>
          </cell>
          <cell r="D1802" t="str">
            <v>GP</v>
          </cell>
          <cell r="E1802" t="str">
            <v>GP</v>
          </cell>
          <cell r="F1802" t="str">
            <v>COMMON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3">
          <cell r="B1803" t="str">
            <v>GP</v>
          </cell>
          <cell r="C1803" t="str">
            <v>GP</v>
          </cell>
          <cell r="D1803" t="str">
            <v>GP</v>
          </cell>
          <cell r="E1803" t="str">
            <v>GP</v>
          </cell>
          <cell r="F1803" t="str">
            <v>COMMON</v>
          </cell>
          <cell r="H1803" t="str">
            <v>PLNT</v>
          </cell>
          <cell r="I1803" t="str">
            <v>PLNT</v>
          </cell>
          <cell r="J1803" t="str">
            <v>PLNT</v>
          </cell>
          <cell r="K1803" t="str">
            <v>PLNT</v>
          </cell>
          <cell r="L1803" t="str">
            <v>PLNT</v>
          </cell>
        </row>
        <row r="1804">
          <cell r="B1804" t="str">
            <v>PTD</v>
          </cell>
          <cell r="C1804" t="str">
            <v>PTD</v>
          </cell>
          <cell r="D1804" t="str">
            <v>PTD</v>
          </cell>
          <cell r="E1804" t="str">
            <v>PTD</v>
          </cell>
          <cell r="F1804" t="str">
            <v>COMMON</v>
          </cell>
          <cell r="H1804" t="str">
            <v>PLNT</v>
          </cell>
          <cell r="I1804" t="str">
            <v>PLNT</v>
          </cell>
          <cell r="J1804" t="str">
            <v>PLNT</v>
          </cell>
          <cell r="K1804" t="str">
            <v>PLNT</v>
          </cell>
          <cell r="L1804" t="str">
            <v>PLNT</v>
          </cell>
        </row>
        <row r="1805">
          <cell r="B1805" t="str">
            <v>PTD</v>
          </cell>
          <cell r="C1805" t="str">
            <v>PTD</v>
          </cell>
          <cell r="D1805" t="str">
            <v>PTD</v>
          </cell>
          <cell r="E1805" t="str">
            <v>PTD</v>
          </cell>
          <cell r="F1805" t="str">
            <v>COMMON</v>
          </cell>
          <cell r="H1805" t="str">
            <v>PLNT</v>
          </cell>
          <cell r="I1805" t="str">
            <v>PLNT</v>
          </cell>
          <cell r="J1805" t="str">
            <v>PLNT</v>
          </cell>
          <cell r="K1805" t="str">
            <v>PLNT</v>
          </cell>
          <cell r="L1805" t="str">
            <v>PLNT</v>
          </cell>
        </row>
        <row r="1806">
          <cell r="B1806" t="str">
            <v>P</v>
          </cell>
          <cell r="C1806" t="str">
            <v>P</v>
          </cell>
          <cell r="D1806" t="str">
            <v>P</v>
          </cell>
          <cell r="E1806" t="str">
            <v>P</v>
          </cell>
          <cell r="F1806" t="str">
            <v>COMMON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07">
          <cell r="B1807" t="str">
            <v>P</v>
          </cell>
          <cell r="C1807" t="str">
            <v>P</v>
          </cell>
          <cell r="D1807" t="str">
            <v>P</v>
          </cell>
          <cell r="E1807" t="str">
            <v>P</v>
          </cell>
          <cell r="F1807" t="str">
            <v>COMMON</v>
          </cell>
          <cell r="H1807" t="str">
            <v>PLNT</v>
          </cell>
          <cell r="I1807" t="str">
            <v>PLNT</v>
          </cell>
          <cell r="J1807" t="str">
            <v>PLNT</v>
          </cell>
          <cell r="K1807" t="str">
            <v>PLNT</v>
          </cell>
          <cell r="L1807" t="str">
            <v>PLNT</v>
          </cell>
        </row>
        <row r="1808">
          <cell r="B1808" t="str">
            <v>P</v>
          </cell>
          <cell r="C1808" t="str">
            <v>P</v>
          </cell>
          <cell r="D1808" t="str">
            <v>P</v>
          </cell>
          <cell r="E1808" t="str">
            <v>P</v>
          </cell>
          <cell r="F1808" t="str">
            <v>COMMON</v>
          </cell>
          <cell r="H1808" t="str">
            <v>PLNT</v>
          </cell>
          <cell r="I1808" t="str">
            <v>PLNT</v>
          </cell>
          <cell r="J1808" t="str">
            <v>PLNT</v>
          </cell>
          <cell r="K1808" t="str">
            <v>PLNT</v>
          </cell>
          <cell r="L1808" t="str">
            <v>PLNT</v>
          </cell>
        </row>
        <row r="1809">
          <cell r="B1809" t="str">
            <v>P</v>
          </cell>
          <cell r="C1809" t="str">
            <v>P</v>
          </cell>
          <cell r="D1809" t="str">
            <v>P</v>
          </cell>
          <cell r="E1809" t="str">
            <v>P</v>
          </cell>
          <cell r="F1809" t="str">
            <v>COMMON</v>
          </cell>
          <cell r="H1809" t="str">
            <v>PLNT</v>
          </cell>
          <cell r="I1809" t="str">
            <v>PLNT</v>
          </cell>
          <cell r="J1809" t="str">
            <v>PLNT</v>
          </cell>
          <cell r="K1809" t="str">
            <v>PLNT</v>
          </cell>
          <cell r="L1809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COMMON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7">
          <cell r="B1817" t="str">
            <v>P</v>
          </cell>
          <cell r="C1817" t="str">
            <v>P</v>
          </cell>
          <cell r="D1817" t="str">
            <v>P</v>
          </cell>
          <cell r="E1817" t="str">
            <v>P</v>
          </cell>
          <cell r="F1817" t="str">
            <v>P</v>
          </cell>
          <cell r="H1817" t="str">
            <v>PLNT</v>
          </cell>
          <cell r="I1817" t="str">
            <v>PLNT</v>
          </cell>
          <cell r="J1817" t="str">
            <v>PLNT</v>
          </cell>
          <cell r="K1817" t="str">
            <v>PLNT</v>
          </cell>
          <cell r="L1817" t="str">
            <v>PLNT</v>
          </cell>
        </row>
        <row r="1822">
          <cell r="B1822" t="str">
            <v>P</v>
          </cell>
          <cell r="C1822" t="str">
            <v>P</v>
          </cell>
          <cell r="D1822" t="str">
            <v>P</v>
          </cell>
          <cell r="E1822" t="str">
            <v>P</v>
          </cell>
          <cell r="F1822" t="str">
            <v>P</v>
          </cell>
          <cell r="H1822" t="str">
            <v>PLNT</v>
          </cell>
          <cell r="I1822" t="str">
            <v>PLNT</v>
          </cell>
          <cell r="J1822" t="str">
            <v>PLNT</v>
          </cell>
          <cell r="K1822" t="str">
            <v>PLNT</v>
          </cell>
          <cell r="L1822" t="str">
            <v>PLNT</v>
          </cell>
        </row>
        <row r="1823">
          <cell r="B1823" t="str">
            <v>P</v>
          </cell>
          <cell r="C1823" t="str">
            <v>P</v>
          </cell>
          <cell r="D1823" t="str">
            <v>P</v>
          </cell>
          <cell r="E1823" t="str">
            <v>P</v>
          </cell>
          <cell r="F1823" t="str">
            <v>P</v>
          </cell>
          <cell r="H1823" t="str">
            <v>PLNT</v>
          </cell>
          <cell r="I1823" t="str">
            <v>PLNT</v>
          </cell>
          <cell r="J1823" t="str">
            <v>PLNT</v>
          </cell>
          <cell r="K1823" t="str">
            <v>PLNT</v>
          </cell>
          <cell r="L1823" t="str">
            <v>PLNT</v>
          </cell>
        </row>
        <row r="1824">
          <cell r="B1824" t="str">
            <v>P</v>
          </cell>
          <cell r="C1824" t="str">
            <v>P</v>
          </cell>
          <cell r="D1824" t="str">
            <v>P</v>
          </cell>
          <cell r="E1824" t="str">
            <v>P</v>
          </cell>
          <cell r="F1824" t="str">
            <v>P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P</v>
          </cell>
          <cell r="C1833" t="str">
            <v>P</v>
          </cell>
          <cell r="D1833" t="str">
            <v>P</v>
          </cell>
          <cell r="E1833" t="str">
            <v>P</v>
          </cell>
          <cell r="F1833" t="str">
            <v>P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43">
          <cell r="B1843" t="str">
            <v>CUST</v>
          </cell>
          <cell r="C1843" t="str">
            <v>CUST</v>
          </cell>
          <cell r="D1843" t="str">
            <v>CUST</v>
          </cell>
          <cell r="E1843" t="str">
            <v>CUST</v>
          </cell>
          <cell r="F1843" t="str">
            <v>CUST</v>
          </cell>
          <cell r="H1843" t="str">
            <v>CUST</v>
          </cell>
          <cell r="I1843" t="str">
            <v>CUST</v>
          </cell>
          <cell r="J1843" t="str">
            <v>CUST</v>
          </cell>
          <cell r="K1843" t="str">
            <v>CUST</v>
          </cell>
          <cell r="L1843" t="str">
            <v>CUST</v>
          </cell>
        </row>
        <row r="1844">
          <cell r="B1844" t="str">
            <v>CUST</v>
          </cell>
          <cell r="C1844" t="str">
            <v>CUST</v>
          </cell>
          <cell r="D1844" t="str">
            <v>CUST</v>
          </cell>
          <cell r="E1844" t="str">
            <v>CUST</v>
          </cell>
          <cell r="F1844" t="str">
            <v>CUST</v>
          </cell>
          <cell r="H1844" t="str">
            <v>CUST</v>
          </cell>
          <cell r="I1844" t="str">
            <v>CUST</v>
          </cell>
          <cell r="J1844" t="str">
            <v>CUST</v>
          </cell>
          <cell r="K1844" t="str">
            <v>CUST</v>
          </cell>
          <cell r="L1844" t="str">
            <v>CUST</v>
          </cell>
        </row>
        <row r="1848">
          <cell r="B1848" t="str">
            <v>PTD</v>
          </cell>
          <cell r="C1848" t="str">
            <v>PTD</v>
          </cell>
          <cell r="D1848" t="str">
            <v>PTD</v>
          </cell>
          <cell r="E1848" t="str">
            <v>PTD</v>
          </cell>
          <cell r="F1848" t="str">
            <v>PTD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PTD</v>
          </cell>
          <cell r="C1852" t="str">
            <v>PTD</v>
          </cell>
          <cell r="D1852" t="str">
            <v>PTD</v>
          </cell>
          <cell r="E1852" t="str">
            <v>PTD</v>
          </cell>
          <cell r="F1852" t="str">
            <v>PTD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6">
          <cell r="B1856" t="str">
            <v>PTD</v>
          </cell>
          <cell r="C1856" t="str">
            <v>PTD</v>
          </cell>
          <cell r="D1856" t="str">
            <v>PTD</v>
          </cell>
          <cell r="E1856" t="str">
            <v>PTD</v>
          </cell>
          <cell r="F1856" t="str">
            <v>PTD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PTD</v>
          </cell>
          <cell r="C1857" t="str">
            <v>PTD</v>
          </cell>
          <cell r="D1857" t="str">
            <v>PTD</v>
          </cell>
          <cell r="E1857" t="str">
            <v>PTD</v>
          </cell>
          <cell r="F1857" t="str">
            <v>PTD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</v>
          </cell>
          <cell r="C1863" t="str">
            <v>P</v>
          </cell>
          <cell r="D1863" t="str">
            <v>P</v>
          </cell>
          <cell r="E1863" t="str">
            <v>P</v>
          </cell>
          <cell r="F1863" t="str">
            <v>P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7">
          <cell r="B1867" t="str">
            <v>P</v>
          </cell>
          <cell r="C1867" t="str">
            <v>P</v>
          </cell>
          <cell r="D1867" t="str">
            <v>P</v>
          </cell>
          <cell r="E1867" t="str">
            <v>P</v>
          </cell>
          <cell r="F1867" t="str">
            <v>P</v>
          </cell>
          <cell r="H1867" t="str">
            <v>PLNT</v>
          </cell>
          <cell r="I1867" t="str">
            <v>PLNT</v>
          </cell>
          <cell r="J1867" t="str">
            <v>PLNT</v>
          </cell>
          <cell r="K1867" t="str">
            <v>PLNT</v>
          </cell>
          <cell r="L1867" t="str">
            <v>PLNT</v>
          </cell>
        </row>
        <row r="1870">
          <cell r="B1870" t="str">
            <v>P</v>
          </cell>
          <cell r="C1870" t="str">
            <v>P</v>
          </cell>
          <cell r="D1870" t="str">
            <v>P</v>
          </cell>
          <cell r="E1870" t="str">
            <v>P</v>
          </cell>
          <cell r="F1870" t="str">
            <v>P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P</v>
          </cell>
          <cell r="C1871" t="str">
            <v>P</v>
          </cell>
          <cell r="D1871" t="str">
            <v>P</v>
          </cell>
          <cell r="E1871" t="str">
            <v>P</v>
          </cell>
          <cell r="F1871" t="str">
            <v>P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2">
          <cell r="B1872" t="str">
            <v>P</v>
          </cell>
          <cell r="C1872" t="str">
            <v>P</v>
          </cell>
          <cell r="D1872" t="str">
            <v>P</v>
          </cell>
          <cell r="E1872" t="str">
            <v>P</v>
          </cell>
          <cell r="F1872" t="str">
            <v>P</v>
          </cell>
          <cell r="H1872" t="str">
            <v>PLNT</v>
          </cell>
          <cell r="I1872" t="str">
            <v>PLNT</v>
          </cell>
          <cell r="J1872" t="str">
            <v>PLNT</v>
          </cell>
          <cell r="K1872" t="str">
            <v>PLNT</v>
          </cell>
          <cell r="L1872" t="str">
            <v>PLNT</v>
          </cell>
        </row>
        <row r="1876">
          <cell r="B1876" t="str">
            <v>DPW</v>
          </cell>
          <cell r="C1876" t="str">
            <v>DPW</v>
          </cell>
          <cell r="D1876" t="str">
            <v>DPW</v>
          </cell>
          <cell r="E1876" t="str">
            <v>DPW</v>
          </cell>
          <cell r="F1876" t="str">
            <v>DPW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DPW</v>
          </cell>
          <cell r="C1877" t="str">
            <v>DPW</v>
          </cell>
          <cell r="D1877" t="str">
            <v>DPW</v>
          </cell>
          <cell r="E1877" t="str">
            <v>DPW</v>
          </cell>
          <cell r="F1877" t="str">
            <v>DPW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T</v>
          </cell>
          <cell r="C1878" t="str">
            <v>T</v>
          </cell>
          <cell r="D1878" t="str">
            <v>T</v>
          </cell>
          <cell r="E1878" t="str">
            <v>T</v>
          </cell>
          <cell r="F1878" t="str">
            <v>DPW</v>
          </cell>
          <cell r="H1878" t="str">
            <v>PLNT</v>
          </cell>
          <cell r="I1878" t="str">
            <v>PLNT</v>
          </cell>
          <cell r="J1878" t="str">
            <v>PLNT</v>
          </cell>
          <cell r="K1878" t="str">
            <v>PLNT</v>
          </cell>
          <cell r="L1878" t="str">
            <v>PLNT</v>
          </cell>
        </row>
        <row r="1879">
          <cell r="B1879" t="str">
            <v>DPW</v>
          </cell>
          <cell r="C1879" t="str">
            <v>DPW</v>
          </cell>
          <cell r="D1879" t="str">
            <v>DPW</v>
          </cell>
          <cell r="E1879" t="str">
            <v>DPW</v>
          </cell>
          <cell r="F1879" t="str">
            <v>DPW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CUST</v>
          </cell>
          <cell r="C1880" t="str">
            <v>CUST</v>
          </cell>
          <cell r="D1880" t="str">
            <v>CUST</v>
          </cell>
          <cell r="E1880" t="str">
            <v>CUST</v>
          </cell>
          <cell r="F1880" t="str">
            <v>DPW</v>
          </cell>
          <cell r="H1880" t="str">
            <v>CUST</v>
          </cell>
          <cell r="I1880" t="str">
            <v>CUST</v>
          </cell>
          <cell r="J1880" t="str">
            <v>CUST</v>
          </cell>
          <cell r="K1880" t="str">
            <v>CUST</v>
          </cell>
          <cell r="L1880" t="str">
            <v>CUST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GP</v>
          </cell>
          <cell r="C1889" t="str">
            <v>GP</v>
          </cell>
          <cell r="D1889" t="str">
            <v>GP</v>
          </cell>
          <cell r="E1889" t="str">
            <v>GP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0">
          <cell r="B1890" t="str">
            <v>GP</v>
          </cell>
          <cell r="C1890" t="str">
            <v>GP</v>
          </cell>
          <cell r="D1890" t="str">
            <v>GP</v>
          </cell>
          <cell r="E1890" t="str">
            <v>GP</v>
          </cell>
          <cell r="F1890" t="str">
            <v>P</v>
          </cell>
          <cell r="H1890" t="str">
            <v>PLNT</v>
          </cell>
          <cell r="I1890" t="str">
            <v>PLNT</v>
          </cell>
          <cell r="J1890" t="str">
            <v>PLNT</v>
          </cell>
          <cell r="K1890" t="str">
            <v>PLNT</v>
          </cell>
          <cell r="L1890" t="str">
            <v>PLNT</v>
          </cell>
        </row>
        <row r="1891">
          <cell r="B1891" t="str">
            <v>P</v>
          </cell>
          <cell r="C1891" t="str">
            <v>P</v>
          </cell>
          <cell r="D1891" t="str">
            <v>P</v>
          </cell>
          <cell r="E1891" t="str">
            <v>P</v>
          </cell>
          <cell r="F1891" t="str">
            <v>P</v>
          </cell>
          <cell r="H1891" t="str">
            <v>PLNT</v>
          </cell>
          <cell r="I1891" t="str">
            <v>PLNT</v>
          </cell>
          <cell r="J1891" t="str">
            <v>PLNT</v>
          </cell>
          <cell r="K1891" t="str">
            <v>PLNT</v>
          </cell>
          <cell r="L1891" t="str">
            <v>PLNT</v>
          </cell>
        </row>
        <row r="1892">
          <cell r="B1892" t="str">
            <v>P</v>
          </cell>
          <cell r="C1892" t="str">
            <v>P</v>
          </cell>
          <cell r="D1892" t="str">
            <v>P</v>
          </cell>
          <cell r="E1892" t="str">
            <v>P</v>
          </cell>
          <cell r="F1892" t="str">
            <v>P</v>
          </cell>
          <cell r="H1892" t="str">
            <v>PLNT</v>
          </cell>
          <cell r="I1892" t="str">
            <v>PLNT</v>
          </cell>
          <cell r="J1892" t="str">
            <v>PLNT</v>
          </cell>
          <cell r="K1892" t="str">
            <v>PLNT</v>
          </cell>
          <cell r="L1892" t="str">
            <v>PLNT</v>
          </cell>
        </row>
        <row r="1896">
          <cell r="B1896" t="str">
            <v>P</v>
          </cell>
          <cell r="C1896" t="str">
            <v>P</v>
          </cell>
          <cell r="D1896" t="str">
            <v>P</v>
          </cell>
          <cell r="E1896" t="str">
            <v>P</v>
          </cell>
          <cell r="F1896" t="str">
            <v>P</v>
          </cell>
          <cell r="H1896" t="str">
            <v>PLNT</v>
          </cell>
          <cell r="I1896" t="str">
            <v>PLNT</v>
          </cell>
          <cell r="J1896" t="str">
            <v>PLNT</v>
          </cell>
          <cell r="K1896" t="str">
            <v>PLNT</v>
          </cell>
          <cell r="L1896" t="str">
            <v>PLNT</v>
          </cell>
        </row>
        <row r="1897">
          <cell r="B1897" t="str">
            <v>P</v>
          </cell>
          <cell r="C1897" t="str">
            <v>P</v>
          </cell>
          <cell r="D1897" t="str">
            <v>P</v>
          </cell>
          <cell r="E1897" t="str">
            <v>P</v>
          </cell>
          <cell r="F1897" t="str">
            <v>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LABOR</v>
          </cell>
          <cell r="C1898" t="str">
            <v>LABOR</v>
          </cell>
          <cell r="D1898" t="str">
            <v>LABOR</v>
          </cell>
          <cell r="E1898" t="str">
            <v>LABOR</v>
          </cell>
          <cell r="F1898" t="str">
            <v>LABOR</v>
          </cell>
          <cell r="H1898" t="str">
            <v>DISom</v>
          </cell>
          <cell r="I1898" t="str">
            <v>DISom</v>
          </cell>
          <cell r="J1898" t="str">
            <v>DISom</v>
          </cell>
          <cell r="K1898" t="str">
            <v>DISom</v>
          </cell>
          <cell r="L1898" t="str">
            <v>DISom</v>
          </cell>
        </row>
        <row r="1899">
          <cell r="B1899" t="str">
            <v>CUST</v>
          </cell>
          <cell r="C1899" t="str">
            <v>CUST</v>
          </cell>
          <cell r="D1899" t="str">
            <v>CUST</v>
          </cell>
          <cell r="E1899" t="str">
            <v>CUST</v>
          </cell>
          <cell r="F1899" t="str">
            <v>CUST</v>
          </cell>
          <cell r="H1899" t="str">
            <v>CUST</v>
          </cell>
          <cell r="I1899" t="str">
            <v>CUST</v>
          </cell>
          <cell r="J1899" t="str">
            <v>CUST</v>
          </cell>
          <cell r="K1899" t="str">
            <v>CUST</v>
          </cell>
          <cell r="L1899" t="str">
            <v>CUST</v>
          </cell>
        </row>
        <row r="1900">
          <cell r="B1900" t="str">
            <v>CUST</v>
          </cell>
          <cell r="C1900" t="str">
            <v>CUST</v>
          </cell>
          <cell r="D1900" t="str">
            <v>CUST</v>
          </cell>
          <cell r="E1900" t="str">
            <v>CUST</v>
          </cell>
          <cell r="F1900" t="str">
            <v>CUST</v>
          </cell>
          <cell r="H1900" t="str">
            <v>CUST</v>
          </cell>
          <cell r="I1900" t="str">
            <v>CUST</v>
          </cell>
          <cell r="J1900" t="str">
            <v>CUST</v>
          </cell>
          <cell r="K1900" t="str">
            <v>CUST</v>
          </cell>
          <cell r="L1900" t="str">
            <v>CUST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>P</v>
          </cell>
          <cell r="C1903" t="str">
            <v>P</v>
          </cell>
          <cell r="D1903" t="str">
            <v>P</v>
          </cell>
          <cell r="E1903" t="str">
            <v>P</v>
          </cell>
          <cell r="F1903" t="str">
            <v>P</v>
          </cell>
          <cell r="H1903" t="str">
            <v>PLNT</v>
          </cell>
          <cell r="I1903" t="str">
            <v>PLNT</v>
          </cell>
          <cell r="J1903" t="str">
            <v>PLNT</v>
          </cell>
          <cell r="K1903" t="str">
            <v>PLNT</v>
          </cell>
          <cell r="L1903" t="str">
            <v>PLNT</v>
          </cell>
        </row>
        <row r="1904">
          <cell r="B1904" t="str">
            <v>P</v>
          </cell>
          <cell r="C1904" t="str">
            <v>P</v>
          </cell>
          <cell r="D1904" t="str">
            <v>P</v>
          </cell>
          <cell r="E1904" t="str">
            <v>P</v>
          </cell>
          <cell r="F1904" t="str">
            <v>P</v>
          </cell>
          <cell r="H1904" t="str">
            <v>PLNT</v>
          </cell>
          <cell r="I1904" t="str">
            <v>PLNT</v>
          </cell>
          <cell r="J1904" t="str">
            <v>PLNT</v>
          </cell>
          <cell r="K1904" t="str">
            <v>PLNT</v>
          </cell>
          <cell r="L1904" t="str">
            <v>PLNT</v>
          </cell>
        </row>
        <row r="1905">
          <cell r="B1905" t="str">
            <v>DPW</v>
          </cell>
          <cell r="C1905" t="str">
            <v>DPW</v>
          </cell>
          <cell r="D1905" t="str">
            <v>DPW</v>
          </cell>
          <cell r="E1905" t="str">
            <v>DPW</v>
          </cell>
          <cell r="F1905" t="str">
            <v>DPW</v>
          </cell>
          <cell r="H1905" t="str">
            <v>PLNT</v>
          </cell>
          <cell r="I1905" t="str">
            <v>PLNT</v>
          </cell>
          <cell r="J1905" t="str">
            <v>PLNT</v>
          </cell>
          <cell r="K1905" t="str">
            <v>PLNT</v>
          </cell>
          <cell r="L1905" t="str">
            <v>PLNT</v>
          </cell>
        </row>
        <row r="1909">
          <cell r="B1909" t="str">
            <v>P</v>
          </cell>
          <cell r="C1909" t="str">
            <v>P</v>
          </cell>
          <cell r="D1909" t="str">
            <v>P</v>
          </cell>
          <cell r="E1909" t="str">
            <v>P</v>
          </cell>
          <cell r="F1909" t="str">
            <v>P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</v>
          </cell>
          <cell r="C1910" t="str">
            <v>PT</v>
          </cell>
          <cell r="D1910" t="str">
            <v>PT</v>
          </cell>
          <cell r="E1910" t="str">
            <v>PT</v>
          </cell>
          <cell r="F1910" t="str">
            <v>PT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T</v>
          </cell>
          <cell r="C1911" t="str">
            <v>T</v>
          </cell>
          <cell r="D1911" t="str">
            <v>T</v>
          </cell>
          <cell r="E1911" t="str">
            <v>T</v>
          </cell>
          <cell r="F1911" t="str">
            <v>T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5">
          <cell r="B1915" t="str">
            <v>GP</v>
          </cell>
          <cell r="C1915" t="str">
            <v>GP</v>
          </cell>
          <cell r="D1915" t="str">
            <v>GP</v>
          </cell>
          <cell r="E1915" t="str">
            <v>GP</v>
          </cell>
          <cell r="F1915" t="str">
            <v>GP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16">
          <cell r="B1916" t="str">
            <v>P</v>
          </cell>
          <cell r="C1916" t="str">
            <v>P</v>
          </cell>
          <cell r="D1916" t="str">
            <v>P</v>
          </cell>
          <cell r="E1916" t="str">
            <v>P</v>
          </cell>
          <cell r="F1916" t="str">
            <v>P</v>
          </cell>
          <cell r="H1916" t="str">
            <v>PLNT</v>
          </cell>
          <cell r="I1916" t="str">
            <v>PLNT</v>
          </cell>
          <cell r="J1916" t="str">
            <v>PLNT</v>
          </cell>
          <cell r="K1916" t="str">
            <v>PLNT</v>
          </cell>
          <cell r="L1916" t="str">
            <v>PLNT</v>
          </cell>
        </row>
        <row r="1917">
          <cell r="B1917" t="str">
            <v>P</v>
          </cell>
          <cell r="C1917" t="str">
            <v>P</v>
          </cell>
          <cell r="D1917" t="str">
            <v>P</v>
          </cell>
          <cell r="E1917" t="str">
            <v>P</v>
          </cell>
          <cell r="F1917" t="str">
            <v>P</v>
          </cell>
          <cell r="H1917" t="str">
            <v>PLNT</v>
          </cell>
          <cell r="I1917" t="str">
            <v>PLNT</v>
          </cell>
          <cell r="J1917" t="str">
            <v>PLNT</v>
          </cell>
          <cell r="K1917" t="str">
            <v>PLNT</v>
          </cell>
          <cell r="L1917" t="str">
            <v>PLNT</v>
          </cell>
        </row>
        <row r="1918">
          <cell r="B1918" t="str">
            <v>ACCMDIT</v>
          </cell>
          <cell r="C1918" t="str">
            <v>ACCMDIT</v>
          </cell>
          <cell r="D1918" t="str">
            <v>ACCMDIT</v>
          </cell>
          <cell r="E1918" t="str">
            <v>ACCMDIT</v>
          </cell>
          <cell r="F1918" t="str">
            <v>ACCMDIT</v>
          </cell>
          <cell r="H1918" t="str">
            <v>PLNT</v>
          </cell>
          <cell r="I1918" t="str">
            <v>PLNT</v>
          </cell>
          <cell r="J1918" t="str">
            <v>PLNT</v>
          </cell>
          <cell r="K1918" t="str">
            <v>PLNT</v>
          </cell>
          <cell r="L1918" t="str">
            <v>PLNT</v>
          </cell>
        </row>
        <row r="1919">
          <cell r="B1919" t="str">
            <v>P</v>
          </cell>
          <cell r="C1919" t="str">
            <v>P</v>
          </cell>
          <cell r="D1919" t="str">
            <v>P</v>
          </cell>
          <cell r="E1919" t="str">
            <v>P</v>
          </cell>
          <cell r="F1919" t="str">
            <v>P</v>
          </cell>
          <cell r="H1919" t="str">
            <v>PLNT</v>
          </cell>
          <cell r="I1919" t="str">
            <v>PLNT</v>
          </cell>
          <cell r="J1919" t="str">
            <v>PLNT</v>
          </cell>
          <cell r="K1919" t="str">
            <v>PLNT</v>
          </cell>
          <cell r="L1919" t="str">
            <v>PLNT</v>
          </cell>
        </row>
        <row r="1920">
          <cell r="B1920" t="str">
            <v>ACCMDIT</v>
          </cell>
          <cell r="C1920" t="str">
            <v>ACCMDIT</v>
          </cell>
          <cell r="D1920" t="str">
            <v>ACCMDIT</v>
          </cell>
          <cell r="E1920" t="str">
            <v>ACCMDIT</v>
          </cell>
          <cell r="F1920" t="str">
            <v>ACCMDIT</v>
          </cell>
          <cell r="H1920" t="str">
            <v>PLNT</v>
          </cell>
          <cell r="I1920" t="str">
            <v>PLNT</v>
          </cell>
          <cell r="J1920" t="str">
            <v>PLNT</v>
          </cell>
          <cell r="K1920" t="str">
            <v>PLNT</v>
          </cell>
          <cell r="L1920" t="str">
            <v>PLNT</v>
          </cell>
        </row>
        <row r="1921">
          <cell r="B1921" t="str">
            <v>PTD</v>
          </cell>
          <cell r="C1921" t="str">
            <v>PTD</v>
          </cell>
          <cell r="D1921" t="str">
            <v>PTD</v>
          </cell>
          <cell r="E1921" t="str">
            <v>PTD</v>
          </cell>
          <cell r="F1921" t="str">
            <v>PTD</v>
          </cell>
          <cell r="H1921" t="str">
            <v>PLNT</v>
          </cell>
          <cell r="I1921" t="str">
            <v>PLNT</v>
          </cell>
          <cell r="J1921" t="str">
            <v>PLNT</v>
          </cell>
          <cell r="K1921" t="str">
            <v>PLNT</v>
          </cell>
          <cell r="L1921" t="str">
            <v>PLNT</v>
          </cell>
        </row>
        <row r="1922">
          <cell r="B1922" t="str">
            <v>LABOR</v>
          </cell>
          <cell r="C1922" t="str">
            <v>LABOR</v>
          </cell>
          <cell r="D1922" t="str">
            <v>LABOR</v>
          </cell>
          <cell r="E1922" t="str">
            <v>LABOR</v>
          </cell>
          <cell r="F1922" t="str">
            <v>LABOR</v>
          </cell>
          <cell r="H1922" t="str">
            <v>DISom</v>
          </cell>
          <cell r="I1922" t="str">
            <v>DISom</v>
          </cell>
          <cell r="J1922" t="str">
            <v>DISom</v>
          </cell>
          <cell r="K1922" t="str">
            <v>DISom</v>
          </cell>
          <cell r="L1922" t="str">
            <v>DISom</v>
          </cell>
        </row>
        <row r="1923">
          <cell r="B1923" t="str">
            <v>GP</v>
          </cell>
          <cell r="C1923" t="str">
            <v>GP</v>
          </cell>
          <cell r="D1923" t="str">
            <v>GP</v>
          </cell>
          <cell r="E1923" t="str">
            <v>GP</v>
          </cell>
          <cell r="F1923" t="str">
            <v>GP</v>
          </cell>
          <cell r="H1923" t="str">
            <v>PLNT</v>
          </cell>
          <cell r="I1923" t="str">
            <v>PLNT</v>
          </cell>
          <cell r="J1923" t="str">
            <v>PLNT</v>
          </cell>
          <cell r="K1923" t="str">
            <v>PLNT</v>
          </cell>
          <cell r="L1923" t="str">
            <v>PLNT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  <cell r="H1924" t="str">
            <v>PLNT</v>
          </cell>
          <cell r="I1924" t="str">
            <v>PLNT</v>
          </cell>
          <cell r="J1924" t="str">
            <v>PLNT</v>
          </cell>
          <cell r="K1924" t="str">
            <v>PLNT</v>
          </cell>
          <cell r="L1924" t="str">
            <v>PLNT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  <cell r="H1925" t="str">
            <v>PLNT</v>
          </cell>
          <cell r="I1925" t="str">
            <v>PLNT</v>
          </cell>
          <cell r="J1925" t="str">
            <v>PLNT</v>
          </cell>
          <cell r="K1925" t="str">
            <v>PLNT</v>
          </cell>
          <cell r="L1925" t="str">
            <v>PLNT</v>
          </cell>
        </row>
        <row r="1929">
          <cell r="B1929" t="str">
            <v>GP</v>
          </cell>
          <cell r="C1929" t="str">
            <v>GP</v>
          </cell>
          <cell r="D1929" t="str">
            <v>GP</v>
          </cell>
          <cell r="E1929" t="str">
            <v>GP</v>
          </cell>
          <cell r="F1929" t="str">
            <v>GP</v>
          </cell>
          <cell r="H1929" t="str">
            <v>PLNT</v>
          </cell>
          <cell r="I1929" t="str">
            <v>PLNT</v>
          </cell>
          <cell r="J1929" t="str">
            <v>PLNT</v>
          </cell>
          <cell r="K1929" t="str">
            <v>PLNT</v>
          </cell>
          <cell r="L1929" t="str">
            <v>PLNT</v>
          </cell>
        </row>
        <row r="1930">
          <cell r="B1930" t="str">
            <v>P</v>
          </cell>
          <cell r="C1930" t="str">
            <v>P</v>
          </cell>
          <cell r="D1930" t="str">
            <v>P</v>
          </cell>
          <cell r="E1930" t="str">
            <v>P</v>
          </cell>
          <cell r="F1930" t="str">
            <v>P</v>
          </cell>
          <cell r="H1930" t="str">
            <v>PLNT</v>
          </cell>
          <cell r="I1930" t="str">
            <v>PLNT</v>
          </cell>
          <cell r="J1930" t="str">
            <v>PLNT</v>
          </cell>
          <cell r="K1930" t="str">
            <v>PLNT</v>
          </cell>
          <cell r="L1930" t="str">
            <v>PLNT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  <cell r="H1931" t="str">
            <v>PLNT</v>
          </cell>
          <cell r="I1931" t="str">
            <v>PLNT</v>
          </cell>
          <cell r="J1931" t="str">
            <v>PLNT</v>
          </cell>
          <cell r="K1931" t="str">
            <v>PLNT</v>
          </cell>
          <cell r="L1931" t="str">
            <v>PLNT</v>
          </cell>
        </row>
        <row r="1932">
          <cell r="B1932" t="str">
            <v>LABOR</v>
          </cell>
          <cell r="C1932" t="str">
            <v>LABOR</v>
          </cell>
          <cell r="D1932" t="str">
            <v>LABOR</v>
          </cell>
          <cell r="E1932" t="str">
            <v>LABOR</v>
          </cell>
          <cell r="F1932" t="str">
            <v>LABOR</v>
          </cell>
          <cell r="H1932" t="str">
            <v>DISom</v>
          </cell>
          <cell r="I1932" t="str">
            <v>DISom</v>
          </cell>
          <cell r="J1932" t="str">
            <v>DISom</v>
          </cell>
          <cell r="K1932" t="str">
            <v>DISom</v>
          </cell>
          <cell r="L1932" t="str">
            <v>DISom</v>
          </cell>
        </row>
        <row r="1933">
          <cell r="B1933" t="str">
            <v>GP</v>
          </cell>
          <cell r="C1933" t="str">
            <v>GP</v>
          </cell>
          <cell r="D1933" t="str">
            <v>GP</v>
          </cell>
          <cell r="E1933" t="str">
            <v>GP</v>
          </cell>
          <cell r="F1933" t="str">
            <v>GP</v>
          </cell>
          <cell r="H1933" t="str">
            <v>PLNT</v>
          </cell>
          <cell r="I1933" t="str">
            <v>PLNT</v>
          </cell>
          <cell r="J1933" t="str">
            <v>PLNT</v>
          </cell>
          <cell r="K1933" t="str">
            <v>PLNT</v>
          </cell>
          <cell r="L1933" t="str">
            <v>PLNT</v>
          </cell>
        </row>
        <row r="1934">
          <cell r="B1934" t="str">
            <v>PTD</v>
          </cell>
          <cell r="C1934" t="str">
            <v>PTD</v>
          </cell>
          <cell r="D1934" t="str">
            <v>PTD</v>
          </cell>
          <cell r="E1934" t="str">
            <v>PTD</v>
          </cell>
          <cell r="F1934" t="str">
            <v>PTD</v>
          </cell>
          <cell r="H1934" t="str">
            <v>PLNT</v>
          </cell>
          <cell r="I1934" t="str">
            <v>PLNT</v>
          </cell>
          <cell r="J1934" t="str">
            <v>PLNT</v>
          </cell>
          <cell r="K1934" t="str">
            <v>PLNT</v>
          </cell>
          <cell r="L1934" t="str">
            <v>PLNT</v>
          </cell>
        </row>
        <row r="1935">
          <cell r="B1935" t="str">
            <v>P</v>
          </cell>
          <cell r="C1935" t="str">
            <v>P</v>
          </cell>
          <cell r="D1935" t="str">
            <v>P</v>
          </cell>
          <cell r="E1935" t="str">
            <v>P</v>
          </cell>
          <cell r="F1935" t="str">
            <v>P</v>
          </cell>
          <cell r="H1935" t="str">
            <v>PLNT</v>
          </cell>
          <cell r="I1935" t="str">
            <v>PLNT</v>
          </cell>
          <cell r="J1935" t="str">
            <v>PLNT</v>
          </cell>
          <cell r="K1935" t="str">
            <v>PLNT</v>
          </cell>
          <cell r="L1935" t="str">
            <v>PLNT</v>
          </cell>
        </row>
        <row r="1936">
          <cell r="B1936" t="str">
            <v>DPW</v>
          </cell>
          <cell r="C1936" t="str">
            <v>DPW</v>
          </cell>
          <cell r="D1936" t="str">
            <v>DPW</v>
          </cell>
          <cell r="E1936" t="str">
            <v>DPW</v>
          </cell>
          <cell r="F1936" t="str">
            <v>DPW</v>
          </cell>
          <cell r="H1936" t="str">
            <v>PLNT</v>
          </cell>
          <cell r="I1936" t="str">
            <v>PLNT</v>
          </cell>
          <cell r="J1936" t="str">
            <v>PLNT</v>
          </cell>
          <cell r="K1936" t="str">
            <v>PLNT</v>
          </cell>
          <cell r="L1936" t="str">
            <v>PLNT</v>
          </cell>
        </row>
        <row r="1937">
          <cell r="B1937" t="str">
            <v>P</v>
          </cell>
          <cell r="C1937" t="str">
            <v>P</v>
          </cell>
          <cell r="D1937" t="str">
            <v>P</v>
          </cell>
          <cell r="E1937" t="str">
            <v>P</v>
          </cell>
          <cell r="F1937" t="str">
            <v>P</v>
          </cell>
          <cell r="H1937" t="str">
            <v>PLNT</v>
          </cell>
          <cell r="I1937" t="str">
            <v>PLNT</v>
          </cell>
          <cell r="J1937" t="str">
            <v>PLNT</v>
          </cell>
          <cell r="K1937" t="str">
            <v>PLNT</v>
          </cell>
          <cell r="L1937" t="str">
            <v>PLNT</v>
          </cell>
        </row>
        <row r="1943">
          <cell r="B1943" t="str">
            <v>PTD</v>
          </cell>
          <cell r="C1943" t="str">
            <v>PTD</v>
          </cell>
          <cell r="D1943" t="str">
            <v>PTD</v>
          </cell>
          <cell r="E1943" t="str">
            <v>PTD</v>
          </cell>
          <cell r="F1943" t="str">
            <v>PTD</v>
          </cell>
          <cell r="H1943" t="str">
            <v>PLNT</v>
          </cell>
          <cell r="I1943" t="str">
            <v>PLNT</v>
          </cell>
          <cell r="J1943" t="str">
            <v>PLNT</v>
          </cell>
          <cell r="K1943" t="str">
            <v>PLNT</v>
          </cell>
          <cell r="L1943" t="str">
            <v>PLNT</v>
          </cell>
        </row>
        <row r="1944">
          <cell r="B1944" t="str">
            <v>PTD</v>
          </cell>
          <cell r="C1944" t="str">
            <v>PTD</v>
          </cell>
          <cell r="D1944" t="str">
            <v>PTD</v>
          </cell>
          <cell r="E1944" t="str">
            <v>PTD</v>
          </cell>
          <cell r="F1944" t="str">
            <v>PTD</v>
          </cell>
          <cell r="H1944" t="str">
            <v>PLNT</v>
          </cell>
          <cell r="I1944" t="str">
            <v>PLNT</v>
          </cell>
          <cell r="J1944" t="str">
            <v>PLNT</v>
          </cell>
          <cell r="K1944" t="str">
            <v>PLNT</v>
          </cell>
          <cell r="L1944" t="str">
            <v>PLNT</v>
          </cell>
        </row>
        <row r="1945">
          <cell r="B1945" t="str">
            <v>PTD</v>
          </cell>
          <cell r="C1945" t="str">
            <v>PTD</v>
          </cell>
          <cell r="D1945" t="str">
            <v>PTD</v>
          </cell>
          <cell r="E1945" t="str">
            <v>PTD</v>
          </cell>
          <cell r="F1945" t="str">
            <v>PTD</v>
          </cell>
          <cell r="H1945" t="str">
            <v>PLNT</v>
          </cell>
          <cell r="I1945" t="str">
            <v>PLNT</v>
          </cell>
          <cell r="J1945" t="str">
            <v>PLNT</v>
          </cell>
          <cell r="K1945" t="str">
            <v>PLNT</v>
          </cell>
          <cell r="L1945" t="str">
            <v>PLNT</v>
          </cell>
        </row>
        <row r="1946">
          <cell r="B1946" t="str">
            <v>PTD</v>
          </cell>
          <cell r="C1946" t="str">
            <v>PTD</v>
          </cell>
          <cell r="D1946" t="str">
            <v>PTD</v>
          </cell>
          <cell r="E1946" t="str">
            <v>PTD</v>
          </cell>
          <cell r="F1946" t="str">
            <v>PTD</v>
          </cell>
          <cell r="H1946" t="str">
            <v>PLNT</v>
          </cell>
          <cell r="I1946" t="str">
            <v>PLNT</v>
          </cell>
          <cell r="J1946" t="str">
            <v>PLNT</v>
          </cell>
          <cell r="K1946" t="str">
            <v>PLNT</v>
          </cell>
          <cell r="L1946" t="str">
            <v>PLNT</v>
          </cell>
        </row>
        <row r="1947">
          <cell r="B1947" t="str">
            <v>PTD</v>
          </cell>
          <cell r="C1947" t="str">
            <v>PTD</v>
          </cell>
          <cell r="D1947" t="str">
            <v>PTD</v>
          </cell>
          <cell r="E1947" t="str">
            <v>PTD</v>
          </cell>
          <cell r="F1947" t="str">
            <v>PTD</v>
          </cell>
          <cell r="H1947" t="str">
            <v>PLNT</v>
          </cell>
          <cell r="I1947" t="str">
            <v>PLNT</v>
          </cell>
          <cell r="J1947" t="str">
            <v>PLNT</v>
          </cell>
          <cell r="K1947" t="str">
            <v>PLNT</v>
          </cell>
          <cell r="L1947" t="str">
            <v>PLNT</v>
          </cell>
        </row>
        <row r="1948">
          <cell r="B1948" t="str">
            <v>PTD</v>
          </cell>
          <cell r="C1948" t="str">
            <v>PTD</v>
          </cell>
          <cell r="D1948" t="str">
            <v>PTD</v>
          </cell>
          <cell r="E1948" t="str">
            <v>PTD</v>
          </cell>
          <cell r="F1948" t="str">
            <v>PTD</v>
          </cell>
          <cell r="H1948" t="str">
            <v>PLNT</v>
          </cell>
          <cell r="I1948" t="str">
            <v>PLNT</v>
          </cell>
          <cell r="J1948" t="str">
            <v>PLNT</v>
          </cell>
          <cell r="K1948" t="str">
            <v>PLNT</v>
          </cell>
          <cell r="L1948" t="str">
            <v>PLNT</v>
          </cell>
        </row>
        <row r="1949">
          <cell r="B1949" t="str">
            <v>PTD</v>
          </cell>
          <cell r="C1949" t="str">
            <v>PTD</v>
          </cell>
          <cell r="D1949" t="str">
            <v>PTD</v>
          </cell>
          <cell r="E1949" t="str">
            <v>PTD</v>
          </cell>
          <cell r="F1949" t="str">
            <v>PTD</v>
          </cell>
          <cell r="H1949" t="str">
            <v>PLNT</v>
          </cell>
          <cell r="I1949" t="str">
            <v>PLNT</v>
          </cell>
          <cell r="J1949" t="str">
            <v>PLNT</v>
          </cell>
          <cell r="K1949" t="str">
            <v>PLNT</v>
          </cell>
          <cell r="L1949" t="str">
            <v>PLNT</v>
          </cell>
        </row>
        <row r="1950">
          <cell r="B1950" t="str">
            <v>PTD</v>
          </cell>
          <cell r="C1950" t="str">
            <v>PTD</v>
          </cell>
          <cell r="D1950" t="str">
            <v>PTD</v>
          </cell>
          <cell r="E1950" t="str">
            <v>PTD</v>
          </cell>
          <cell r="F1950" t="str">
            <v>PTD</v>
          </cell>
          <cell r="H1950" t="str">
            <v>PLNT</v>
          </cell>
          <cell r="I1950" t="str">
            <v>PLNT</v>
          </cell>
          <cell r="J1950" t="str">
            <v>PLNT</v>
          </cell>
          <cell r="K1950" t="str">
            <v>PLNT</v>
          </cell>
          <cell r="L1950" t="str">
            <v>PLNT</v>
          </cell>
        </row>
        <row r="1957">
          <cell r="B1957" t="str">
            <v>P</v>
          </cell>
          <cell r="C1957" t="str">
            <v>P</v>
          </cell>
          <cell r="D1957" t="str">
            <v>P</v>
          </cell>
          <cell r="E1957" t="str">
            <v>P</v>
          </cell>
          <cell r="F1957" t="str">
            <v>P</v>
          </cell>
        </row>
        <row r="1958">
          <cell r="B1958" t="str">
            <v>P</v>
          </cell>
          <cell r="C1958" t="str">
            <v>P</v>
          </cell>
          <cell r="D1958" t="str">
            <v>P</v>
          </cell>
          <cell r="E1958" t="str">
            <v>P</v>
          </cell>
          <cell r="F1958" t="str">
            <v>P</v>
          </cell>
        </row>
        <row r="1959">
          <cell r="B1959" t="str">
            <v>P</v>
          </cell>
          <cell r="C1959" t="str">
            <v>P</v>
          </cell>
          <cell r="D1959" t="str">
            <v>P</v>
          </cell>
          <cell r="E1959" t="str">
            <v>P</v>
          </cell>
          <cell r="F1959" t="str">
            <v>P</v>
          </cell>
        </row>
        <row r="1960">
          <cell r="B1960" t="str">
            <v>P</v>
          </cell>
          <cell r="C1960" t="str">
            <v>P</v>
          </cell>
          <cell r="D1960" t="str">
            <v>P</v>
          </cell>
          <cell r="E1960" t="str">
            <v>P</v>
          </cell>
          <cell r="F1960" t="str">
            <v>P</v>
          </cell>
        </row>
        <row r="1961">
          <cell r="B1961" t="str">
            <v>P</v>
          </cell>
          <cell r="C1961" t="str">
            <v>P</v>
          </cell>
          <cell r="D1961" t="str">
            <v>P</v>
          </cell>
          <cell r="E1961" t="str">
            <v>P</v>
          </cell>
          <cell r="F1961" t="str">
            <v>P</v>
          </cell>
        </row>
        <row r="1965">
          <cell r="B1965" t="str">
            <v>P</v>
          </cell>
          <cell r="C1965" t="str">
            <v>P</v>
          </cell>
          <cell r="D1965" t="str">
            <v>P</v>
          </cell>
          <cell r="E1965" t="str">
            <v>P</v>
          </cell>
          <cell r="F1965" t="str">
            <v>P</v>
          </cell>
        </row>
        <row r="1966">
          <cell r="B1966" t="str">
            <v>P</v>
          </cell>
          <cell r="C1966" t="str">
            <v>P</v>
          </cell>
          <cell r="D1966" t="str">
            <v>P</v>
          </cell>
          <cell r="E1966" t="str">
            <v>P</v>
          </cell>
          <cell r="F1966" t="str">
            <v>P</v>
          </cell>
        </row>
        <row r="1967">
          <cell r="B1967" t="str">
            <v>P</v>
          </cell>
          <cell r="C1967" t="str">
            <v>P</v>
          </cell>
          <cell r="D1967" t="str">
            <v>P</v>
          </cell>
          <cell r="E1967" t="str">
            <v>P</v>
          </cell>
          <cell r="F1967" t="str">
            <v>P</v>
          </cell>
        </row>
        <row r="1972">
          <cell r="B1972" t="str">
            <v>P</v>
          </cell>
          <cell r="C1972" t="str">
            <v>P</v>
          </cell>
          <cell r="D1972" t="str">
            <v>P</v>
          </cell>
          <cell r="E1972" t="str">
            <v>P</v>
          </cell>
          <cell r="F1972" t="str">
            <v>P</v>
          </cell>
        </row>
        <row r="1973">
          <cell r="B1973" t="str">
            <v>P</v>
          </cell>
          <cell r="C1973" t="str">
            <v>P</v>
          </cell>
          <cell r="D1973" t="str">
            <v>P</v>
          </cell>
          <cell r="E1973" t="str">
            <v>P</v>
          </cell>
          <cell r="F1973" t="str">
            <v>P</v>
          </cell>
        </row>
        <row r="1974">
          <cell r="B1974" t="str">
            <v>P</v>
          </cell>
          <cell r="C1974" t="str">
            <v>P</v>
          </cell>
          <cell r="D1974" t="str">
            <v>P</v>
          </cell>
          <cell r="E1974" t="str">
            <v>P</v>
          </cell>
          <cell r="F1974" t="str">
            <v>P</v>
          </cell>
        </row>
        <row r="1975">
          <cell r="B1975" t="str">
            <v>P</v>
          </cell>
          <cell r="C1975" t="str">
            <v>P</v>
          </cell>
          <cell r="D1975" t="str">
            <v>P</v>
          </cell>
          <cell r="E1975" t="str">
            <v>P</v>
          </cell>
          <cell r="F1975" t="str">
            <v>P</v>
          </cell>
        </row>
        <row r="1979">
          <cell r="B1979" t="str">
            <v>P</v>
          </cell>
          <cell r="C1979" t="str">
            <v>P</v>
          </cell>
          <cell r="D1979" t="str">
            <v>P</v>
          </cell>
          <cell r="E1979" t="str">
            <v>P</v>
          </cell>
          <cell r="F1979" t="str">
            <v>P</v>
          </cell>
        </row>
        <row r="1980">
          <cell r="B1980" t="str">
            <v>P</v>
          </cell>
          <cell r="C1980" t="str">
            <v>P</v>
          </cell>
          <cell r="D1980" t="str">
            <v>P</v>
          </cell>
          <cell r="E1980" t="str">
            <v>P</v>
          </cell>
          <cell r="F1980" t="str">
            <v>P</v>
          </cell>
        </row>
        <row r="1981">
          <cell r="B1981" t="str">
            <v>P</v>
          </cell>
          <cell r="C1981" t="str">
            <v>P</v>
          </cell>
          <cell r="D1981" t="str">
            <v>P</v>
          </cell>
          <cell r="E1981" t="str">
            <v>P</v>
          </cell>
          <cell r="F1981" t="str">
            <v>P</v>
          </cell>
        </row>
        <row r="1982">
          <cell r="B1982" t="str">
            <v>P</v>
          </cell>
          <cell r="C1982" t="str">
            <v>P</v>
          </cell>
          <cell r="D1982" t="str">
            <v>P</v>
          </cell>
          <cell r="E1982" t="str">
            <v>P</v>
          </cell>
          <cell r="F1982" t="str">
            <v>P</v>
          </cell>
        </row>
        <row r="1983">
          <cell r="B1983" t="str">
            <v>P</v>
          </cell>
          <cell r="C1983" t="str">
            <v>P</v>
          </cell>
          <cell r="D1983" t="str">
            <v>P</v>
          </cell>
          <cell r="E1983" t="str">
            <v>P</v>
          </cell>
          <cell r="F1983" t="str">
            <v>P</v>
          </cell>
        </row>
        <row r="1984">
          <cell r="B1984" t="str">
            <v>P</v>
          </cell>
          <cell r="C1984" t="str">
            <v>P</v>
          </cell>
          <cell r="D1984" t="str">
            <v>P</v>
          </cell>
          <cell r="E1984" t="str">
            <v>P</v>
          </cell>
          <cell r="F1984" t="str">
            <v>P</v>
          </cell>
        </row>
        <row r="1988">
          <cell r="B1988" t="str">
            <v>P</v>
          </cell>
          <cell r="C1988" t="str">
            <v>P</v>
          </cell>
          <cell r="D1988" t="str">
            <v>P</v>
          </cell>
          <cell r="E1988" t="str">
            <v>P</v>
          </cell>
          <cell r="F1988" t="str">
            <v>P</v>
          </cell>
        </row>
        <row r="1989">
          <cell r="B1989" t="str">
            <v>P</v>
          </cell>
          <cell r="C1989" t="str">
            <v>P</v>
          </cell>
          <cell r="D1989" t="str">
            <v>P</v>
          </cell>
          <cell r="E1989" t="str">
            <v>P</v>
          </cell>
          <cell r="F1989" t="str">
            <v>P</v>
          </cell>
        </row>
        <row r="1997">
          <cell r="B1997" t="str">
            <v>T</v>
          </cell>
          <cell r="C1997" t="str">
            <v>T</v>
          </cell>
          <cell r="D1997" t="str">
            <v>T</v>
          </cell>
          <cell r="E1997" t="str">
            <v>T</v>
          </cell>
          <cell r="F1997" t="str">
            <v>T</v>
          </cell>
        </row>
        <row r="1998">
          <cell r="B1998" t="str">
            <v>T</v>
          </cell>
          <cell r="C1998" t="str">
            <v>T</v>
          </cell>
          <cell r="D1998" t="str">
            <v>T</v>
          </cell>
          <cell r="E1998" t="str">
            <v>T</v>
          </cell>
          <cell r="F1998" t="str">
            <v>T</v>
          </cell>
        </row>
        <row r="1999">
          <cell r="B1999" t="str">
            <v>T</v>
          </cell>
          <cell r="C1999" t="str">
            <v>T</v>
          </cell>
          <cell r="D1999" t="str">
            <v>T</v>
          </cell>
          <cell r="E1999" t="str">
            <v>T</v>
          </cell>
          <cell r="F1999" t="str">
            <v>T</v>
          </cell>
        </row>
        <row r="2000">
          <cell r="B2000" t="str">
            <v>T</v>
          </cell>
          <cell r="C2000" t="str">
            <v>T</v>
          </cell>
          <cell r="D2000" t="str">
            <v>T</v>
          </cell>
          <cell r="E2000" t="str">
            <v>T</v>
          </cell>
          <cell r="F2000" t="str">
            <v>T</v>
          </cell>
        </row>
        <row r="2004">
          <cell r="B2004" t="str">
            <v>DPW</v>
          </cell>
          <cell r="C2004" t="str">
            <v>DPW</v>
          </cell>
          <cell r="D2004" t="str">
            <v>DPW</v>
          </cell>
          <cell r="E2004" t="str">
            <v>DPW</v>
          </cell>
          <cell r="F2004" t="str">
            <v>DPW</v>
          </cell>
          <cell r="H2004" t="str">
            <v>PLNT2</v>
          </cell>
          <cell r="I2004" t="str">
            <v>PLNT2</v>
          </cell>
          <cell r="J2004" t="str">
            <v>PLNT2</v>
          </cell>
          <cell r="K2004" t="str">
            <v>PLNT2</v>
          </cell>
          <cell r="L2004" t="str">
            <v>PLNT2</v>
          </cell>
        </row>
        <row r="2008">
          <cell r="B2008" t="str">
            <v>DPW</v>
          </cell>
          <cell r="C2008" t="str">
            <v>DPW</v>
          </cell>
          <cell r="D2008" t="str">
            <v>DPW</v>
          </cell>
          <cell r="E2008" t="str">
            <v>DPW</v>
          </cell>
          <cell r="F2008" t="str">
            <v>DPW</v>
          </cell>
          <cell r="H2008" t="str">
            <v>PLNT2</v>
          </cell>
          <cell r="I2008" t="str">
            <v>PLNT2</v>
          </cell>
          <cell r="J2008" t="str">
            <v>PLNT2</v>
          </cell>
          <cell r="K2008" t="str">
            <v>PLNT2</v>
          </cell>
          <cell r="L2008" t="str">
            <v>PLNT2</v>
          </cell>
        </row>
        <row r="2012">
          <cell r="B2012" t="str">
            <v>DPW</v>
          </cell>
          <cell r="C2012" t="str">
            <v>DPW</v>
          </cell>
          <cell r="D2012" t="str">
            <v>DPW</v>
          </cell>
          <cell r="E2012" t="str">
            <v>DPW</v>
          </cell>
          <cell r="F2012" t="str">
            <v>DPW</v>
          </cell>
          <cell r="H2012" t="str">
            <v>SUBS</v>
          </cell>
          <cell r="I2012" t="str">
            <v>SUBS</v>
          </cell>
          <cell r="J2012" t="str">
            <v>SUBS</v>
          </cell>
          <cell r="K2012" t="str">
            <v>SUBS</v>
          </cell>
          <cell r="L2012" t="str">
            <v>SUBS</v>
          </cell>
        </row>
        <row r="2016">
          <cell r="B2016" t="str">
            <v>DPW</v>
          </cell>
          <cell r="C2016" t="str">
            <v>DPW</v>
          </cell>
          <cell r="D2016" t="str">
            <v>DPW</v>
          </cell>
          <cell r="E2016" t="str">
            <v>DPW</v>
          </cell>
          <cell r="F2016" t="str">
            <v>DPW</v>
          </cell>
          <cell r="H2016" t="str">
            <v>PC</v>
          </cell>
          <cell r="I2016" t="str">
            <v>PC</v>
          </cell>
          <cell r="J2016" t="str">
            <v>PC</v>
          </cell>
          <cell r="K2016" t="str">
            <v>PC</v>
          </cell>
          <cell r="L2016" t="str">
            <v>PC</v>
          </cell>
        </row>
        <row r="2020">
          <cell r="B2020" t="str">
            <v>DPW</v>
          </cell>
          <cell r="C2020" t="str">
            <v>DPW</v>
          </cell>
          <cell r="D2020" t="str">
            <v>DPW</v>
          </cell>
          <cell r="E2020" t="str">
            <v>DPW</v>
          </cell>
          <cell r="F2020" t="str">
            <v>DPW</v>
          </cell>
          <cell r="H2020" t="str">
            <v>PC</v>
          </cell>
          <cell r="I2020" t="str">
            <v>PC</v>
          </cell>
          <cell r="J2020" t="str">
            <v>PC</v>
          </cell>
          <cell r="K2020" t="str">
            <v>PC</v>
          </cell>
          <cell r="L2020" t="str">
            <v>PC</v>
          </cell>
        </row>
        <row r="2024">
          <cell r="B2024" t="str">
            <v>DPW</v>
          </cell>
          <cell r="C2024" t="str">
            <v>DPW</v>
          </cell>
          <cell r="D2024" t="str">
            <v>DPW</v>
          </cell>
          <cell r="E2024" t="str">
            <v>DPW</v>
          </cell>
          <cell r="F2024" t="str">
            <v>DPW</v>
          </cell>
          <cell r="H2024" t="str">
            <v>PC</v>
          </cell>
          <cell r="I2024" t="str">
            <v>PC</v>
          </cell>
          <cell r="J2024" t="str">
            <v>PC</v>
          </cell>
          <cell r="K2024" t="str">
            <v>PC</v>
          </cell>
          <cell r="L2024" t="str">
            <v>PC</v>
          </cell>
        </row>
        <row r="2028">
          <cell r="B2028" t="str">
            <v>DPW</v>
          </cell>
          <cell r="C2028" t="str">
            <v>DPW</v>
          </cell>
          <cell r="D2028" t="str">
            <v>DPW</v>
          </cell>
          <cell r="E2028" t="str">
            <v>DPW</v>
          </cell>
          <cell r="F2028" t="str">
            <v>DPW</v>
          </cell>
          <cell r="H2028" t="str">
            <v>PC</v>
          </cell>
          <cell r="I2028" t="str">
            <v>PC</v>
          </cell>
          <cell r="J2028" t="str">
            <v>PC</v>
          </cell>
          <cell r="K2028" t="str">
            <v>PC</v>
          </cell>
          <cell r="L2028" t="str">
            <v>PC</v>
          </cell>
        </row>
        <row r="2032">
          <cell r="B2032" t="str">
            <v>DPW</v>
          </cell>
          <cell r="C2032" t="str">
            <v>DPW</v>
          </cell>
          <cell r="D2032" t="str">
            <v>DPW</v>
          </cell>
          <cell r="E2032" t="str">
            <v>DPW</v>
          </cell>
          <cell r="F2032" t="str">
            <v>DPW</v>
          </cell>
          <cell r="H2032" t="str">
            <v>XFMR</v>
          </cell>
          <cell r="I2032" t="str">
            <v>XFMR</v>
          </cell>
          <cell r="J2032" t="str">
            <v>XFMR</v>
          </cell>
          <cell r="K2032" t="str">
            <v>XFMR</v>
          </cell>
          <cell r="L2032" t="str">
            <v>XFMR</v>
          </cell>
        </row>
        <row r="2036">
          <cell r="B2036" t="str">
            <v>DPW</v>
          </cell>
          <cell r="C2036" t="str">
            <v>DPW</v>
          </cell>
          <cell r="D2036" t="str">
            <v>DPW</v>
          </cell>
          <cell r="E2036" t="str">
            <v>DPW</v>
          </cell>
          <cell r="F2036" t="str">
            <v>DPW</v>
          </cell>
          <cell r="H2036" t="str">
            <v>SERV</v>
          </cell>
          <cell r="I2036" t="str">
            <v>SERV</v>
          </cell>
          <cell r="J2036" t="str">
            <v>SERV</v>
          </cell>
          <cell r="K2036" t="str">
            <v>SERV</v>
          </cell>
          <cell r="L2036" t="str">
            <v>SERV</v>
          </cell>
        </row>
        <row r="2040">
          <cell r="B2040" t="str">
            <v>DPW</v>
          </cell>
          <cell r="C2040" t="str">
            <v>DPW</v>
          </cell>
          <cell r="D2040" t="str">
            <v>DPW</v>
          </cell>
          <cell r="E2040" t="str">
            <v>DPW</v>
          </cell>
          <cell r="F2040" t="str">
            <v>DPW</v>
          </cell>
          <cell r="H2040" t="str">
            <v>METR</v>
          </cell>
          <cell r="I2040" t="str">
            <v>METR</v>
          </cell>
          <cell r="J2040" t="str">
            <v>METR</v>
          </cell>
          <cell r="K2040" t="str">
            <v>METR</v>
          </cell>
          <cell r="L2040" t="str">
            <v>METR</v>
          </cell>
        </row>
        <row r="2044">
          <cell r="B2044" t="str">
            <v>DPW</v>
          </cell>
          <cell r="C2044" t="str">
            <v>DPW</v>
          </cell>
          <cell r="D2044" t="str">
            <v>DPW</v>
          </cell>
          <cell r="E2044" t="str">
            <v>DPW</v>
          </cell>
          <cell r="F2044" t="str">
            <v>DPW</v>
          </cell>
          <cell r="H2044" t="str">
            <v>PC</v>
          </cell>
          <cell r="I2044" t="str">
            <v>PC</v>
          </cell>
          <cell r="J2044" t="str">
            <v>PC</v>
          </cell>
          <cell r="K2044" t="str">
            <v>PC</v>
          </cell>
          <cell r="L2044" t="str">
            <v>PC</v>
          </cell>
        </row>
        <row r="2048">
          <cell r="B2048" t="str">
            <v>DPW</v>
          </cell>
          <cell r="C2048" t="str">
            <v>DPW</v>
          </cell>
          <cell r="D2048" t="str">
            <v>DPW</v>
          </cell>
          <cell r="E2048" t="str">
            <v>DPW</v>
          </cell>
          <cell r="F2048" t="str">
            <v>DPW</v>
          </cell>
          <cell r="H2048" t="str">
            <v>PLNT2</v>
          </cell>
          <cell r="I2048" t="str">
            <v>PLNT2</v>
          </cell>
          <cell r="J2048" t="str">
            <v>PLNT2</v>
          </cell>
          <cell r="K2048" t="str">
            <v>PLNT2</v>
          </cell>
          <cell r="L2048" t="str">
            <v>PLNT2</v>
          </cell>
        </row>
        <row r="2052">
          <cell r="B2052" t="str">
            <v>DPW</v>
          </cell>
          <cell r="C2052" t="str">
            <v>DPW</v>
          </cell>
          <cell r="D2052" t="str">
            <v>DPW</v>
          </cell>
          <cell r="E2052" t="str">
            <v>DPW</v>
          </cell>
          <cell r="F2052" t="str">
            <v>DPW</v>
          </cell>
          <cell r="H2052" t="str">
            <v>PC</v>
          </cell>
          <cell r="I2052" t="str">
            <v>PC</v>
          </cell>
          <cell r="J2052" t="str">
            <v>PC</v>
          </cell>
          <cell r="K2052" t="str">
            <v>PC</v>
          </cell>
          <cell r="L2052" t="str">
            <v>PC</v>
          </cell>
        </row>
        <row r="2056">
          <cell r="B2056" t="str">
            <v>DPW</v>
          </cell>
          <cell r="C2056" t="str">
            <v>DPW</v>
          </cell>
          <cell r="D2056" t="str">
            <v>DPW</v>
          </cell>
          <cell r="E2056" t="str">
            <v>DPW</v>
          </cell>
          <cell r="F2056" t="str">
            <v>DPW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60">
          <cell r="B2060" t="str">
            <v>DPW</v>
          </cell>
          <cell r="C2060" t="str">
            <v>DPW</v>
          </cell>
          <cell r="D2060" t="str">
            <v>DPW</v>
          </cell>
          <cell r="E2060" t="str">
            <v>DPW</v>
          </cell>
          <cell r="F2060" t="str">
            <v>DPW</v>
          </cell>
          <cell r="H2060" t="str">
            <v>PLNT</v>
          </cell>
          <cell r="I2060" t="str">
            <v>PLNT</v>
          </cell>
          <cell r="J2060" t="str">
            <v>PLNT</v>
          </cell>
          <cell r="K2060" t="str">
            <v>PLNT</v>
          </cell>
          <cell r="L2060" t="str">
            <v>PLNT</v>
          </cell>
        </row>
        <row r="2064">
          <cell r="B2064" t="str">
            <v>DPW</v>
          </cell>
          <cell r="C2064" t="str">
            <v>DPW</v>
          </cell>
          <cell r="D2064" t="str">
            <v>DPW</v>
          </cell>
          <cell r="E2064" t="str">
            <v>DPW</v>
          </cell>
          <cell r="F2064" t="str">
            <v>DPW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71">
          <cell r="B2071" t="str">
            <v>G-SITUS</v>
          </cell>
          <cell r="C2071" t="str">
            <v>G-SITUS</v>
          </cell>
          <cell r="D2071" t="str">
            <v>G-SITUS</v>
          </cell>
          <cell r="E2071" t="str">
            <v>G-SITUS</v>
          </cell>
          <cell r="F2071" t="str">
            <v>G-SITUS</v>
          </cell>
          <cell r="H2071" t="str">
            <v>PLNT</v>
          </cell>
          <cell r="I2071" t="str">
            <v>PLNT</v>
          </cell>
          <cell r="J2071" t="str">
            <v>PLNT</v>
          </cell>
          <cell r="K2071" t="str">
            <v>PLNT</v>
          </cell>
          <cell r="L2071" t="str">
            <v>PLNT</v>
          </cell>
        </row>
        <row r="2072">
          <cell r="B2072" t="str">
            <v>G-SG</v>
          </cell>
          <cell r="C2072" t="str">
            <v>G-SG</v>
          </cell>
          <cell r="D2072" t="str">
            <v>G-SG</v>
          </cell>
          <cell r="E2072" t="str">
            <v>G-SG</v>
          </cell>
          <cell r="F2072" t="str">
            <v>G-SG</v>
          </cell>
          <cell r="H2072" t="str">
            <v>PLNT</v>
          </cell>
          <cell r="I2072" t="str">
            <v>PLNT</v>
          </cell>
          <cell r="J2072" t="str">
            <v>PLNT</v>
          </cell>
          <cell r="K2072" t="str">
            <v>PLNT</v>
          </cell>
          <cell r="L2072" t="str">
            <v>PLNT</v>
          </cell>
        </row>
        <row r="2073">
          <cell r="B2073" t="str">
            <v>G-DGU</v>
          </cell>
          <cell r="C2073" t="str">
            <v>G-DGU</v>
          </cell>
          <cell r="D2073" t="str">
            <v>G-DGU</v>
          </cell>
          <cell r="E2073" t="str">
            <v>G-DGU</v>
          </cell>
          <cell r="F2073" t="str">
            <v>G-DGU</v>
          </cell>
          <cell r="H2073" t="str">
            <v>PLNT</v>
          </cell>
          <cell r="I2073" t="str">
            <v>PLNT</v>
          </cell>
          <cell r="J2073" t="str">
            <v>PLNT</v>
          </cell>
          <cell r="K2073" t="str">
            <v>PLNT</v>
          </cell>
          <cell r="L2073" t="str">
            <v>PLNT</v>
          </cell>
        </row>
        <row r="2074">
          <cell r="B2074" t="str">
            <v>G-SG</v>
          </cell>
          <cell r="C2074" t="str">
            <v>G-SG</v>
          </cell>
          <cell r="D2074" t="str">
            <v>G-SG</v>
          </cell>
          <cell r="E2074" t="str">
            <v>G-SG</v>
          </cell>
          <cell r="F2074" t="str">
            <v>G-SG</v>
          </cell>
          <cell r="H2074" t="str">
            <v>PLNT</v>
          </cell>
          <cell r="I2074" t="str">
            <v>PLNT</v>
          </cell>
          <cell r="J2074" t="str">
            <v>PLNT</v>
          </cell>
          <cell r="K2074" t="str">
            <v>PLNT</v>
          </cell>
          <cell r="L2074" t="str">
            <v>PLNT</v>
          </cell>
        </row>
        <row r="2075">
          <cell r="B2075" t="str">
            <v>CUST</v>
          </cell>
          <cell r="C2075" t="str">
            <v>CUST</v>
          </cell>
          <cell r="D2075" t="str">
            <v>CUST</v>
          </cell>
          <cell r="E2075" t="str">
            <v>CUST</v>
          </cell>
          <cell r="F2075" t="str">
            <v>CUST</v>
          </cell>
          <cell r="H2075" t="str">
            <v>CUST</v>
          </cell>
          <cell r="I2075" t="str">
            <v>CUST</v>
          </cell>
          <cell r="J2075" t="str">
            <v>CUST</v>
          </cell>
          <cell r="K2075" t="str">
            <v>CUST</v>
          </cell>
          <cell r="L2075" t="str">
            <v>CUST</v>
          </cell>
        </row>
        <row r="2076">
          <cell r="B2076" t="str">
            <v>PTD</v>
          </cell>
          <cell r="C2076" t="str">
            <v>PTD</v>
          </cell>
          <cell r="D2076" t="str">
            <v>PTD</v>
          </cell>
          <cell r="E2076" t="str">
            <v>PTD</v>
          </cell>
          <cell r="F2076" t="str">
            <v>PTD</v>
          </cell>
          <cell r="H2076" t="str">
            <v>PLNT</v>
          </cell>
          <cell r="I2076" t="str">
            <v>PLNT</v>
          </cell>
          <cell r="J2076" t="str">
            <v>PLNT</v>
          </cell>
          <cell r="K2076" t="str">
            <v>PLNT</v>
          </cell>
          <cell r="L2076" t="str">
            <v>PLNT</v>
          </cell>
        </row>
        <row r="2077">
          <cell r="B2077" t="str">
            <v>P</v>
          </cell>
          <cell r="C2077" t="str">
            <v>P</v>
          </cell>
          <cell r="D2077" t="str">
            <v>P</v>
          </cell>
          <cell r="E2077" t="str">
            <v>P</v>
          </cell>
          <cell r="F2077" t="str">
            <v>P</v>
          </cell>
          <cell r="H2077" t="str">
            <v>PLNT</v>
          </cell>
          <cell r="I2077" t="str">
            <v>PLNT</v>
          </cell>
          <cell r="J2077" t="str">
            <v>PLNT</v>
          </cell>
          <cell r="K2077" t="str">
            <v>PLNT</v>
          </cell>
          <cell r="L2077" t="str">
            <v>PLNT</v>
          </cell>
        </row>
        <row r="2078">
          <cell r="B2078" t="str">
            <v>G-SG</v>
          </cell>
          <cell r="C2078" t="str">
            <v>G-SG</v>
          </cell>
          <cell r="D2078" t="str">
            <v>G-SG</v>
          </cell>
          <cell r="E2078" t="str">
            <v>G-SG</v>
          </cell>
          <cell r="F2078" t="str">
            <v>G-SG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0">
          <cell r="B2080" t="str">
            <v>P</v>
          </cell>
          <cell r="C2080" t="str">
            <v>P</v>
          </cell>
          <cell r="D2080" t="str">
            <v>P</v>
          </cell>
          <cell r="E2080" t="str">
            <v>P</v>
          </cell>
          <cell r="F2080" t="str">
            <v>P</v>
          </cell>
          <cell r="H2080" t="str">
            <v>PLNT</v>
          </cell>
          <cell r="I2080" t="str">
            <v>PLNT</v>
          </cell>
          <cell r="J2080" t="str">
            <v>PLNT</v>
          </cell>
          <cell r="K2080" t="str">
            <v>PLNT</v>
          </cell>
          <cell r="L2080" t="str">
            <v>PLNT</v>
          </cell>
        </row>
        <row r="2085">
          <cell r="B2085" t="str">
            <v>P</v>
          </cell>
          <cell r="C2085" t="str">
            <v>P</v>
          </cell>
          <cell r="D2085" t="str">
            <v>P</v>
          </cell>
          <cell r="E2085" t="str">
            <v>P</v>
          </cell>
          <cell r="F2085" t="str">
            <v>P</v>
          </cell>
        </row>
        <row r="2086">
          <cell r="B2086" t="str">
            <v>P</v>
          </cell>
          <cell r="C2086" t="str">
            <v>P</v>
          </cell>
          <cell r="D2086" t="str">
            <v>P</v>
          </cell>
          <cell r="E2086" t="str">
            <v>P</v>
          </cell>
          <cell r="F2086" t="str">
            <v>P</v>
          </cell>
        </row>
        <row r="2090">
          <cell r="B2090" t="str">
            <v>P</v>
          </cell>
          <cell r="C2090" t="str">
            <v>P</v>
          </cell>
          <cell r="D2090" t="str">
            <v>P</v>
          </cell>
          <cell r="E2090" t="str">
            <v>P</v>
          </cell>
          <cell r="F2090" t="str">
            <v>P</v>
          </cell>
        </row>
        <row r="2094">
          <cell r="B2094" t="str">
            <v>PTD</v>
          </cell>
          <cell r="C2094" t="str">
            <v>PTD</v>
          </cell>
          <cell r="D2094" t="str">
            <v>PTD</v>
          </cell>
          <cell r="E2094" t="str">
            <v>PTD</v>
          </cell>
          <cell r="F2094" t="str">
            <v>PTD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7">
          <cell r="B2097" t="str">
            <v>P</v>
          </cell>
          <cell r="C2097" t="str">
            <v>P</v>
          </cell>
          <cell r="D2097" t="str">
            <v>P</v>
          </cell>
          <cell r="E2097" t="str">
            <v>P</v>
          </cell>
          <cell r="F2097" t="str">
            <v>P</v>
          </cell>
        </row>
        <row r="2101">
          <cell r="B2101" t="str">
            <v>P</v>
          </cell>
          <cell r="C2101" t="str">
            <v>P</v>
          </cell>
          <cell r="D2101" t="str">
            <v>P</v>
          </cell>
          <cell r="E2101" t="str">
            <v>P</v>
          </cell>
          <cell r="F2101" t="str">
            <v>P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P</v>
          </cell>
          <cell r="C2102" t="str">
            <v>P</v>
          </cell>
          <cell r="D2102" t="str">
            <v>P</v>
          </cell>
          <cell r="E2102" t="str">
            <v>P</v>
          </cell>
          <cell r="F2102" t="str">
            <v>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5">
          <cell r="B2105" t="str">
            <v>P</v>
          </cell>
          <cell r="C2105" t="str">
            <v>P</v>
          </cell>
          <cell r="D2105" t="str">
            <v>P</v>
          </cell>
          <cell r="E2105" t="str">
            <v>P</v>
          </cell>
          <cell r="F2105" t="str">
            <v>P</v>
          </cell>
        </row>
        <row r="2116">
          <cell r="B2116" t="str">
            <v>P</v>
          </cell>
          <cell r="C2116" t="str">
            <v>P</v>
          </cell>
          <cell r="D2116" t="str">
            <v>P</v>
          </cell>
          <cell r="E2116" t="str">
            <v>P</v>
          </cell>
          <cell r="F2116" t="str">
            <v>P</v>
          </cell>
          <cell r="H2116" t="str">
            <v>PLNT</v>
          </cell>
          <cell r="I2116" t="str">
            <v>PLNT</v>
          </cell>
          <cell r="J2116" t="str">
            <v>PLNT</v>
          </cell>
          <cell r="K2116" t="str">
            <v>PLNT</v>
          </cell>
          <cell r="L2116" t="str">
            <v>PLNT</v>
          </cell>
        </row>
        <row r="2117">
          <cell r="B2117" t="str">
            <v>P</v>
          </cell>
          <cell r="C2117" t="str">
            <v>P</v>
          </cell>
          <cell r="D2117" t="str">
            <v>P</v>
          </cell>
          <cell r="E2117" t="str">
            <v>P</v>
          </cell>
          <cell r="F2117" t="str">
            <v>P</v>
          </cell>
          <cell r="H2117" t="str">
            <v>PLNT</v>
          </cell>
          <cell r="I2117" t="str">
            <v>PLNT</v>
          </cell>
          <cell r="J2117" t="str">
            <v>PLNT</v>
          </cell>
          <cell r="K2117" t="str">
            <v>PLNT</v>
          </cell>
          <cell r="L2117" t="str">
            <v>PLNT</v>
          </cell>
        </row>
        <row r="2122">
          <cell r="B2122" t="str">
            <v>G-SITUS</v>
          </cell>
          <cell r="C2122" t="str">
            <v>G-SITUS</v>
          </cell>
          <cell r="D2122" t="str">
            <v>G-SITUS</v>
          </cell>
          <cell r="E2122" t="str">
            <v>G-SITUS</v>
          </cell>
          <cell r="F2122" t="str">
            <v>G-SITUS</v>
          </cell>
          <cell r="H2122" t="str">
            <v>PLNT</v>
          </cell>
          <cell r="I2122" t="str">
            <v>PLNT</v>
          </cell>
          <cell r="J2122" t="str">
            <v>PLNT</v>
          </cell>
          <cell r="K2122" t="str">
            <v>PLNT</v>
          </cell>
          <cell r="L2122" t="str">
            <v>PLNT</v>
          </cell>
        </row>
        <row r="2123">
          <cell r="B2123" t="str">
            <v>CUST</v>
          </cell>
          <cell r="C2123" t="str">
            <v>CUST</v>
          </cell>
          <cell r="D2123" t="str">
            <v>CUST</v>
          </cell>
          <cell r="E2123" t="str">
            <v>CUST</v>
          </cell>
          <cell r="F2123" t="str">
            <v>CUST</v>
          </cell>
          <cell r="H2123" t="str">
            <v>CUST</v>
          </cell>
          <cell r="I2123" t="str">
            <v>CUST</v>
          </cell>
          <cell r="J2123" t="str">
            <v>CUST</v>
          </cell>
          <cell r="K2123" t="str">
            <v>CUST</v>
          </cell>
          <cell r="L2123" t="str">
            <v>CUST</v>
          </cell>
        </row>
        <row r="2124">
          <cell r="B2124" t="str">
            <v>I-SG</v>
          </cell>
          <cell r="C2124" t="str">
            <v>I-SG</v>
          </cell>
          <cell r="D2124" t="str">
            <v>I-SG</v>
          </cell>
          <cell r="E2124" t="str">
            <v>I-SG</v>
          </cell>
          <cell r="F2124" t="str">
            <v>I-SG</v>
          </cell>
          <cell r="H2124" t="str">
            <v>PLNT</v>
          </cell>
          <cell r="I2124" t="str">
            <v>PLNT</v>
          </cell>
          <cell r="J2124" t="str">
            <v>PLNT</v>
          </cell>
          <cell r="K2124" t="str">
            <v>PLNT</v>
          </cell>
          <cell r="L2124" t="str">
            <v>PLNT</v>
          </cell>
        </row>
        <row r="2125">
          <cell r="B2125" t="str">
            <v>PTD</v>
          </cell>
          <cell r="C2125" t="str">
            <v>PTD</v>
          </cell>
          <cell r="D2125" t="str">
            <v>PTD</v>
          </cell>
          <cell r="E2125" t="str">
            <v>PTD</v>
          </cell>
          <cell r="F2125" t="str">
            <v>PTD</v>
          </cell>
          <cell r="H2125" t="str">
            <v>PLNT</v>
          </cell>
          <cell r="I2125" t="str">
            <v>PLNT</v>
          </cell>
          <cell r="J2125" t="str">
            <v>PLNT</v>
          </cell>
          <cell r="K2125" t="str">
            <v>PLNT</v>
          </cell>
          <cell r="L2125" t="str">
            <v>PLNT</v>
          </cell>
        </row>
        <row r="2126">
          <cell r="B2126" t="str">
            <v>P</v>
          </cell>
          <cell r="C2126" t="str">
            <v>P</v>
          </cell>
          <cell r="D2126" t="str">
            <v>P</v>
          </cell>
          <cell r="E2126" t="str">
            <v>P</v>
          </cell>
          <cell r="F2126" t="str">
            <v>P</v>
          </cell>
          <cell r="H2126" t="str">
            <v>PLNT</v>
          </cell>
          <cell r="I2126" t="str">
            <v>PLNT</v>
          </cell>
          <cell r="J2126" t="str">
            <v>PLNT</v>
          </cell>
          <cell r="K2126" t="str">
            <v>PLNT</v>
          </cell>
          <cell r="L2126" t="str">
            <v>PLNT</v>
          </cell>
        </row>
        <row r="2131">
          <cell r="B2131" t="str">
            <v>P</v>
          </cell>
          <cell r="C2131" t="str">
            <v>P</v>
          </cell>
          <cell r="D2131" t="str">
            <v>P</v>
          </cell>
          <cell r="E2131" t="str">
            <v>P</v>
          </cell>
          <cell r="F2131" t="str">
            <v>P</v>
          </cell>
          <cell r="H2131" t="str">
            <v>PLNT</v>
          </cell>
          <cell r="I2131" t="str">
            <v>PLNT</v>
          </cell>
          <cell r="J2131" t="str">
            <v>PLNT</v>
          </cell>
          <cell r="K2131" t="str">
            <v>PLNT</v>
          </cell>
          <cell r="L2131" t="str">
            <v>PLNT</v>
          </cell>
        </row>
        <row r="2132">
          <cell r="B2132" t="str">
            <v>P</v>
          </cell>
          <cell r="C2132" t="str">
            <v>P</v>
          </cell>
          <cell r="D2132" t="str">
            <v>P</v>
          </cell>
          <cell r="E2132" t="str">
            <v>P</v>
          </cell>
          <cell r="F2132" t="str">
            <v>P</v>
          </cell>
          <cell r="H2132" t="str">
            <v>PLNT</v>
          </cell>
          <cell r="I2132" t="str">
            <v>PLNT</v>
          </cell>
          <cell r="J2132" t="str">
            <v>PLNT</v>
          </cell>
          <cell r="K2132" t="str">
            <v>PLNT</v>
          </cell>
          <cell r="L2132" t="str">
            <v>PLNT</v>
          </cell>
        </row>
        <row r="2137">
          <cell r="B2137" t="str">
            <v>I-SITUS</v>
          </cell>
          <cell r="C2137" t="str">
            <v>I-SITUS</v>
          </cell>
          <cell r="D2137" t="str">
            <v>I-SITUS</v>
          </cell>
          <cell r="E2137" t="str">
            <v>I-SITUS</v>
          </cell>
          <cell r="F2137" t="str">
            <v>I-SITUS</v>
          </cell>
          <cell r="H2137" t="str">
            <v>PLNT</v>
          </cell>
          <cell r="I2137" t="str">
            <v>PLNT</v>
          </cell>
          <cell r="J2137" t="str">
            <v>PLNT</v>
          </cell>
          <cell r="K2137" t="str">
            <v>PLNT</v>
          </cell>
          <cell r="L2137" t="str">
            <v>PLNT</v>
          </cell>
        </row>
        <row r="2138">
          <cell r="B2138" t="str">
            <v>I-DGP</v>
          </cell>
          <cell r="C2138" t="str">
            <v>I-DGP</v>
          </cell>
          <cell r="D2138" t="str">
            <v>I-DGP</v>
          </cell>
          <cell r="E2138" t="str">
            <v>I-DGP</v>
          </cell>
          <cell r="F2138" t="str">
            <v>I-DGP</v>
          </cell>
          <cell r="H2138" t="str">
            <v>PLNT</v>
          </cell>
          <cell r="I2138" t="str">
            <v>PLNT</v>
          </cell>
          <cell r="J2138" t="str">
            <v>PLNT</v>
          </cell>
          <cell r="K2138" t="str">
            <v>PLNT</v>
          </cell>
          <cell r="L2138" t="str">
            <v>PLNT</v>
          </cell>
        </row>
        <row r="2139">
          <cell r="B2139" t="str">
            <v>I-DGU</v>
          </cell>
          <cell r="C2139" t="str">
            <v>I-DGU</v>
          </cell>
          <cell r="D2139" t="str">
            <v>I-DGU</v>
          </cell>
          <cell r="E2139" t="str">
            <v>I-DGU</v>
          </cell>
          <cell r="F2139" t="str">
            <v>I-DGU</v>
          </cell>
          <cell r="H2139" t="str">
            <v>PLNT</v>
          </cell>
          <cell r="I2139" t="str">
            <v>PLNT</v>
          </cell>
          <cell r="J2139" t="str">
            <v>PLNT</v>
          </cell>
          <cell r="K2139" t="str">
            <v>PLNT</v>
          </cell>
          <cell r="L2139" t="str">
            <v>PLNT</v>
          </cell>
        </row>
        <row r="2140">
          <cell r="B2140" t="str">
            <v>P</v>
          </cell>
          <cell r="C2140" t="str">
            <v>P</v>
          </cell>
          <cell r="D2140" t="str">
            <v>P</v>
          </cell>
          <cell r="E2140" t="str">
            <v>P</v>
          </cell>
          <cell r="F2140" t="str">
            <v>P</v>
          </cell>
          <cell r="H2140" t="str">
            <v>PLNT</v>
          </cell>
          <cell r="I2140" t="str">
            <v>PLNT</v>
          </cell>
          <cell r="J2140" t="str">
            <v>PLNT</v>
          </cell>
          <cell r="K2140" t="str">
            <v>PLNT</v>
          </cell>
          <cell r="L2140" t="str">
            <v>PLNT</v>
          </cell>
        </row>
        <row r="2141">
          <cell r="B2141" t="str">
            <v>I-SG</v>
          </cell>
          <cell r="C2141" t="str">
            <v>I-SG</v>
          </cell>
          <cell r="D2141" t="str">
            <v>I-SG</v>
          </cell>
          <cell r="E2141" t="str">
            <v>I-SG</v>
          </cell>
          <cell r="F2141" t="str">
            <v>I-SG</v>
          </cell>
          <cell r="H2141" t="str">
            <v>PLNT</v>
          </cell>
          <cell r="I2141" t="str">
            <v>PLNT</v>
          </cell>
          <cell r="J2141" t="str">
            <v>PLNT</v>
          </cell>
          <cell r="K2141" t="str">
            <v>PLNT</v>
          </cell>
          <cell r="L2141" t="str">
            <v>PLNT</v>
          </cell>
        </row>
        <row r="2142">
          <cell r="B2142" t="str">
            <v>CUST</v>
          </cell>
          <cell r="C2142" t="str">
            <v>CUST</v>
          </cell>
          <cell r="D2142" t="str">
            <v>CUST</v>
          </cell>
          <cell r="E2142" t="str">
            <v>CUST</v>
          </cell>
          <cell r="F2142" t="str">
            <v>CUST</v>
          </cell>
          <cell r="H2142" t="str">
            <v>CUST</v>
          </cell>
          <cell r="I2142" t="str">
            <v>CUST</v>
          </cell>
          <cell r="J2142" t="str">
            <v>CUST</v>
          </cell>
          <cell r="K2142" t="str">
            <v>CUST</v>
          </cell>
          <cell r="L2142" t="str">
            <v>CUST</v>
          </cell>
        </row>
        <row r="2143">
          <cell r="B2143" t="str">
            <v>I-SG</v>
          </cell>
          <cell r="C2143" t="str">
            <v>I-SG</v>
          </cell>
          <cell r="D2143" t="str">
            <v>I-SG</v>
          </cell>
          <cell r="E2143" t="str">
            <v>I-SG</v>
          </cell>
          <cell r="F2143" t="str">
            <v>I-SG</v>
          </cell>
          <cell r="H2143" t="str">
            <v>PLNT</v>
          </cell>
          <cell r="I2143" t="str">
            <v>PLNT</v>
          </cell>
          <cell r="J2143" t="str">
            <v>PLNT</v>
          </cell>
          <cell r="K2143" t="str">
            <v>PLNT</v>
          </cell>
          <cell r="L2143" t="str">
            <v>PLNT</v>
          </cell>
        </row>
        <row r="2144">
          <cell r="B2144" t="str">
            <v>I-SG</v>
          </cell>
          <cell r="C2144" t="str">
            <v>I-SG</v>
          </cell>
          <cell r="D2144" t="str">
            <v>I-SG</v>
          </cell>
          <cell r="E2144" t="str">
            <v>I-SG</v>
          </cell>
          <cell r="F2144" t="str">
            <v>I-SG</v>
          </cell>
          <cell r="H2144" t="str">
            <v>PLNT</v>
          </cell>
          <cell r="I2144" t="str">
            <v>PLNT</v>
          </cell>
          <cell r="J2144" t="str">
            <v>PLNT</v>
          </cell>
          <cell r="K2144" t="str">
            <v>PLNT</v>
          </cell>
          <cell r="L2144" t="str">
            <v>PLNT</v>
          </cell>
        </row>
        <row r="2145">
          <cell r="B2145" t="str">
            <v>P</v>
          </cell>
          <cell r="C2145" t="str">
            <v>P</v>
          </cell>
          <cell r="D2145" t="str">
            <v>P</v>
          </cell>
          <cell r="E2145" t="str">
            <v>P</v>
          </cell>
          <cell r="F2145" t="str">
            <v>P</v>
          </cell>
          <cell r="H2145" t="str">
            <v>PLNT</v>
          </cell>
          <cell r="I2145" t="str">
            <v>PLNT</v>
          </cell>
          <cell r="J2145" t="str">
            <v>PLNT</v>
          </cell>
          <cell r="K2145" t="str">
            <v>PLNT</v>
          </cell>
          <cell r="L2145" t="str">
            <v>PLNT</v>
          </cell>
        </row>
        <row r="2146">
          <cell r="B2146" t="str">
            <v>PTD</v>
          </cell>
          <cell r="C2146" t="str">
            <v>PTD</v>
          </cell>
          <cell r="D2146" t="str">
            <v>PTD</v>
          </cell>
          <cell r="E2146" t="str">
            <v>PTD</v>
          </cell>
          <cell r="F2146" t="str">
            <v>PTD</v>
          </cell>
          <cell r="H2146" t="str">
            <v>PLNT</v>
          </cell>
          <cell r="I2146" t="str">
            <v>PLNT</v>
          </cell>
          <cell r="J2146" t="str">
            <v>PLNT</v>
          </cell>
          <cell r="K2146" t="str">
            <v>PLNT</v>
          </cell>
          <cell r="L2146" t="str">
            <v>PLNT</v>
          </cell>
        </row>
        <row r="2149">
          <cell r="B2149" t="str">
            <v>NUTIL</v>
          </cell>
          <cell r="C2149" t="str">
            <v>NUTIL</v>
          </cell>
          <cell r="D2149" t="str">
            <v>NUTIL</v>
          </cell>
          <cell r="E2149" t="str">
            <v>NUTIL</v>
          </cell>
          <cell r="F2149" t="str">
            <v>NUTIL</v>
          </cell>
        </row>
        <row r="2153">
          <cell r="B2153" t="str">
            <v>PTD</v>
          </cell>
          <cell r="C2153" t="str">
            <v>PTD</v>
          </cell>
          <cell r="D2153" t="str">
            <v>PTD</v>
          </cell>
          <cell r="E2153" t="str">
            <v>PTD</v>
          </cell>
          <cell r="F2153" t="str">
            <v>PTD</v>
          </cell>
          <cell r="H2153" t="str">
            <v>PLNT</v>
          </cell>
          <cell r="I2153" t="str">
            <v>PLNT</v>
          </cell>
          <cell r="J2153" t="str">
            <v>PLNT</v>
          </cell>
          <cell r="K2153" t="str">
            <v>PLNT</v>
          </cell>
          <cell r="L2153" t="str">
            <v>PLNT</v>
          </cell>
        </row>
        <row r="2154">
          <cell r="B2154" t="str">
            <v>G-SITUS</v>
          </cell>
          <cell r="C2154" t="str">
            <v>G-SITUS</v>
          </cell>
          <cell r="D2154" t="str">
            <v>G-SITUS</v>
          </cell>
          <cell r="E2154" t="str">
            <v>G-SITUS</v>
          </cell>
          <cell r="F2154" t="str">
            <v>G-SITUS</v>
          </cell>
          <cell r="H2154" t="str">
            <v>PLNT</v>
          </cell>
          <cell r="I2154" t="str">
            <v>PLNT</v>
          </cell>
          <cell r="J2154" t="str">
            <v>PLNT</v>
          </cell>
          <cell r="K2154" t="str">
            <v>PLNT</v>
          </cell>
          <cell r="L2154" t="str">
            <v>PLNT</v>
          </cell>
        </row>
        <row r="2155">
          <cell r="B2155" t="str">
            <v>PTD</v>
          </cell>
          <cell r="C2155" t="str">
            <v>PTD</v>
          </cell>
          <cell r="D2155" t="str">
            <v>PTD</v>
          </cell>
          <cell r="E2155" t="str">
            <v>PTD</v>
          </cell>
          <cell r="F2155" t="str">
            <v>PTD</v>
          </cell>
          <cell r="H2155" t="str">
            <v>PLNT</v>
          </cell>
          <cell r="I2155" t="str">
            <v>PLNT</v>
          </cell>
          <cell r="J2155" t="str">
            <v>PLNT</v>
          </cell>
          <cell r="K2155" t="str">
            <v>PLNT</v>
          </cell>
          <cell r="L2155" t="str">
            <v>PLNT</v>
          </cell>
        </row>
      </sheetData>
      <sheetData sheetId="34">
        <row r="10">
          <cell r="B10" t="str">
            <v>Generation</v>
          </cell>
          <cell r="C10" t="str">
            <v>Transmission</v>
          </cell>
          <cell r="D10" t="str">
            <v>Distribution</v>
          </cell>
          <cell r="E10" t="str">
            <v>Customer</v>
          </cell>
          <cell r="F10" t="str">
            <v>Common</v>
          </cell>
          <cell r="G10" t="str">
            <v>TOT</v>
          </cell>
        </row>
        <row r="11">
          <cell r="A11" t="str">
            <v>ACCMDIT</v>
          </cell>
          <cell r="B11">
            <v>0.48957775195825809</v>
          </cell>
          <cell r="C11">
            <v>0.25916426304393436</v>
          </cell>
          <cell r="D11">
            <v>0.25052913014522121</v>
          </cell>
          <cell r="E11">
            <v>7.2885485258627396E-4</v>
          </cell>
          <cell r="F11">
            <v>0</v>
          </cell>
          <cell r="G11">
            <v>0.99999999999999989</v>
          </cell>
        </row>
        <row r="12">
          <cell r="A12" t="str">
            <v>BOOKDEPR</v>
          </cell>
          <cell r="B12">
            <v>0.60234129712751361</v>
          </cell>
          <cell r="C12">
            <v>0.16398963153322593</v>
          </cell>
          <cell r="D12">
            <v>0.23218204758136782</v>
          </cell>
          <cell r="E12">
            <v>1.4870237578926734E-3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0.99892817890970409</v>
          </cell>
          <cell r="C15">
            <v>5.7817611722337771E-2</v>
          </cell>
          <cell r="D15">
            <v>0.31709950266222642</v>
          </cell>
          <cell r="E15">
            <v>-0.37968683892949606</v>
          </cell>
          <cell r="F15">
            <v>5.8415456352276874E-3</v>
          </cell>
          <cell r="G15">
            <v>0.99999999999999978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0.4028162177397816</v>
          </cell>
          <cell r="C17">
            <v>7.6722554164325926E-2</v>
          </cell>
          <cell r="D17">
            <v>0.28290906169609503</v>
          </cell>
          <cell r="E17">
            <v>0.12045549073824321</v>
          </cell>
          <cell r="F17">
            <v>0.11709667566155414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DEFSG</v>
          </cell>
          <cell r="B19">
            <v>0.83640102745600842</v>
          </cell>
          <cell r="C19">
            <v>0.16359897254399164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COMMON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0.5039659548614267</v>
          </cell>
          <cell r="C23">
            <v>0.49603404513857335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0.21249991655715922</v>
          </cell>
          <cell r="C24">
            <v>0.35285672896315307</v>
          </cell>
          <cell r="D24">
            <v>0.42023616439400902</v>
          </cell>
          <cell r="E24">
            <v>1.4407190085678622E-2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0.66150158807380643</v>
          </cell>
          <cell r="C25">
            <v>0.33849841192619368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0.66150158807380643</v>
          </cell>
          <cell r="C26">
            <v>0.33849841192619368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0.47257293179736909</v>
          </cell>
          <cell r="C27">
            <v>0.2480047855515477</v>
          </cell>
          <cell r="D27">
            <v>0.27258888162029649</v>
          </cell>
          <cell r="E27">
            <v>6.8334010307866894E-3</v>
          </cell>
          <cell r="F27">
            <v>0</v>
          </cell>
          <cell r="G27">
            <v>0.99999999999999989</v>
          </cell>
        </row>
        <row r="28">
          <cell r="A28" t="str">
            <v>G-SG</v>
          </cell>
          <cell r="B28">
            <v>0.41520717416269698</v>
          </cell>
          <cell r="C28">
            <v>0.58479282583730308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0.30584193030238616</v>
          </cell>
          <cell r="D29">
            <v>0.69415806969761396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0.37925153315718207</v>
          </cell>
          <cell r="C30">
            <v>0.12915011933279472</v>
          </cell>
          <cell r="D30">
            <v>9.7219825876935034E-2</v>
          </cell>
          <cell r="E30">
            <v>0.1974764268033545</v>
          </cell>
          <cell r="F30">
            <v>0.19690209482973356</v>
          </cell>
          <cell r="G30">
            <v>0.99999999999999989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0.83342518698501189</v>
          </cell>
          <cell r="C33">
            <v>0.16657481301498811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3.1996672282594778</v>
          </cell>
          <cell r="C34">
            <v>-1.3175885101434937</v>
          </cell>
          <cell r="D34">
            <v>-0.88207871811598393</v>
          </cell>
          <cell r="E34">
            <v>0</v>
          </cell>
          <cell r="F34">
            <v>0</v>
          </cell>
          <cell r="G34">
            <v>1.0000000000000002</v>
          </cell>
        </row>
        <row r="35">
          <cell r="A35" t="str">
            <v>LABOR</v>
          </cell>
          <cell r="B35">
            <v>0.40374068006387048</v>
          </cell>
          <cell r="C35">
            <v>7.601625700893419E-2</v>
          </cell>
          <cell r="D35">
            <v>0.26680973951410497</v>
          </cell>
          <cell r="E35">
            <v>0.12850834325699395</v>
          </cell>
          <cell r="F35">
            <v>0.12492498015609642</v>
          </cell>
          <cell r="G35">
            <v>1</v>
          </cell>
        </row>
        <row r="36">
          <cell r="A36" t="str">
            <v>MSS</v>
          </cell>
          <cell r="B36">
            <v>0.86792897872630492</v>
          </cell>
          <cell r="C36">
            <v>4.474655146177238E-3</v>
          </cell>
          <cell r="D36">
            <v>0.12759636612751779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NONE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NUTIL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OTHDGP</v>
          </cell>
          <cell r="B39">
            <v>0.17767616630527819</v>
          </cell>
          <cell r="C39">
            <v>0.82232383369472184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OTHDGU</v>
          </cell>
          <cell r="B40">
            <v>0.17767616630527819</v>
          </cell>
          <cell r="C40">
            <v>0.82232383369472184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OTHSE</v>
          </cell>
          <cell r="B41">
            <v>0</v>
          </cell>
          <cell r="C41">
            <v>1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OTHSG</v>
          </cell>
          <cell r="B42">
            <v>0.17767616630527819</v>
          </cell>
          <cell r="C42">
            <v>0.82232383369472184</v>
          </cell>
          <cell r="D42">
            <v>0</v>
          </cell>
          <cell r="E42">
            <v>0</v>
          </cell>
          <cell r="F42">
            <v>0</v>
          </cell>
          <cell r="G42">
            <v>1</v>
          </cell>
        </row>
        <row r="43">
          <cell r="A43" t="str">
            <v>OTHSGR</v>
          </cell>
          <cell r="B43">
            <v>0.17767616630527819</v>
          </cell>
          <cell r="C43">
            <v>0.82232383369472184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</row>
        <row r="44">
          <cell r="A44" t="str">
            <v>OTHSITUS</v>
          </cell>
          <cell r="B44">
            <v>-4.1067990691210088E-2</v>
          </cell>
          <cell r="C44">
            <v>1.0410679906912101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OTHSO</v>
          </cell>
          <cell r="B45">
            <v>0.48163253328475958</v>
          </cell>
          <cell r="C45">
            <v>0.24645722788130284</v>
          </cell>
          <cell r="D45">
            <v>0.2719102388339375</v>
          </cell>
          <cell r="E45">
            <v>0</v>
          </cell>
          <cell r="F45">
            <v>0</v>
          </cell>
          <cell r="G45">
            <v>0.99999999999999989</v>
          </cell>
        </row>
        <row r="46">
          <cell r="A46" t="str">
            <v>P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</v>
          </cell>
          <cell r="B47">
            <v>0.44290794849571818</v>
          </cell>
          <cell r="C47">
            <v>0.21721973304783168</v>
          </cell>
          <cell r="D47">
            <v>0.32875659700412879</v>
          </cell>
          <cell r="E47">
            <v>8.5266299796286169E-3</v>
          </cell>
          <cell r="F47">
            <v>2.5890914726928063E-3</v>
          </cell>
          <cell r="G47">
            <v>1</v>
          </cell>
        </row>
        <row r="48">
          <cell r="A48" t="str">
            <v>SCHMAF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SCHMAP</v>
          </cell>
          <cell r="B49">
            <v>0.77048510177866869</v>
          </cell>
          <cell r="C49">
            <v>2.9260529617282923E-2</v>
          </cell>
          <cell r="D49">
            <v>0.10270164031247228</v>
          </cell>
          <cell r="E49">
            <v>4.9466026504005493E-2</v>
          </cell>
          <cell r="F49">
            <v>4.8086701787570588E-2</v>
          </cell>
          <cell r="G49">
            <v>0.99999999999999989</v>
          </cell>
        </row>
        <row r="50">
          <cell r="A50" t="str">
            <v>SCHMAP-SO</v>
          </cell>
          <cell r="B50">
            <v>0.7848556923320037</v>
          </cell>
          <cell r="C50">
            <v>2.7428443361608983E-2</v>
          </cell>
          <cell r="D50">
            <v>9.627119403850902E-2</v>
          </cell>
          <cell r="E50">
            <v>4.6368815740354022E-2</v>
          </cell>
          <cell r="F50">
            <v>4.5075854527524294E-2</v>
          </cell>
          <cell r="G50">
            <v>1</v>
          </cell>
        </row>
        <row r="51">
          <cell r="A51" t="str">
            <v>SCHMAT</v>
          </cell>
          <cell r="B51">
            <v>0.44221134832536801</v>
          </cell>
          <cell r="C51">
            <v>0.21761943251348859</v>
          </cell>
          <cell r="D51">
            <v>0.32923730794432032</v>
          </cell>
          <cell r="E51">
            <v>8.4395714338567126E-3</v>
          </cell>
          <cell r="F51">
            <v>2.4923397829664661E-3</v>
          </cell>
          <cell r="G51">
            <v>1</v>
          </cell>
        </row>
        <row r="52">
          <cell r="A52" t="str">
            <v>SCHMAT-GPS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SCHMAT-SE</v>
          </cell>
          <cell r="B53">
            <v>0.99998712814754276</v>
          </cell>
          <cell r="C53">
            <v>1.6410142564951978E-6</v>
          </cell>
          <cell r="D53">
            <v>5.7598019626638176E-6</v>
          </cell>
          <cell r="E53">
            <v>2.7741963582674212E-6</v>
          </cell>
          <cell r="F53">
            <v>2.6968398799804077E-6</v>
          </cell>
          <cell r="G53">
            <v>1.0000000000000002</v>
          </cell>
        </row>
        <row r="54">
          <cell r="A54" t="str">
            <v>SCHMAT-SITUS</v>
          </cell>
          <cell r="B54">
            <v>1.912737346730389</v>
          </cell>
          <cell r="C54">
            <v>-0.31224367602071079</v>
          </cell>
          <cell r="D54">
            <v>-0.59137612313542931</v>
          </cell>
          <cell r="E54">
            <v>-4.6232315370133359E-3</v>
          </cell>
          <cell r="F54">
            <v>-4.4943160372351706E-3</v>
          </cell>
          <cell r="G54">
            <v>1.0000000000000002</v>
          </cell>
        </row>
        <row r="55">
          <cell r="A55" t="str">
            <v>SCHMAT-SNP</v>
          </cell>
          <cell r="B55">
            <v>0.48150590051014114</v>
          </cell>
          <cell r="C55">
            <v>0.24647885924355842</v>
          </cell>
          <cell r="D55">
            <v>0.2719197247278955</v>
          </cell>
          <cell r="E55">
            <v>9.5515518404740735E-5</v>
          </cell>
          <cell r="F55">
            <v>0</v>
          </cell>
          <cell r="G55">
            <v>0.99999999999999978</v>
          </cell>
        </row>
        <row r="56">
          <cell r="A56" t="str">
            <v>SCHMAT-SO</v>
          </cell>
          <cell r="B56">
            <v>0.40434735908850228</v>
          </cell>
          <cell r="C56">
            <v>7.7343776610668602E-2</v>
          </cell>
          <cell r="D56">
            <v>0.26684946595306536</v>
          </cell>
          <cell r="E56">
            <v>0.12750742579104132</v>
          </cell>
          <cell r="F56">
            <v>0.12395197255672238</v>
          </cell>
          <cell r="G56">
            <v>1</v>
          </cell>
        </row>
        <row r="57">
          <cell r="A57" t="str">
            <v>SCHMD</v>
          </cell>
          <cell r="B57">
            <v>0.56168484201931601</v>
          </cell>
          <cell r="C57">
            <v>0.2022802600028939</v>
          </cell>
          <cell r="D57">
            <v>0.22472605183871322</v>
          </cell>
          <cell r="E57">
            <v>8.737718596395298E-3</v>
          </cell>
          <cell r="F57">
            <v>2.5711275426813854E-3</v>
          </cell>
          <cell r="G57">
            <v>0.99999999999999978</v>
          </cell>
        </row>
        <row r="58">
          <cell r="A58" t="str">
            <v>SCHMDF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</v>
          </cell>
        </row>
        <row r="59">
          <cell r="A59" t="str">
            <v>SCHMDP</v>
          </cell>
          <cell r="B59">
            <v>0.49891259385918429</v>
          </cell>
          <cell r="C59">
            <v>0.28426901665317961</v>
          </cell>
          <cell r="D59">
            <v>0.27304176842993483</v>
          </cell>
          <cell r="E59">
            <v>-2.8509168340140188E-2</v>
          </cell>
          <cell r="F59">
            <v>-2.7714210602158656E-2</v>
          </cell>
          <cell r="G59">
            <v>1</v>
          </cell>
        </row>
        <row r="60">
          <cell r="A60" t="str">
            <v>SCHMDP-SO</v>
          </cell>
          <cell r="B60" t="str">
            <v xml:space="preserve"> </v>
          </cell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 t="str">
            <v xml:space="preserve"> </v>
          </cell>
          <cell r="G60">
            <v>0</v>
          </cell>
        </row>
        <row r="61">
          <cell r="A61" t="str">
            <v>SCHMDT</v>
          </cell>
          <cell r="B61">
            <v>0.56169046239423281</v>
          </cell>
          <cell r="C61">
            <v>0.2022729190590081</v>
          </cell>
          <cell r="D61">
            <v>0.22472172584355496</v>
          </cell>
          <cell r="E61">
            <v>8.741053533014586E-3</v>
          </cell>
          <cell r="F61">
            <v>2.5738391701894451E-3</v>
          </cell>
          <cell r="G61">
            <v>1</v>
          </cell>
        </row>
        <row r="62">
          <cell r="A62" t="str">
            <v>SCHMDT-GPS</v>
          </cell>
          <cell r="B62">
            <v>0.48163253328475963</v>
          </cell>
          <cell r="C62">
            <v>0.24645722788130286</v>
          </cell>
          <cell r="D62">
            <v>0.2719102388339375</v>
          </cell>
          <cell r="E62">
            <v>0</v>
          </cell>
          <cell r="F62">
            <v>0</v>
          </cell>
          <cell r="G62">
            <v>1</v>
          </cell>
        </row>
        <row r="63">
          <cell r="A63" t="str">
            <v>SCHMDT-SG</v>
          </cell>
          <cell r="B63">
            <v>1.0104536174352028</v>
          </cell>
          <cell r="C63">
            <v>-1.0453617435202747E-2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SCHMDT-SITUS</v>
          </cell>
          <cell r="B64">
            <v>1.2150495447371918</v>
          </cell>
          <cell r="C64">
            <v>3.1461811165058737E-2</v>
          </cell>
          <cell r="D64">
            <v>5.8537764971097417E-2</v>
          </cell>
          <cell r="E64">
            <v>-0.24314897887738771</v>
          </cell>
          <cell r="F64">
            <v>-6.1900141995960306E-2</v>
          </cell>
          <cell r="G64">
            <v>0.99999999999999989</v>
          </cell>
        </row>
        <row r="65">
          <cell r="A65" t="str">
            <v>SCHMDT-SNP</v>
          </cell>
          <cell r="B65">
            <v>0.48163253328475958</v>
          </cell>
          <cell r="C65">
            <v>0.24645722788130284</v>
          </cell>
          <cell r="D65">
            <v>0.2719102388339375</v>
          </cell>
          <cell r="E65">
            <v>0</v>
          </cell>
          <cell r="F65">
            <v>0</v>
          </cell>
          <cell r="G65">
            <v>0.99999999999999989</v>
          </cell>
        </row>
        <row r="66">
          <cell r="A66" t="str">
            <v>SCHMDT-SO</v>
          </cell>
          <cell r="B66">
            <v>0.4104805366529094</v>
          </cell>
          <cell r="C66">
            <v>0.11671191674891901</v>
          </cell>
          <cell r="D66">
            <v>0.29522694930176102</v>
          </cell>
          <cell r="E66">
            <v>9.0918630479312326E-2</v>
          </cell>
          <cell r="F66">
            <v>8.6661966817098202E-2</v>
          </cell>
          <cell r="G66">
            <v>1</v>
          </cell>
        </row>
        <row r="67">
          <cell r="A67" t="str">
            <v>T</v>
          </cell>
          <cell r="B67">
            <v>0</v>
          </cell>
          <cell r="C67">
            <v>1</v>
          </cell>
          <cell r="D67">
            <v>0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TAXDEPR</v>
          </cell>
          <cell r="B68">
            <v>0.44570887564486761</v>
          </cell>
          <cell r="C68">
            <v>0.26188623774335446</v>
          </cell>
          <cell r="D68">
            <v>0.28234162671178875</v>
          </cell>
          <cell r="E68">
            <v>1.0063259899989269E-2</v>
          </cell>
          <cell r="F68">
            <v>0</v>
          </cell>
          <cell r="G68">
            <v>1.0000000000000002</v>
          </cell>
        </row>
        <row r="69">
          <cell r="A69" t="str">
            <v>TD</v>
          </cell>
          <cell r="B69">
            <v>0</v>
          </cell>
          <cell r="C69">
            <v>0.47544887306110878</v>
          </cell>
          <cell r="D69">
            <v>0.52455112693889117</v>
          </cell>
          <cell r="E69">
            <v>0</v>
          </cell>
          <cell r="F69">
            <v>0</v>
          </cell>
          <cell r="G69">
            <v>1</v>
          </cell>
        </row>
        <row r="70">
          <cell r="A70" t="str">
            <v>CWC</v>
          </cell>
          <cell r="B70">
            <v>0.6899723830164648</v>
          </cell>
          <cell r="C70">
            <v>0.12768145866595498</v>
          </cell>
          <cell r="D70">
            <v>9.4523546925751142E-2</v>
          </cell>
          <cell r="E70">
            <v>4.1276378368402103E-2</v>
          </cell>
          <cell r="F70">
            <v>4.654623302635421E-2</v>
          </cell>
          <cell r="G70">
            <v>1.0000000000029272</v>
          </cell>
        </row>
        <row r="71">
          <cell r="A71" t="str">
            <v>CSDSM</v>
          </cell>
          <cell r="B71">
            <v>1.2191033263518673E-2</v>
          </cell>
          <cell r="C71">
            <v>0</v>
          </cell>
          <cell r="D71">
            <v>0</v>
          </cell>
          <cell r="E71">
            <v>0.98780896673648133</v>
          </cell>
          <cell r="F71">
            <v>0</v>
          </cell>
          <cell r="G71">
            <v>1</v>
          </cell>
        </row>
        <row r="72">
          <cell r="A72" t="str">
            <v>DITEXP</v>
          </cell>
          <cell r="G72">
            <v>0</v>
          </cell>
        </row>
        <row r="73">
          <cell r="A73" t="str">
            <v>FIT</v>
          </cell>
          <cell r="B73">
            <v>0.33241595538836471</v>
          </cell>
          <cell r="C73">
            <v>0.74322701683995984</v>
          </cell>
          <cell r="D73">
            <v>-0.13721434455744544</v>
          </cell>
          <cell r="E73">
            <v>-5.7077302874761635E-2</v>
          </cell>
          <cell r="F73">
            <v>0.11864867535773564</v>
          </cell>
          <cell r="G73">
            <v>1.0000000001538532</v>
          </cell>
        </row>
        <row r="74">
          <cell r="A74" t="str">
            <v>IBT</v>
          </cell>
          <cell r="B74">
            <v>0.86791331163099805</v>
          </cell>
          <cell r="C74">
            <v>0.14705323794530309</v>
          </cell>
          <cell r="D74">
            <v>-2.7148923818063716E-2</v>
          </cell>
          <cell r="E74">
            <v>-1.1293187694663444E-2</v>
          </cell>
          <cell r="F74">
            <v>2.3475561966866912E-2</v>
          </cell>
          <cell r="G74">
            <v>1.000000000030441</v>
          </cell>
        </row>
        <row r="75">
          <cell r="A75" t="str">
            <v>PT</v>
          </cell>
          <cell r="B75">
            <v>0.70650930649090682</v>
          </cell>
          <cell r="C75">
            <v>0.29349069350909324</v>
          </cell>
          <cell r="G75">
            <v>1</v>
          </cell>
        </row>
        <row r="76">
          <cell r="A76" t="str">
            <v>PTD</v>
          </cell>
          <cell r="B76">
            <v>0.4896511371316456</v>
          </cell>
          <cell r="C76">
            <v>0.20340574496895517</v>
          </cell>
          <cell r="D76">
            <v>0.30694311789939932</v>
          </cell>
          <cell r="G76">
            <v>1</v>
          </cell>
        </row>
        <row r="77">
          <cell r="A77" t="str">
            <v>REVREQ</v>
          </cell>
          <cell r="B77">
            <v>0.65032200246887195</v>
          </cell>
          <cell r="C77">
            <v>0.17530935874103729</v>
          </cell>
          <cell r="D77">
            <v>0.12315171272775641</v>
          </cell>
          <cell r="E77">
            <v>2.2954255021409926E-2</v>
          </cell>
          <cell r="F77">
            <v>2.8262671042423651E-2</v>
          </cell>
          <cell r="G77">
            <v>1.0000000000014992</v>
          </cell>
        </row>
        <row r="78">
          <cell r="A78" t="str">
            <v>SIT</v>
          </cell>
          <cell r="B78">
            <v>0.2</v>
          </cell>
          <cell r="C78">
            <v>0.2</v>
          </cell>
          <cell r="D78">
            <v>0.2</v>
          </cell>
          <cell r="E78">
            <v>0.2</v>
          </cell>
          <cell r="F78">
            <v>0.2</v>
          </cell>
          <cell r="G78">
            <v>1</v>
          </cell>
        </row>
      </sheetData>
      <sheetData sheetId="35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METER</v>
          </cell>
          <cell r="F11" t="str">
            <v>DIS
SERVICE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0.14941826714778458</v>
          </cell>
          <cell r="C19">
            <v>0.46837745904104711</v>
          </cell>
          <cell r="D19">
            <v>0.22544940386945578</v>
          </cell>
          <cell r="E19">
            <v>2.6416741534185838E-2</v>
          </cell>
          <cell r="F19">
            <v>0.13033812840752665</v>
          </cell>
        </row>
        <row r="20">
          <cell r="A20" t="str">
            <v>PLNT2</v>
          </cell>
          <cell r="B20">
            <v>0.2418570747802718</v>
          </cell>
          <cell r="C20">
            <v>0.75814292521972826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8.2598973477112356E-2</v>
          </cell>
          <cell r="C21">
            <v>0.87200603377281161</v>
          </cell>
          <cell r="D21">
            <v>7.3099558397683772E-3</v>
          </cell>
          <cell r="E21">
            <v>3.808503691030779E-2</v>
          </cell>
          <cell r="F21">
            <v>0</v>
          </cell>
        </row>
        <row r="22">
          <cell r="A22" t="str">
            <v>INTN</v>
          </cell>
          <cell r="B22">
            <v>0.14941826714778456</v>
          </cell>
          <cell r="C22">
            <v>0.46837745904104705</v>
          </cell>
          <cell r="D22">
            <v>0.22544940386945578</v>
          </cell>
          <cell r="E22">
            <v>2.6416741534185835E-2</v>
          </cell>
          <cell r="F22">
            <v>0.13033812840752665</v>
          </cell>
        </row>
        <row r="23">
          <cell r="A23" t="str">
            <v>GENL</v>
          </cell>
          <cell r="B23">
            <v>0.14941826714778458</v>
          </cell>
          <cell r="C23">
            <v>0.46837745904104711</v>
          </cell>
          <cell r="D23">
            <v>0.22544940386945578</v>
          </cell>
          <cell r="E23">
            <v>2.6416741534185838E-2</v>
          </cell>
          <cell r="F23">
            <v>0.13033812840752665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0.21756380014900453</v>
          </cell>
          <cell r="C25">
            <v>0.41580752769532542</v>
          </cell>
          <cell r="D25">
            <v>0.19728238504129475</v>
          </cell>
          <cell r="E25">
            <v>2.9899138281675956E-2</v>
          </cell>
          <cell r="F25">
            <v>0.13944714883269951</v>
          </cell>
        </row>
      </sheetData>
      <sheetData sheetId="36">
        <row r="3">
          <cell r="D3" t="str">
            <v>Commission</v>
          </cell>
          <cell r="E3" t="str">
            <v>MSP</v>
          </cell>
          <cell r="F3" t="str">
            <v>WCA</v>
          </cell>
          <cell r="G3" t="str">
            <v>Option-4</v>
          </cell>
        </row>
        <row r="4">
          <cell r="D4" t="str">
            <v xml:space="preserve">Peak Credit </v>
          </cell>
          <cell r="E4" t="str">
            <v>Option</v>
          </cell>
          <cell r="F4" t="str">
            <v>Method</v>
          </cell>
          <cell r="G4" t="str">
            <v>(Undefined)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F10</v>
          </cell>
          <cell r="E11" t="str">
            <v>F30</v>
          </cell>
          <cell r="F11" t="str">
            <v>F10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F10</v>
          </cell>
          <cell r="E24" t="str">
            <v>F30</v>
          </cell>
          <cell r="F24" t="str">
            <v>F10</v>
          </cell>
          <cell r="G24" t="str">
            <v>F30</v>
          </cell>
        </row>
        <row r="28">
          <cell r="D28" t="str">
            <v>F10</v>
          </cell>
          <cell r="E28" t="str">
            <v>F30</v>
          </cell>
          <cell r="F28" t="str">
            <v>F10</v>
          </cell>
          <cell r="G28" t="str">
            <v>F30</v>
          </cell>
        </row>
        <row r="29">
          <cell r="D29" t="str">
            <v>F10</v>
          </cell>
          <cell r="E29" t="str">
            <v>F30</v>
          </cell>
          <cell r="F29" t="str">
            <v>F10</v>
          </cell>
          <cell r="G29" t="str">
            <v>F30</v>
          </cell>
        </row>
        <row r="32">
          <cell r="D32" t="str">
            <v>F11</v>
          </cell>
          <cell r="E32" t="str">
            <v>F11</v>
          </cell>
          <cell r="F32" t="str">
            <v>F11</v>
          </cell>
          <cell r="G32" t="str">
            <v>F11</v>
          </cell>
        </row>
        <row r="33">
          <cell r="D33" t="str">
            <v>F10</v>
          </cell>
          <cell r="E33" t="str">
            <v>F10</v>
          </cell>
          <cell r="F33" t="str">
            <v>F10</v>
          </cell>
          <cell r="G33" t="str">
            <v>F10</v>
          </cell>
        </row>
        <row r="35">
          <cell r="D35" t="str">
            <v>F140x</v>
          </cell>
          <cell r="E35" t="str">
            <v>F140x</v>
          </cell>
          <cell r="F35" t="str">
            <v>F140x</v>
          </cell>
          <cell r="G35" t="str">
            <v>F140x</v>
          </cell>
        </row>
        <row r="37">
          <cell r="D37" t="str">
            <v>A</v>
          </cell>
          <cell r="E37" t="str">
            <v>A</v>
          </cell>
          <cell r="F37" t="str">
            <v>A</v>
          </cell>
          <cell r="G37" t="str">
            <v>A</v>
          </cell>
        </row>
        <row r="42">
          <cell r="D42" t="str">
            <v>A</v>
          </cell>
          <cell r="E42" t="str">
            <v>A</v>
          </cell>
          <cell r="F42" t="str">
            <v>A</v>
          </cell>
          <cell r="G42" t="str">
            <v>A</v>
          </cell>
        </row>
        <row r="43">
          <cell r="D43" t="str">
            <v>F40</v>
          </cell>
          <cell r="E43" t="str">
            <v>F40</v>
          </cell>
          <cell r="F43" t="str">
            <v>F40</v>
          </cell>
          <cell r="G43" t="str">
            <v>F40</v>
          </cell>
        </row>
        <row r="46">
          <cell r="D46" t="str">
            <v>A</v>
          </cell>
          <cell r="E46" t="str">
            <v>A</v>
          </cell>
          <cell r="F46" t="str">
            <v>A</v>
          </cell>
          <cell r="G46" t="str">
            <v>A</v>
          </cell>
        </row>
        <row r="47">
          <cell r="D47" t="str">
            <v>F10</v>
          </cell>
          <cell r="E47" t="str">
            <v>F10</v>
          </cell>
          <cell r="F47" t="str">
            <v>F10</v>
          </cell>
          <cell r="G47" t="str">
            <v>F10</v>
          </cell>
        </row>
        <row r="48">
          <cell r="D48" t="str">
            <v>F40</v>
          </cell>
          <cell r="E48" t="str">
            <v>F40</v>
          </cell>
          <cell r="F48" t="str">
            <v>F40</v>
          </cell>
          <cell r="G48" t="str">
            <v>F40</v>
          </cell>
        </row>
        <row r="51">
          <cell r="D51" t="str">
            <v>F10</v>
          </cell>
          <cell r="E51" t="str">
            <v>F10</v>
          </cell>
          <cell r="F51" t="str">
            <v>F12</v>
          </cell>
          <cell r="G51" t="str">
            <v>F10</v>
          </cell>
        </row>
        <row r="53">
          <cell r="D53" t="str">
            <v>A</v>
          </cell>
          <cell r="E53" t="str">
            <v>A</v>
          </cell>
          <cell r="F53" t="str">
            <v>A</v>
          </cell>
          <cell r="G53" t="str">
            <v>A</v>
          </cell>
        </row>
        <row r="54">
          <cell r="D54" t="str">
            <v>F10</v>
          </cell>
          <cell r="E54" t="str">
            <v>F10</v>
          </cell>
          <cell r="F54" t="str">
            <v>F10</v>
          </cell>
          <cell r="G54" t="str">
            <v>F10</v>
          </cell>
        </row>
        <row r="55">
          <cell r="D55" t="str">
            <v>F10</v>
          </cell>
          <cell r="E55" t="str">
            <v>F10</v>
          </cell>
          <cell r="F55" t="str">
            <v>F10</v>
          </cell>
          <cell r="G55" t="str">
            <v>F10</v>
          </cell>
        </row>
        <row r="56">
          <cell r="D56" t="str">
            <v>F10</v>
          </cell>
          <cell r="E56" t="str">
            <v>F10</v>
          </cell>
          <cell r="F56" t="str">
            <v>F10</v>
          </cell>
          <cell r="G56" t="str">
            <v>F10</v>
          </cell>
        </row>
        <row r="57">
          <cell r="D57" t="str">
            <v>F40</v>
          </cell>
          <cell r="E57" t="str">
            <v>F40</v>
          </cell>
          <cell r="F57" t="str">
            <v>F40</v>
          </cell>
          <cell r="G57" t="str">
            <v>F40</v>
          </cell>
        </row>
        <row r="60">
          <cell r="D60" t="str">
            <v>A</v>
          </cell>
          <cell r="E60" t="str">
            <v>A</v>
          </cell>
          <cell r="F60" t="str">
            <v>A</v>
          </cell>
          <cell r="G60" t="str">
            <v>A</v>
          </cell>
        </row>
        <row r="61">
          <cell r="D61" t="str">
            <v>F10</v>
          </cell>
          <cell r="E61" t="str">
            <v>F10</v>
          </cell>
          <cell r="F61" t="str">
            <v>F12</v>
          </cell>
          <cell r="G61" t="str">
            <v>F10</v>
          </cell>
        </row>
        <row r="62">
          <cell r="D62" t="str">
            <v>F10</v>
          </cell>
          <cell r="E62" t="str">
            <v>F10</v>
          </cell>
          <cell r="F62" t="str">
            <v>F12</v>
          </cell>
          <cell r="G62" t="str">
            <v>F10</v>
          </cell>
        </row>
        <row r="63">
          <cell r="D63" t="str">
            <v>F10</v>
          </cell>
          <cell r="E63" t="str">
            <v>F10</v>
          </cell>
          <cell r="F63" t="str">
            <v>F12</v>
          </cell>
          <cell r="G63" t="str">
            <v>F10</v>
          </cell>
        </row>
        <row r="64">
          <cell r="D64" t="str">
            <v>F40</v>
          </cell>
          <cell r="E64" t="str">
            <v>F40</v>
          </cell>
          <cell r="F64" t="str">
            <v>F40</v>
          </cell>
          <cell r="G64" t="str">
            <v>F40</v>
          </cell>
        </row>
        <row r="65">
          <cell r="D65" t="str">
            <v>F10</v>
          </cell>
          <cell r="E65" t="str">
            <v>F10</v>
          </cell>
          <cell r="F65" t="str">
            <v>F12</v>
          </cell>
          <cell r="G65" t="str">
            <v>F10</v>
          </cell>
        </row>
        <row r="66">
          <cell r="D66" t="str">
            <v>F10</v>
          </cell>
          <cell r="E66" t="str">
            <v>F10</v>
          </cell>
          <cell r="F66" t="str">
            <v>F12</v>
          </cell>
          <cell r="G66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F12</v>
          </cell>
          <cell r="G74" t="str">
            <v>F10</v>
          </cell>
        </row>
        <row r="75">
          <cell r="D75" t="str">
            <v>F10</v>
          </cell>
          <cell r="E75" t="str">
            <v>F10</v>
          </cell>
          <cell r="F75" t="str">
            <v>F12</v>
          </cell>
          <cell r="G75" t="str">
            <v>F10</v>
          </cell>
        </row>
        <row r="76">
          <cell r="D76" t="str">
            <v>F10</v>
          </cell>
          <cell r="E76" t="str">
            <v>F10</v>
          </cell>
          <cell r="F76" t="str">
            <v>F12</v>
          </cell>
          <cell r="G76" t="str">
            <v>F10</v>
          </cell>
        </row>
        <row r="77">
          <cell r="D77" t="str">
            <v>F10</v>
          </cell>
          <cell r="E77" t="str">
            <v>F10</v>
          </cell>
          <cell r="F77" t="str">
            <v>F12</v>
          </cell>
          <cell r="G77" t="str">
            <v>F10</v>
          </cell>
        </row>
        <row r="78">
          <cell r="D78" t="str">
            <v>F10</v>
          </cell>
          <cell r="E78" t="str">
            <v>F10</v>
          </cell>
          <cell r="F78" t="str">
            <v>F12</v>
          </cell>
          <cell r="G78" t="str">
            <v>F10</v>
          </cell>
        </row>
        <row r="79">
          <cell r="D79" t="str">
            <v>F10</v>
          </cell>
          <cell r="E79" t="str">
            <v>F10</v>
          </cell>
          <cell r="F79" t="str">
            <v>F12</v>
          </cell>
          <cell r="G79" t="str">
            <v>F10</v>
          </cell>
        </row>
        <row r="84">
          <cell r="D84" t="str">
            <v>F80</v>
          </cell>
          <cell r="E84" t="str">
            <v>F80</v>
          </cell>
          <cell r="F84" t="str">
            <v>F80</v>
          </cell>
          <cell r="G84" t="str">
            <v>F80</v>
          </cell>
        </row>
        <row r="91">
          <cell r="D91" t="str">
            <v>C</v>
          </cell>
          <cell r="E91" t="str">
            <v>C</v>
          </cell>
          <cell r="F91" t="str">
            <v>C</v>
          </cell>
          <cell r="G91" t="str">
            <v>C</v>
          </cell>
        </row>
        <row r="92">
          <cell r="D92" t="str">
            <v>COS
Factor</v>
          </cell>
          <cell r="E92" t="str">
            <v>COS
Factor</v>
          </cell>
          <cell r="F92" t="str">
            <v>COS
Factor</v>
          </cell>
          <cell r="G92" t="str">
            <v>COS
Factor</v>
          </cell>
        </row>
        <row r="93">
          <cell r="D93" t="str">
            <v>F10</v>
          </cell>
          <cell r="E93" t="str">
            <v>F10</v>
          </cell>
          <cell r="F93" t="str">
            <v>F10</v>
          </cell>
          <cell r="G93" t="str">
            <v>F10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F10</v>
          </cell>
          <cell r="E98" t="str">
            <v>F30</v>
          </cell>
          <cell r="F98" t="str">
            <v>F10</v>
          </cell>
          <cell r="G98" t="str">
            <v>F30</v>
          </cell>
        </row>
        <row r="99">
          <cell r="D99" t="str">
            <v>F10</v>
          </cell>
          <cell r="E99" t="str">
            <v>F32</v>
          </cell>
          <cell r="F99" t="str">
            <v>F10</v>
          </cell>
          <cell r="G99" t="str">
            <v>F30</v>
          </cell>
        </row>
        <row r="100">
          <cell r="D100" t="str">
            <v>F10</v>
          </cell>
          <cell r="E100" t="str">
            <v>F33</v>
          </cell>
          <cell r="F100" t="str">
            <v>F10</v>
          </cell>
          <cell r="G100" t="str">
            <v>F30</v>
          </cell>
        </row>
        <row r="101">
          <cell r="D101" t="str">
            <v>F10</v>
          </cell>
          <cell r="E101" t="str">
            <v>F33</v>
          </cell>
          <cell r="F101" t="str">
            <v>F10</v>
          </cell>
          <cell r="G101" t="str">
            <v>F30</v>
          </cell>
        </row>
        <row r="105">
          <cell r="D105" t="str">
            <v>F10</v>
          </cell>
          <cell r="E105" t="str">
            <v>F33</v>
          </cell>
          <cell r="F105" t="str">
            <v>F10</v>
          </cell>
          <cell r="G105" t="str">
            <v>F30</v>
          </cell>
        </row>
        <row r="106">
          <cell r="D106" t="str">
            <v>F10</v>
          </cell>
          <cell r="E106" t="str">
            <v>F33</v>
          </cell>
          <cell r="F106" t="str">
            <v>F10</v>
          </cell>
          <cell r="G106" t="str">
            <v>F30</v>
          </cell>
        </row>
        <row r="110">
          <cell r="D110" t="str">
            <v>F10</v>
          </cell>
          <cell r="E110" t="str">
            <v>F10</v>
          </cell>
          <cell r="F110" t="str">
            <v>F10</v>
          </cell>
          <cell r="G110" t="str">
            <v>F10</v>
          </cell>
        </row>
        <row r="111">
          <cell r="D111" t="str">
            <v>F10</v>
          </cell>
          <cell r="E111" t="str">
            <v>F10</v>
          </cell>
          <cell r="F111" t="str">
            <v>F10</v>
          </cell>
          <cell r="G111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F10</v>
          </cell>
          <cell r="E118" t="str">
            <v>F10</v>
          </cell>
          <cell r="F118" t="str">
            <v>F10</v>
          </cell>
          <cell r="G118" t="str">
            <v>F10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F30</v>
          </cell>
          <cell r="F127" t="str">
            <v>F10</v>
          </cell>
          <cell r="G127" t="str">
            <v>F30</v>
          </cell>
        </row>
        <row r="128">
          <cell r="D128" t="str">
            <v>F10</v>
          </cell>
          <cell r="E128" t="str">
            <v>F10</v>
          </cell>
          <cell r="F128" t="str">
            <v>F10</v>
          </cell>
          <cell r="G128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2">
          <cell r="D132" t="str">
            <v>F10</v>
          </cell>
          <cell r="E132" t="str">
            <v>F10</v>
          </cell>
          <cell r="F132" t="str">
            <v>F10</v>
          </cell>
          <cell r="G132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6">
          <cell r="D136" t="str">
            <v>F10</v>
          </cell>
          <cell r="E136" t="str">
            <v>F10</v>
          </cell>
          <cell r="F136" t="str">
            <v>F10</v>
          </cell>
          <cell r="G136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0">
          <cell r="D140" t="str">
            <v>F10</v>
          </cell>
          <cell r="E140" t="str">
            <v>F10</v>
          </cell>
          <cell r="F140" t="str">
            <v>F10</v>
          </cell>
          <cell r="G140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44">
          <cell r="D144" t="str">
            <v>F10</v>
          </cell>
          <cell r="E144" t="str">
            <v>F10</v>
          </cell>
          <cell r="F144" t="str">
            <v>F10</v>
          </cell>
          <cell r="G144" t="str">
            <v>F10</v>
          </cell>
        </row>
        <row r="145">
          <cell r="D145" t="str">
            <v>F10</v>
          </cell>
          <cell r="E145" t="str">
            <v>F10</v>
          </cell>
          <cell r="F145" t="str">
            <v>F10</v>
          </cell>
          <cell r="G145" t="str">
            <v>F10</v>
          </cell>
        </row>
        <row r="148">
          <cell r="D148" t="str">
            <v>F10</v>
          </cell>
          <cell r="E148" t="str">
            <v>F10</v>
          </cell>
          <cell r="F148" t="str">
            <v>F10</v>
          </cell>
          <cell r="G148" t="str">
            <v>F10</v>
          </cell>
        </row>
        <row r="149">
          <cell r="D149" t="str">
            <v>F10</v>
          </cell>
          <cell r="E149" t="str">
            <v>F10</v>
          </cell>
          <cell r="F149" t="str">
            <v>F10</v>
          </cell>
          <cell r="G149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3">
          <cell r="D153" t="str">
            <v>F10</v>
          </cell>
          <cell r="E153" t="str">
            <v>F10</v>
          </cell>
          <cell r="F153" t="str">
            <v>F10</v>
          </cell>
          <cell r="G153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F30</v>
          </cell>
          <cell r="E164" t="str">
            <v>F30</v>
          </cell>
          <cell r="F164" t="str">
            <v>F10</v>
          </cell>
          <cell r="G164" t="str">
            <v>F30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74">
          <cell r="D174" t="str">
            <v>F10</v>
          </cell>
          <cell r="E174" t="str">
            <v>F10</v>
          </cell>
          <cell r="F174" t="str">
            <v>F10</v>
          </cell>
          <cell r="G174" t="str">
            <v>F10</v>
          </cell>
        </row>
        <row r="176">
          <cell r="D176" t="str">
            <v>F10</v>
          </cell>
          <cell r="E176" t="str">
            <v>F10</v>
          </cell>
          <cell r="F176" t="str">
            <v>F10</v>
          </cell>
          <cell r="G176" t="str">
            <v>F10</v>
          </cell>
        </row>
        <row r="178">
          <cell r="D178" t="str">
            <v>F10</v>
          </cell>
          <cell r="E178" t="str">
            <v>F10</v>
          </cell>
          <cell r="F178" t="str">
            <v>F10</v>
          </cell>
          <cell r="G178" t="str">
            <v>F10</v>
          </cell>
        </row>
        <row r="180">
          <cell r="D180" t="str">
            <v>F10</v>
          </cell>
          <cell r="E180" t="str">
            <v>F10</v>
          </cell>
          <cell r="F180" t="str">
            <v>F10</v>
          </cell>
          <cell r="G180" t="str">
            <v>F10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90">
          <cell r="D190" t="str">
            <v>C</v>
          </cell>
          <cell r="E190" t="str">
            <v>C</v>
          </cell>
          <cell r="F190" t="str">
            <v>C</v>
          </cell>
          <cell r="G190" t="str">
            <v>C</v>
          </cell>
        </row>
        <row r="191">
          <cell r="D191" t="str">
            <v>COS
Factor</v>
          </cell>
          <cell r="E191" t="str">
            <v>COS
Factor</v>
          </cell>
          <cell r="F191" t="str">
            <v>COS
Factor</v>
          </cell>
          <cell r="G191" t="str">
            <v>COS
Factor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3">
          <cell r="D193" t="str">
            <v>F10</v>
          </cell>
          <cell r="E193" t="str">
            <v>F10</v>
          </cell>
          <cell r="F193" t="str">
            <v>F10</v>
          </cell>
          <cell r="G193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04">
          <cell r="D204" t="str">
            <v>F10</v>
          </cell>
          <cell r="E204" t="str">
            <v>F10</v>
          </cell>
          <cell r="F204" t="str">
            <v>F10</v>
          </cell>
          <cell r="G204" t="str">
            <v>F10</v>
          </cell>
        </row>
        <row r="206">
          <cell r="D206" t="str">
            <v>F10</v>
          </cell>
          <cell r="E206" t="str">
            <v>F10</v>
          </cell>
          <cell r="F206" t="str">
            <v>F10</v>
          </cell>
          <cell r="G206" t="str">
            <v>F10</v>
          </cell>
        </row>
        <row r="208">
          <cell r="D208" t="str">
            <v>F10</v>
          </cell>
          <cell r="E208" t="str">
            <v>F10</v>
          </cell>
          <cell r="F208" t="str">
            <v>F10</v>
          </cell>
          <cell r="G208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F10</v>
          </cell>
          <cell r="E212" t="str">
            <v>F10</v>
          </cell>
          <cell r="F212" t="str">
            <v>F10</v>
          </cell>
          <cell r="G212" t="str">
            <v>F10</v>
          </cell>
        </row>
        <row r="214">
          <cell r="D214" t="str">
            <v>F10</v>
          </cell>
          <cell r="E214" t="str">
            <v>F10</v>
          </cell>
          <cell r="F214" t="str">
            <v>F10</v>
          </cell>
          <cell r="G214" t="str">
            <v>F10</v>
          </cell>
        </row>
        <row r="215">
          <cell r="D215" t="str">
            <v>F10</v>
          </cell>
          <cell r="E215" t="str">
            <v>F10</v>
          </cell>
          <cell r="F215" t="str">
            <v>F10</v>
          </cell>
          <cell r="G215" t="str">
            <v>F10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6">
          <cell r="D226" t="str">
            <v>F10</v>
          </cell>
          <cell r="E226" t="str">
            <v>F30</v>
          </cell>
          <cell r="F226" t="str">
            <v>F10</v>
          </cell>
          <cell r="G226" t="str">
            <v>F30</v>
          </cell>
        </row>
        <row r="227">
          <cell r="D227" t="str">
            <v>F10</v>
          </cell>
          <cell r="E227" t="str">
            <v>F32</v>
          </cell>
          <cell r="F227" t="str">
            <v>F10</v>
          </cell>
          <cell r="G227" t="str">
            <v>F10</v>
          </cell>
        </row>
        <row r="230">
          <cell r="D230" t="str">
            <v>F10</v>
          </cell>
          <cell r="E230" t="str">
            <v>F30</v>
          </cell>
          <cell r="F230" t="str">
            <v>F10</v>
          </cell>
          <cell r="G230" t="str">
            <v>F30</v>
          </cell>
        </row>
        <row r="231">
          <cell r="D231" t="str">
            <v>F10</v>
          </cell>
          <cell r="E231" t="str">
            <v>F30</v>
          </cell>
          <cell r="F231" t="str">
            <v>F10</v>
          </cell>
          <cell r="G231" t="str">
            <v>F30</v>
          </cell>
        </row>
        <row r="232">
          <cell r="D232" t="str">
            <v>F10</v>
          </cell>
          <cell r="E232" t="str">
            <v>F30</v>
          </cell>
          <cell r="F232" t="str">
            <v>F10</v>
          </cell>
          <cell r="G232" t="str">
            <v>F30</v>
          </cell>
        </row>
        <row r="235">
          <cell r="D235" t="str">
            <v>F10</v>
          </cell>
          <cell r="E235" t="str">
            <v>F10</v>
          </cell>
          <cell r="F235" t="str">
            <v>F10</v>
          </cell>
          <cell r="G235" t="str">
            <v>F10</v>
          </cell>
        </row>
        <row r="236">
          <cell r="D236" t="str">
            <v>F10</v>
          </cell>
          <cell r="E236" t="str">
            <v>F10</v>
          </cell>
          <cell r="F236" t="str">
            <v>F10</v>
          </cell>
          <cell r="G236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0">
          <cell r="D240" t="str">
            <v>F10</v>
          </cell>
          <cell r="E240" t="str">
            <v>F10</v>
          </cell>
          <cell r="F240" t="str">
            <v>F10</v>
          </cell>
          <cell r="G240" t="str">
            <v>F10</v>
          </cell>
        </row>
        <row r="243">
          <cell r="D243" t="str">
            <v>F10</v>
          </cell>
          <cell r="E243" t="str">
            <v>F10</v>
          </cell>
          <cell r="F243" t="str">
            <v>F10</v>
          </cell>
          <cell r="G243" t="str">
            <v>F10</v>
          </cell>
        </row>
        <row r="244">
          <cell r="D244" t="str">
            <v>F10</v>
          </cell>
          <cell r="E244" t="str">
            <v>F10</v>
          </cell>
          <cell r="F244" t="str">
            <v>F10</v>
          </cell>
          <cell r="G244" t="str">
            <v>F10</v>
          </cell>
        </row>
        <row r="247">
          <cell r="D247" t="str">
            <v>F10</v>
          </cell>
          <cell r="E247" t="str">
            <v>F10</v>
          </cell>
          <cell r="F247" t="str">
            <v>F10</v>
          </cell>
          <cell r="G247" t="str">
            <v>F10</v>
          </cell>
        </row>
        <row r="249">
          <cell r="D249" t="str">
            <v>F10</v>
          </cell>
          <cell r="E249" t="str">
            <v>F10</v>
          </cell>
          <cell r="F249" t="str">
            <v>F10</v>
          </cell>
          <cell r="G249" t="str">
            <v>F10</v>
          </cell>
        </row>
        <row r="250">
          <cell r="D250" t="str">
            <v>F10</v>
          </cell>
          <cell r="E250" t="str">
            <v>F10</v>
          </cell>
          <cell r="F250" t="str">
            <v>F10</v>
          </cell>
          <cell r="G250" t="str">
            <v>F10</v>
          </cell>
        </row>
        <row r="253">
          <cell r="D253" t="str">
            <v>F10</v>
          </cell>
          <cell r="E253" t="str">
            <v>F10</v>
          </cell>
          <cell r="F253" t="str">
            <v>F10</v>
          </cell>
          <cell r="G253" t="str">
            <v>F10</v>
          </cell>
        </row>
        <row r="254">
          <cell r="D254" t="str">
            <v>F10</v>
          </cell>
          <cell r="E254" t="str">
            <v>F10</v>
          </cell>
          <cell r="F254" t="str">
            <v>F10</v>
          </cell>
          <cell r="G254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4">
          <cell r="D264" t="str">
            <v>F10</v>
          </cell>
          <cell r="E264" t="str">
            <v>F10</v>
          </cell>
          <cell r="F264" t="str">
            <v>F10</v>
          </cell>
          <cell r="G264" t="str">
            <v>F10</v>
          </cell>
        </row>
        <row r="265">
          <cell r="D265" t="str">
            <v>F10</v>
          </cell>
          <cell r="E265" t="str">
            <v>F10</v>
          </cell>
          <cell r="F265" t="str">
            <v>F10</v>
          </cell>
          <cell r="G265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75">
          <cell r="D275" t="str">
            <v>F10</v>
          </cell>
          <cell r="E275" t="str">
            <v>F10</v>
          </cell>
          <cell r="F275" t="str">
            <v>F10</v>
          </cell>
          <cell r="G275" t="str">
            <v>F10</v>
          </cell>
        </row>
        <row r="277">
          <cell r="D277" t="str">
            <v>F10</v>
          </cell>
          <cell r="E277" t="str">
            <v>F10</v>
          </cell>
          <cell r="F277" t="str">
            <v>F10</v>
          </cell>
          <cell r="G277" t="str">
            <v>F10</v>
          </cell>
        </row>
        <row r="281">
          <cell r="D281" t="str">
            <v>F10</v>
          </cell>
          <cell r="E281" t="str">
            <v>F10</v>
          </cell>
          <cell r="F281" t="str">
            <v>F10</v>
          </cell>
          <cell r="G281" t="str">
            <v>F10</v>
          </cell>
        </row>
        <row r="282">
          <cell r="D282" t="str">
            <v>F10</v>
          </cell>
          <cell r="E282" t="str">
            <v>F10</v>
          </cell>
          <cell r="F282" t="str">
            <v>F10</v>
          </cell>
          <cell r="G282" t="str">
            <v>F10</v>
          </cell>
        </row>
        <row r="283">
          <cell r="D283" t="str">
            <v>F10</v>
          </cell>
          <cell r="E283" t="str">
            <v>F10</v>
          </cell>
          <cell r="F283" t="str">
            <v>F10</v>
          </cell>
          <cell r="G283" t="str">
            <v>F10</v>
          </cell>
        </row>
        <row r="284">
          <cell r="D284" t="str">
            <v>F10</v>
          </cell>
          <cell r="E284" t="str">
            <v>F10</v>
          </cell>
          <cell r="F284" t="str">
            <v>F10</v>
          </cell>
          <cell r="G284" t="str">
            <v>F10</v>
          </cell>
        </row>
        <row r="285">
          <cell r="D285" t="str">
            <v>F10</v>
          </cell>
          <cell r="E285" t="str">
            <v>F10</v>
          </cell>
          <cell r="F285" t="str">
            <v>F10</v>
          </cell>
          <cell r="G285" t="str">
            <v>F10</v>
          </cell>
        </row>
        <row r="286">
          <cell r="D286" t="str">
            <v>F10</v>
          </cell>
          <cell r="E286" t="str">
            <v>F10</v>
          </cell>
          <cell r="F286" t="str">
            <v>F10</v>
          </cell>
          <cell r="G286" t="str">
            <v>F10</v>
          </cell>
        </row>
        <row r="296">
          <cell r="D296" t="str">
            <v>C</v>
          </cell>
          <cell r="E296" t="str">
            <v>C</v>
          </cell>
          <cell r="F296" t="str">
            <v>C</v>
          </cell>
          <cell r="G296" t="str">
            <v>C</v>
          </cell>
        </row>
        <row r="297">
          <cell r="D297" t="str">
            <v>COS
Factor</v>
          </cell>
          <cell r="E297" t="str">
            <v>COS
Factor</v>
          </cell>
          <cell r="F297" t="str">
            <v>COS
Factor</v>
          </cell>
          <cell r="G297" t="str">
            <v>COS
Factor</v>
          </cell>
        </row>
        <row r="298">
          <cell r="D298" t="str">
            <v>F106</v>
          </cell>
          <cell r="E298" t="str">
            <v>F106</v>
          </cell>
          <cell r="F298" t="str">
            <v>F12</v>
          </cell>
          <cell r="G298" t="str">
            <v>F106</v>
          </cell>
        </row>
        <row r="300">
          <cell r="D300" t="str">
            <v>F106</v>
          </cell>
          <cell r="E300" t="str">
            <v>F106</v>
          </cell>
          <cell r="F300" t="str">
            <v>F12</v>
          </cell>
          <cell r="G300" t="str">
            <v>F106</v>
          </cell>
        </row>
        <row r="302">
          <cell r="D302" t="str">
            <v>F106</v>
          </cell>
          <cell r="E302" t="str">
            <v>F106</v>
          </cell>
          <cell r="F302" t="str">
            <v>F12</v>
          </cell>
          <cell r="G302" t="str">
            <v>F106</v>
          </cell>
        </row>
        <row r="304">
          <cell r="D304" t="str">
            <v>F106</v>
          </cell>
          <cell r="E304" t="str">
            <v>F106</v>
          </cell>
          <cell r="F304" t="str">
            <v>F12</v>
          </cell>
          <cell r="G304" t="str">
            <v>F106</v>
          </cell>
        </row>
        <row r="306">
          <cell r="D306" t="str">
            <v>F106</v>
          </cell>
          <cell r="E306" t="str">
            <v>F106</v>
          </cell>
          <cell r="F306" t="str">
            <v>F12</v>
          </cell>
          <cell r="G306" t="str">
            <v>F106</v>
          </cell>
        </row>
        <row r="308">
          <cell r="D308" t="str">
            <v>F10</v>
          </cell>
          <cell r="E308" t="str">
            <v>F10</v>
          </cell>
          <cell r="F308" t="str">
            <v>F12</v>
          </cell>
          <cell r="G308" t="str">
            <v>F10</v>
          </cell>
        </row>
        <row r="311">
          <cell r="D311" t="str">
            <v>F10</v>
          </cell>
          <cell r="E311" t="str">
            <v>F10</v>
          </cell>
          <cell r="F311" t="str">
            <v>F12</v>
          </cell>
          <cell r="G311" t="str">
            <v>F10</v>
          </cell>
        </row>
        <row r="312">
          <cell r="D312" t="str">
            <v>F10</v>
          </cell>
          <cell r="E312" t="str">
            <v>F30</v>
          </cell>
          <cell r="F312" t="str">
            <v>F12</v>
          </cell>
          <cell r="G312" t="str">
            <v>F30</v>
          </cell>
        </row>
        <row r="313">
          <cell r="D313" t="str">
            <v>F10</v>
          </cell>
          <cell r="E313" t="str">
            <v>F30</v>
          </cell>
          <cell r="F313" t="str">
            <v>F12</v>
          </cell>
          <cell r="G313" t="str">
            <v>F30</v>
          </cell>
        </row>
        <row r="316">
          <cell r="D316" t="str">
            <v>F106</v>
          </cell>
          <cell r="E316" t="str">
            <v>F106</v>
          </cell>
          <cell r="F316" t="str">
            <v>F12</v>
          </cell>
          <cell r="G316" t="str">
            <v>F106</v>
          </cell>
        </row>
        <row r="318">
          <cell r="D318" t="str">
            <v>F106</v>
          </cell>
          <cell r="E318" t="str">
            <v>F106</v>
          </cell>
          <cell r="F318" t="str">
            <v>F12</v>
          </cell>
          <cell r="G318" t="str">
            <v>F106</v>
          </cell>
        </row>
        <row r="320">
          <cell r="D320" t="str">
            <v>F106</v>
          </cell>
          <cell r="E320" t="str">
            <v>F106</v>
          </cell>
          <cell r="F320" t="str">
            <v>F12</v>
          </cell>
          <cell r="G320" t="str">
            <v>F106</v>
          </cell>
        </row>
        <row r="322">
          <cell r="D322" t="str">
            <v>F106</v>
          </cell>
          <cell r="E322" t="str">
            <v>F106</v>
          </cell>
          <cell r="F322" t="str">
            <v>F12</v>
          </cell>
          <cell r="G322" t="str">
            <v>F106</v>
          </cell>
        </row>
        <row r="324">
          <cell r="D324" t="str">
            <v>F106</v>
          </cell>
          <cell r="E324" t="str">
            <v>F106</v>
          </cell>
          <cell r="F324" t="str">
            <v>F12</v>
          </cell>
          <cell r="G324" t="str">
            <v>F106</v>
          </cell>
        </row>
        <row r="326">
          <cell r="D326" t="str">
            <v>F106</v>
          </cell>
          <cell r="E326" t="str">
            <v>F106</v>
          </cell>
          <cell r="F326" t="str">
            <v>F12</v>
          </cell>
          <cell r="G326" t="str">
            <v>F106</v>
          </cell>
        </row>
        <row r="328">
          <cell r="D328" t="str">
            <v>F106</v>
          </cell>
          <cell r="E328" t="str">
            <v>F106</v>
          </cell>
          <cell r="F328" t="str">
            <v>F12</v>
          </cell>
          <cell r="G328" t="str">
            <v>F106</v>
          </cell>
        </row>
        <row r="330">
          <cell r="D330" t="str">
            <v>F106</v>
          </cell>
          <cell r="E330" t="str">
            <v>F106</v>
          </cell>
          <cell r="F330" t="str">
            <v>F12</v>
          </cell>
          <cell r="G330" t="str">
            <v>F106</v>
          </cell>
        </row>
        <row r="348">
          <cell r="D348" t="str">
            <v>C</v>
          </cell>
          <cell r="E348" t="str">
            <v>C</v>
          </cell>
          <cell r="F348" t="str">
            <v>C</v>
          </cell>
          <cell r="G348" t="str">
            <v>C</v>
          </cell>
        </row>
        <row r="349">
          <cell r="D349" t="str">
            <v>COS
Factor</v>
          </cell>
          <cell r="E349" t="str">
            <v>COS
Factor</v>
          </cell>
          <cell r="F349" t="str">
            <v>COS
Factor</v>
          </cell>
          <cell r="G349" t="str">
            <v>COS
Factor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F20</v>
          </cell>
          <cell r="E352" t="str">
            <v>F20</v>
          </cell>
          <cell r="F352" t="str">
            <v>F20</v>
          </cell>
          <cell r="G352" t="str">
            <v>F20</v>
          </cell>
        </row>
        <row r="354">
          <cell r="D354" t="str">
            <v>F120</v>
          </cell>
          <cell r="E354" t="str">
            <v>F120</v>
          </cell>
          <cell r="F354" t="str">
            <v>F120</v>
          </cell>
          <cell r="G354" t="str">
            <v>F120</v>
          </cell>
        </row>
        <row r="356">
          <cell r="D356" t="str">
            <v>F132</v>
          </cell>
          <cell r="E356" t="str">
            <v>F132</v>
          </cell>
          <cell r="F356" t="str">
            <v>F132</v>
          </cell>
          <cell r="G356" t="str">
            <v>F132</v>
          </cell>
        </row>
        <row r="358">
          <cell r="D358" t="str">
            <v>F133</v>
          </cell>
          <cell r="E358" t="str">
            <v>F133</v>
          </cell>
          <cell r="F358" t="str">
            <v>F133</v>
          </cell>
          <cell r="G358" t="str">
            <v>F133</v>
          </cell>
        </row>
        <row r="360">
          <cell r="D360" t="str">
            <v>F130</v>
          </cell>
          <cell r="E360" t="str">
            <v>F130</v>
          </cell>
          <cell r="F360" t="str">
            <v>F130</v>
          </cell>
          <cell r="G360" t="str">
            <v>F130</v>
          </cell>
        </row>
        <row r="362">
          <cell r="D362" t="str">
            <v>F127</v>
          </cell>
          <cell r="E362" t="str">
            <v>F127</v>
          </cell>
          <cell r="F362" t="str">
            <v>F127</v>
          </cell>
          <cell r="G362" t="str">
            <v>F127</v>
          </cell>
        </row>
        <row r="364">
          <cell r="D364" t="str">
            <v>F20</v>
          </cell>
          <cell r="E364" t="str">
            <v>F20</v>
          </cell>
          <cell r="F364" t="str">
            <v>F20</v>
          </cell>
          <cell r="G364" t="str">
            <v>F20</v>
          </cell>
        </row>
        <row r="366">
          <cell r="D366" t="str">
            <v>F131</v>
          </cell>
          <cell r="E366" t="str">
            <v>F131</v>
          </cell>
          <cell r="F366" t="str">
            <v>F131</v>
          </cell>
          <cell r="G366" t="str">
            <v>F131</v>
          </cell>
        </row>
        <row r="368">
          <cell r="D368" t="str">
            <v>F131</v>
          </cell>
          <cell r="E368" t="str">
            <v>F131</v>
          </cell>
          <cell r="F368" t="str">
            <v>F131</v>
          </cell>
          <cell r="G368" t="str">
            <v>F131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2">
          <cell r="D372" t="str">
            <v>F119</v>
          </cell>
          <cell r="E372" t="str">
            <v>F119</v>
          </cell>
          <cell r="F372" t="str">
            <v>F119</v>
          </cell>
          <cell r="G372" t="str">
            <v>F119</v>
          </cell>
        </row>
        <row r="374">
          <cell r="D374" t="str">
            <v>F120</v>
          </cell>
          <cell r="E374" t="str">
            <v>F120</v>
          </cell>
          <cell r="F374" t="str">
            <v>F120</v>
          </cell>
          <cell r="G374" t="str">
            <v>F120</v>
          </cell>
        </row>
        <row r="376">
          <cell r="D376" t="str">
            <v>F134</v>
          </cell>
          <cell r="E376" t="str">
            <v>F134</v>
          </cell>
          <cell r="F376" t="str">
            <v>F134</v>
          </cell>
          <cell r="G376" t="str">
            <v>F134</v>
          </cell>
        </row>
        <row r="378">
          <cell r="D378" t="str">
            <v>F135</v>
          </cell>
          <cell r="E378" t="str">
            <v>F135</v>
          </cell>
          <cell r="F378" t="str">
            <v>F135</v>
          </cell>
          <cell r="G378" t="str">
            <v>F135</v>
          </cell>
        </row>
        <row r="380">
          <cell r="D380" t="str">
            <v>F125</v>
          </cell>
          <cell r="E380" t="str">
            <v>F125</v>
          </cell>
          <cell r="F380" t="str">
            <v>F125</v>
          </cell>
          <cell r="G380" t="str">
            <v>F125</v>
          </cell>
        </row>
        <row r="382">
          <cell r="D382" t="str">
            <v>F130</v>
          </cell>
          <cell r="E382" t="str">
            <v>F130</v>
          </cell>
          <cell r="F382" t="str">
            <v>F130</v>
          </cell>
          <cell r="G382" t="str">
            <v>F130</v>
          </cell>
        </row>
        <row r="384">
          <cell r="D384" t="str">
            <v>F127</v>
          </cell>
          <cell r="E384" t="str">
            <v>F127</v>
          </cell>
          <cell r="F384" t="str">
            <v>F127</v>
          </cell>
          <cell r="G384" t="str">
            <v>F127</v>
          </cell>
        </row>
        <row r="386">
          <cell r="D386" t="str">
            <v>F131</v>
          </cell>
          <cell r="E386" t="str">
            <v>F131</v>
          </cell>
          <cell r="F386" t="str">
            <v>F131</v>
          </cell>
          <cell r="G386" t="str">
            <v>F131</v>
          </cell>
        </row>
        <row r="394">
          <cell r="D394" t="str">
            <v>F136</v>
          </cell>
          <cell r="E394" t="str">
            <v>F136</v>
          </cell>
          <cell r="F394" t="str">
            <v>F136</v>
          </cell>
          <cell r="G394" t="str">
            <v>F136</v>
          </cell>
        </row>
        <row r="396">
          <cell r="D396" t="str">
            <v>F41</v>
          </cell>
          <cell r="E396" t="str">
            <v>F41</v>
          </cell>
          <cell r="F396" t="str">
            <v>F41</v>
          </cell>
          <cell r="G396" t="str">
            <v>F41</v>
          </cell>
        </row>
        <row r="398">
          <cell r="D398" t="str">
            <v>F42</v>
          </cell>
          <cell r="E398" t="str">
            <v>F42</v>
          </cell>
          <cell r="F398" t="str">
            <v>F42</v>
          </cell>
          <cell r="G398" t="str">
            <v>F42</v>
          </cell>
        </row>
        <row r="400">
          <cell r="D400" t="str">
            <v>F80</v>
          </cell>
          <cell r="E400" t="str">
            <v>F80</v>
          </cell>
          <cell r="F400" t="str">
            <v>F80</v>
          </cell>
          <cell r="G400" t="str">
            <v>F80</v>
          </cell>
        </row>
        <row r="402">
          <cell r="D402" t="str">
            <v>F136</v>
          </cell>
          <cell r="E402" t="str">
            <v>F136</v>
          </cell>
          <cell r="F402" t="str">
            <v>F136</v>
          </cell>
          <cell r="G402" t="str">
            <v>F136</v>
          </cell>
        </row>
        <row r="408">
          <cell r="D408" t="str">
            <v>C</v>
          </cell>
          <cell r="E408" t="str">
            <v>C</v>
          </cell>
          <cell r="F408" t="str">
            <v>C</v>
          </cell>
          <cell r="G408" t="str">
            <v>C</v>
          </cell>
        </row>
        <row r="409">
          <cell r="D409" t="str">
            <v>COS
Factor</v>
          </cell>
          <cell r="E409" t="str">
            <v>COS
Factor</v>
          </cell>
          <cell r="F409" t="str">
            <v>COS
Factor</v>
          </cell>
          <cell r="G409" t="str">
            <v>COS
Factor</v>
          </cell>
        </row>
        <row r="410">
          <cell r="D410" t="str">
            <v>F40</v>
          </cell>
          <cell r="E410" t="str">
            <v>F40</v>
          </cell>
          <cell r="F410" t="str">
            <v>F40</v>
          </cell>
          <cell r="G410" t="str">
            <v>F40</v>
          </cell>
        </row>
        <row r="412">
          <cell r="D412" t="str">
            <v>F40</v>
          </cell>
          <cell r="E412" t="str">
            <v>F40</v>
          </cell>
          <cell r="F412" t="str">
            <v>F40</v>
          </cell>
          <cell r="G412" t="str">
            <v>F40</v>
          </cell>
        </row>
        <row r="414">
          <cell r="D414" t="str">
            <v>F40</v>
          </cell>
          <cell r="E414" t="str">
            <v>F40</v>
          </cell>
          <cell r="F414" t="str">
            <v>F40</v>
          </cell>
          <cell r="G414" t="str">
            <v>F40</v>
          </cell>
        </row>
        <row r="416">
          <cell r="D416" t="str">
            <v>F40</v>
          </cell>
          <cell r="E416" t="str">
            <v>F40</v>
          </cell>
          <cell r="F416" t="str">
            <v>F40</v>
          </cell>
          <cell r="G416" t="str">
            <v>F40</v>
          </cell>
        </row>
        <row r="424">
          <cell r="D424" t="str">
            <v>F40</v>
          </cell>
          <cell r="E424" t="str">
            <v>F40</v>
          </cell>
          <cell r="F424" t="str">
            <v>F40</v>
          </cell>
          <cell r="G424" t="str">
            <v>F40</v>
          </cell>
        </row>
        <row r="426">
          <cell r="D426" t="str">
            <v>F40</v>
          </cell>
          <cell r="E426" t="str">
            <v>F40</v>
          </cell>
          <cell r="F426" t="str">
            <v>F40</v>
          </cell>
          <cell r="G426" t="str">
            <v>F40</v>
          </cell>
        </row>
        <row r="428">
          <cell r="D428" t="str">
            <v>F40</v>
          </cell>
          <cell r="E428" t="str">
            <v>F40</v>
          </cell>
          <cell r="F428" t="str">
            <v>F40</v>
          </cell>
          <cell r="G428" t="str">
            <v>F40</v>
          </cell>
        </row>
        <row r="430">
          <cell r="D430" t="str">
            <v>F40</v>
          </cell>
          <cell r="E430" t="str">
            <v>F40</v>
          </cell>
          <cell r="F430" t="str">
            <v>F40</v>
          </cell>
          <cell r="G430" t="str">
            <v>F40</v>
          </cell>
        </row>
        <row r="438">
          <cell r="D438" t="str">
            <v>F102x</v>
          </cell>
          <cell r="E438" t="str">
            <v>F102x</v>
          </cell>
          <cell r="F438" t="str">
            <v>F102x</v>
          </cell>
          <cell r="G438" t="str">
            <v>F102x</v>
          </cell>
        </row>
        <row r="439">
          <cell r="D439" t="str">
            <v>F42</v>
          </cell>
          <cell r="E439" t="str">
            <v>F42</v>
          </cell>
          <cell r="F439" t="str">
            <v>F42</v>
          </cell>
          <cell r="G439" t="str">
            <v>F42</v>
          </cell>
        </row>
        <row r="440">
          <cell r="D440" t="str">
            <v>F102x</v>
          </cell>
          <cell r="E440" t="str">
            <v>F102x</v>
          </cell>
          <cell r="F440" t="str">
            <v>F102x</v>
          </cell>
          <cell r="G440" t="str">
            <v>F102x</v>
          </cell>
        </row>
        <row r="443">
          <cell r="D443" t="str">
            <v>F102x</v>
          </cell>
          <cell r="E443" t="str">
            <v>F102x</v>
          </cell>
          <cell r="F443" t="str">
            <v>F102x</v>
          </cell>
          <cell r="G443" t="str">
            <v>F102x</v>
          </cell>
        </row>
        <row r="444">
          <cell r="D444" t="str">
            <v>F42</v>
          </cell>
          <cell r="E444" t="str">
            <v>F42</v>
          </cell>
          <cell r="F444" t="str">
            <v>F42</v>
          </cell>
          <cell r="G444" t="str">
            <v>F42</v>
          </cell>
        </row>
        <row r="445">
          <cell r="D445" t="str">
            <v>F102x</v>
          </cell>
          <cell r="E445" t="str">
            <v>F102x</v>
          </cell>
          <cell r="F445" t="str">
            <v>F102x</v>
          </cell>
          <cell r="G445" t="str">
            <v>F102x</v>
          </cell>
        </row>
        <row r="448">
          <cell r="D448" t="str">
            <v>F102x</v>
          </cell>
          <cell r="E448" t="str">
            <v>F102x</v>
          </cell>
          <cell r="F448" t="str">
            <v>F102x</v>
          </cell>
          <cell r="G448" t="str">
            <v>F102x</v>
          </cell>
        </row>
        <row r="450">
          <cell r="D450" t="str">
            <v>F102x</v>
          </cell>
          <cell r="E450" t="str">
            <v>F102x</v>
          </cell>
          <cell r="F450" t="str">
            <v>F102x</v>
          </cell>
          <cell r="G450" t="str">
            <v>F102x</v>
          </cell>
        </row>
        <row r="451">
          <cell r="D451" t="str">
            <v>F42</v>
          </cell>
          <cell r="E451" t="str">
            <v>F42</v>
          </cell>
          <cell r="F451" t="str">
            <v>F42</v>
          </cell>
          <cell r="G451" t="str">
            <v>F42</v>
          </cell>
        </row>
        <row r="452">
          <cell r="D452" t="str">
            <v>F102x</v>
          </cell>
          <cell r="E452" t="str">
            <v>F102x</v>
          </cell>
          <cell r="F452" t="str">
            <v>F102x</v>
          </cell>
          <cell r="G452" t="str">
            <v>F102x</v>
          </cell>
        </row>
        <row r="453">
          <cell r="D453" t="str">
            <v>F102x</v>
          </cell>
          <cell r="E453" t="str">
            <v>F102x</v>
          </cell>
          <cell r="F453" t="str">
            <v>F102x</v>
          </cell>
          <cell r="G453" t="str">
            <v>F102x</v>
          </cell>
        </row>
        <row r="454">
          <cell r="D454" t="str">
            <v>F102x</v>
          </cell>
          <cell r="E454" t="str">
            <v>F102x</v>
          </cell>
          <cell r="F454" t="str">
            <v>F102x</v>
          </cell>
          <cell r="G454" t="str">
            <v>F102x</v>
          </cell>
        </row>
        <row r="457">
          <cell r="D457" t="str">
            <v>F102x</v>
          </cell>
          <cell r="E457" t="str">
            <v>F102x</v>
          </cell>
          <cell r="F457" t="str">
            <v>F102x</v>
          </cell>
          <cell r="G457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60">
          <cell r="D460" t="str">
            <v>F102x</v>
          </cell>
          <cell r="E460" t="str">
            <v>F102x</v>
          </cell>
          <cell r="F460" t="str">
            <v>F102x</v>
          </cell>
          <cell r="G460" t="str">
            <v>F102x</v>
          </cell>
        </row>
        <row r="461">
          <cell r="D461" t="str">
            <v>F102x</v>
          </cell>
          <cell r="E461" t="str">
            <v>F102x</v>
          </cell>
          <cell r="F461" t="str">
            <v>F102x</v>
          </cell>
          <cell r="G461" t="str">
            <v>F102x</v>
          </cell>
        </row>
        <row r="463">
          <cell r="D463" t="str">
            <v>F138x</v>
          </cell>
          <cell r="E463" t="str">
            <v>F138x</v>
          </cell>
          <cell r="F463" t="str">
            <v>F138x</v>
          </cell>
          <cell r="G463" t="str">
            <v>F138x</v>
          </cell>
        </row>
        <row r="465">
          <cell r="D465" t="str">
            <v>F102</v>
          </cell>
          <cell r="E465" t="str">
            <v>F102</v>
          </cell>
          <cell r="F465" t="str">
            <v>F102</v>
          </cell>
          <cell r="G465" t="str">
            <v>F102</v>
          </cell>
        </row>
        <row r="467">
          <cell r="D467" t="str">
            <v>F141</v>
          </cell>
          <cell r="E467" t="str">
            <v>F141</v>
          </cell>
          <cell r="F467" t="str">
            <v>F141</v>
          </cell>
          <cell r="G467" t="str">
            <v>F141</v>
          </cell>
        </row>
        <row r="468">
          <cell r="D468" t="str">
            <v>F141</v>
          </cell>
          <cell r="E468" t="str">
            <v>F141</v>
          </cell>
          <cell r="F468" t="str">
            <v>F141</v>
          </cell>
          <cell r="G468" t="str">
            <v>F141</v>
          </cell>
        </row>
        <row r="470">
          <cell r="D470" t="str">
            <v>F138x</v>
          </cell>
          <cell r="E470" t="str">
            <v>F138x</v>
          </cell>
          <cell r="F470" t="str">
            <v>F138x</v>
          </cell>
          <cell r="G470" t="str">
            <v>F138x</v>
          </cell>
        </row>
        <row r="473">
          <cell r="D473" t="str">
            <v>F138x</v>
          </cell>
          <cell r="E473" t="str">
            <v>F138x</v>
          </cell>
          <cell r="F473" t="str">
            <v>F138x</v>
          </cell>
          <cell r="G473" t="str">
            <v>F138x</v>
          </cell>
        </row>
        <row r="474">
          <cell r="D474" t="str">
            <v>F138x</v>
          </cell>
          <cell r="E474" t="str">
            <v>F138x</v>
          </cell>
          <cell r="F474" t="str">
            <v>F138x</v>
          </cell>
          <cell r="G474" t="str">
            <v>F138x</v>
          </cell>
        </row>
        <row r="475">
          <cell r="D475" t="str">
            <v>F138x</v>
          </cell>
          <cell r="E475" t="str">
            <v>F138x</v>
          </cell>
          <cell r="F475" t="str">
            <v>F138x</v>
          </cell>
          <cell r="G475" t="str">
            <v>F138x</v>
          </cell>
        </row>
        <row r="476">
          <cell r="D476" t="str">
            <v>F138x</v>
          </cell>
          <cell r="E476" t="str">
            <v>F138x</v>
          </cell>
          <cell r="F476" t="str">
            <v>F138x</v>
          </cell>
          <cell r="G476" t="str">
            <v>F138x</v>
          </cell>
        </row>
        <row r="477">
          <cell r="D477" t="str">
            <v>F138x</v>
          </cell>
          <cell r="E477" t="str">
            <v>F138x</v>
          </cell>
          <cell r="F477" t="str">
            <v>F138x</v>
          </cell>
          <cell r="G477" t="str">
            <v>F138x</v>
          </cell>
        </row>
        <row r="479">
          <cell r="D479" t="str">
            <v>F102x</v>
          </cell>
          <cell r="E479" t="str">
            <v>F102x</v>
          </cell>
          <cell r="F479" t="str">
            <v>F102x</v>
          </cell>
          <cell r="G479" t="str">
            <v>F102x</v>
          </cell>
        </row>
        <row r="481">
          <cell r="D481" t="str">
            <v>F108</v>
          </cell>
          <cell r="E481" t="str">
            <v>F108</v>
          </cell>
          <cell r="F481" t="str">
            <v>F108</v>
          </cell>
          <cell r="G481" t="str">
            <v>F108</v>
          </cell>
        </row>
        <row r="490">
          <cell r="D490" t="str">
            <v>C</v>
          </cell>
          <cell r="E490" t="str">
            <v>C</v>
          </cell>
          <cell r="F490" t="str">
            <v>C</v>
          </cell>
          <cell r="G490" t="str">
            <v>C</v>
          </cell>
        </row>
        <row r="491">
          <cell r="D491" t="str">
            <v>COS
Factor</v>
          </cell>
          <cell r="E491" t="str">
            <v>COS
Factor</v>
          </cell>
          <cell r="F491" t="str">
            <v>COS
Factor</v>
          </cell>
          <cell r="G491" t="str">
            <v>COS
Factor</v>
          </cell>
        </row>
        <row r="492">
          <cell r="D492" t="str">
            <v>F10</v>
          </cell>
          <cell r="E492" t="str">
            <v>F10</v>
          </cell>
          <cell r="F492" t="str">
            <v>F10</v>
          </cell>
          <cell r="G492" t="str">
            <v>F10</v>
          </cell>
        </row>
        <row r="494">
          <cell r="D494" t="str">
            <v>F10</v>
          </cell>
          <cell r="E494" t="str">
            <v>F10</v>
          </cell>
          <cell r="F494" t="str">
            <v>F10</v>
          </cell>
          <cell r="G494" t="str">
            <v>F10</v>
          </cell>
        </row>
        <row r="496">
          <cell r="D496" t="str">
            <v>F10</v>
          </cell>
          <cell r="E496" t="str">
            <v>F10</v>
          </cell>
          <cell r="F496" t="str">
            <v>F10</v>
          </cell>
          <cell r="G496" t="str">
            <v>F10</v>
          </cell>
        </row>
        <row r="498">
          <cell r="D498" t="str">
            <v>F10</v>
          </cell>
          <cell r="E498" t="str">
            <v>F10</v>
          </cell>
          <cell r="F498" t="str">
            <v>F10</v>
          </cell>
          <cell r="G498" t="str">
            <v>F10</v>
          </cell>
        </row>
        <row r="499">
          <cell r="D499" t="str">
            <v>F10</v>
          </cell>
          <cell r="E499" t="str">
            <v>F10</v>
          </cell>
          <cell r="F499" t="str">
            <v>F10</v>
          </cell>
          <cell r="G499" t="str">
            <v>F10</v>
          </cell>
        </row>
        <row r="500">
          <cell r="D500" t="str">
            <v>F10</v>
          </cell>
          <cell r="E500" t="str">
            <v>F10</v>
          </cell>
          <cell r="F500" t="str">
            <v>F10</v>
          </cell>
          <cell r="G500" t="str">
            <v>F10</v>
          </cell>
        </row>
        <row r="501">
          <cell r="D501" t="str">
            <v>F10</v>
          </cell>
          <cell r="E501" t="str">
            <v>F10</v>
          </cell>
          <cell r="F501" t="str">
            <v>F10</v>
          </cell>
          <cell r="G501" t="str">
            <v>F10</v>
          </cell>
        </row>
        <row r="502">
          <cell r="D502" t="str">
            <v>F10</v>
          </cell>
          <cell r="E502" t="str">
            <v>F10</v>
          </cell>
          <cell r="F502" t="str">
            <v>F10</v>
          </cell>
          <cell r="G502" t="str">
            <v>F10</v>
          </cell>
        </row>
        <row r="505">
          <cell r="D505" t="str">
            <v>F106</v>
          </cell>
          <cell r="E505" t="str">
            <v>F106</v>
          </cell>
          <cell r="F505" t="str">
            <v>F106</v>
          </cell>
          <cell r="G505" t="str">
            <v>F106</v>
          </cell>
        </row>
        <row r="508">
          <cell r="D508" t="str">
            <v>F118</v>
          </cell>
          <cell r="E508" t="str">
            <v>F118</v>
          </cell>
          <cell r="F508" t="str">
            <v>F118</v>
          </cell>
          <cell r="G508" t="str">
            <v>F118</v>
          </cell>
        </row>
        <row r="509">
          <cell r="D509" t="str">
            <v>F119</v>
          </cell>
          <cell r="E509" t="str">
            <v>F119</v>
          </cell>
          <cell r="F509" t="str">
            <v>F119</v>
          </cell>
          <cell r="G509" t="str">
            <v>F119</v>
          </cell>
        </row>
        <row r="510">
          <cell r="D510" t="str">
            <v>F120</v>
          </cell>
          <cell r="E510" t="str">
            <v>F120</v>
          </cell>
          <cell r="F510" t="str">
            <v>F120</v>
          </cell>
          <cell r="G510" t="str">
            <v>F120</v>
          </cell>
        </row>
        <row r="511">
          <cell r="D511" t="str">
            <v>F121</v>
          </cell>
          <cell r="E511" t="str">
            <v>F121</v>
          </cell>
          <cell r="F511" t="str">
            <v>F121</v>
          </cell>
          <cell r="G511" t="str">
            <v>F121</v>
          </cell>
        </row>
        <row r="512">
          <cell r="D512" t="str">
            <v>F122</v>
          </cell>
          <cell r="E512" t="str">
            <v>F122</v>
          </cell>
          <cell r="F512" t="str">
            <v>F122</v>
          </cell>
          <cell r="G512" t="str">
            <v>F122</v>
          </cell>
        </row>
        <row r="513">
          <cell r="D513" t="str">
            <v>F123</v>
          </cell>
          <cell r="E513" t="str">
            <v>F123</v>
          </cell>
          <cell r="F513" t="str">
            <v>F123</v>
          </cell>
          <cell r="G513" t="str">
            <v>F123</v>
          </cell>
        </row>
        <row r="514">
          <cell r="D514" t="str">
            <v>F124</v>
          </cell>
          <cell r="E514" t="str">
            <v>F124</v>
          </cell>
          <cell r="F514" t="str">
            <v>F124</v>
          </cell>
          <cell r="G514" t="str">
            <v>F124</v>
          </cell>
        </row>
        <row r="515">
          <cell r="D515" t="str">
            <v>F125</v>
          </cell>
          <cell r="E515" t="str">
            <v>F125</v>
          </cell>
          <cell r="F515" t="str">
            <v>F125</v>
          </cell>
          <cell r="G515" t="str">
            <v>F125</v>
          </cell>
        </row>
        <row r="516">
          <cell r="D516" t="str">
            <v>F126</v>
          </cell>
          <cell r="E516" t="str">
            <v>F126</v>
          </cell>
          <cell r="F516" t="str">
            <v>F126</v>
          </cell>
          <cell r="G516" t="str">
            <v>F126</v>
          </cell>
        </row>
        <row r="517">
          <cell r="D517" t="str">
            <v>F127</v>
          </cell>
          <cell r="E517" t="str">
            <v>F127</v>
          </cell>
          <cell r="F517" t="str">
            <v>F127</v>
          </cell>
          <cell r="G517" t="str">
            <v>F127</v>
          </cell>
        </row>
        <row r="518">
          <cell r="D518" t="str">
            <v>F128</v>
          </cell>
          <cell r="E518" t="str">
            <v>F128</v>
          </cell>
          <cell r="F518" t="str">
            <v>F128</v>
          </cell>
          <cell r="G518" t="str">
            <v>F128</v>
          </cell>
        </row>
        <row r="519">
          <cell r="D519" t="str">
            <v>F129</v>
          </cell>
          <cell r="E519" t="str">
            <v>F129</v>
          </cell>
          <cell r="F519" t="str">
            <v>F129</v>
          </cell>
          <cell r="G519" t="str">
            <v>F129</v>
          </cell>
        </row>
        <row r="520">
          <cell r="D520" t="str">
            <v>F130</v>
          </cell>
          <cell r="E520" t="str">
            <v>F130</v>
          </cell>
          <cell r="F520" t="str">
            <v>F130</v>
          </cell>
          <cell r="G520" t="str">
            <v>F130</v>
          </cell>
        </row>
        <row r="524">
          <cell r="D524" t="str">
            <v>F107x</v>
          </cell>
          <cell r="E524" t="str">
            <v>F107x</v>
          </cell>
          <cell r="F524" t="str">
            <v>F107x</v>
          </cell>
          <cell r="G524" t="str">
            <v>F107x</v>
          </cell>
        </row>
        <row r="525">
          <cell r="D525" t="str">
            <v>F105x</v>
          </cell>
          <cell r="E525" t="str">
            <v>F105x</v>
          </cell>
          <cell r="F525" t="str">
            <v>F105x</v>
          </cell>
          <cell r="G525" t="str">
            <v>F105x</v>
          </cell>
        </row>
        <row r="526">
          <cell r="D526" t="str">
            <v>F105x</v>
          </cell>
          <cell r="E526" t="str">
            <v>F105x</v>
          </cell>
          <cell r="F526" t="str">
            <v>F105x</v>
          </cell>
          <cell r="G526" t="str">
            <v>F105x</v>
          </cell>
        </row>
        <row r="527">
          <cell r="D527" t="str">
            <v>F10</v>
          </cell>
          <cell r="E527" t="str">
            <v>F30</v>
          </cell>
          <cell r="F527" t="str">
            <v>F10</v>
          </cell>
          <cell r="G527" t="str">
            <v>F30</v>
          </cell>
        </row>
        <row r="528">
          <cell r="D528" t="str">
            <v>F42</v>
          </cell>
          <cell r="E528" t="str">
            <v>F42</v>
          </cell>
          <cell r="F528" t="str">
            <v>F42</v>
          </cell>
          <cell r="G528" t="str">
            <v>F42</v>
          </cell>
        </row>
        <row r="529">
          <cell r="D529" t="str">
            <v>F105x</v>
          </cell>
          <cell r="E529" t="str">
            <v>F105x</v>
          </cell>
          <cell r="F529" t="str">
            <v>F105x</v>
          </cell>
          <cell r="G529" t="str">
            <v>F105x</v>
          </cell>
        </row>
        <row r="530">
          <cell r="D530" t="str">
            <v>F102x</v>
          </cell>
          <cell r="E530" t="str">
            <v>F102x</v>
          </cell>
          <cell r="F530" t="str">
            <v>F102x</v>
          </cell>
          <cell r="G530" t="str">
            <v>F102x</v>
          </cell>
        </row>
        <row r="531">
          <cell r="D531" t="str">
            <v>F105x</v>
          </cell>
          <cell r="E531" t="str">
            <v>F105x</v>
          </cell>
          <cell r="F531" t="str">
            <v>F105x</v>
          </cell>
          <cell r="G531" t="str">
            <v>F105x</v>
          </cell>
        </row>
        <row r="532">
          <cell r="D532" t="str">
            <v>F105x</v>
          </cell>
          <cell r="E532" t="str">
            <v>F105x</v>
          </cell>
          <cell r="F532" t="str">
            <v>F105x</v>
          </cell>
          <cell r="G532" t="str">
            <v>F105x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6">
          <cell r="D536" t="str">
            <v>F105x</v>
          </cell>
          <cell r="E536" t="str">
            <v>F105x</v>
          </cell>
          <cell r="F536" t="str">
            <v>F105x</v>
          </cell>
          <cell r="G536" t="str">
            <v>F105x</v>
          </cell>
        </row>
        <row r="538">
          <cell r="D538" t="str">
            <v>F10</v>
          </cell>
          <cell r="E538" t="str">
            <v>F30</v>
          </cell>
          <cell r="F538" t="str">
            <v>F10</v>
          </cell>
          <cell r="G538" t="str">
            <v>F30</v>
          </cell>
        </row>
        <row r="540">
          <cell r="D540" t="str">
            <v>F10</v>
          </cell>
          <cell r="E540" t="str">
            <v>F10</v>
          </cell>
          <cell r="F540" t="str">
            <v>F10</v>
          </cell>
          <cell r="G540" t="str">
            <v>F10</v>
          </cell>
        </row>
        <row r="549">
          <cell r="D549" t="str">
            <v>F10</v>
          </cell>
          <cell r="E549" t="str">
            <v>F10</v>
          </cell>
          <cell r="F549" t="str">
            <v>F12</v>
          </cell>
          <cell r="G549" t="str">
            <v>F10</v>
          </cell>
        </row>
        <row r="550">
          <cell r="D550" t="str">
            <v>F10</v>
          </cell>
          <cell r="E550" t="str">
            <v>F10</v>
          </cell>
          <cell r="F550" t="str">
            <v>F10</v>
          </cell>
          <cell r="G550" t="str">
            <v>F10</v>
          </cell>
        </row>
        <row r="551">
          <cell r="D551" t="str">
            <v>F102x</v>
          </cell>
          <cell r="E551" t="str">
            <v>F102x</v>
          </cell>
          <cell r="F551" t="str">
            <v>F102x</v>
          </cell>
          <cell r="G551" t="str">
            <v>F102x</v>
          </cell>
        </row>
        <row r="552">
          <cell r="D552" t="str">
            <v>F10</v>
          </cell>
          <cell r="E552" t="str">
            <v>F10</v>
          </cell>
          <cell r="F552" t="str">
            <v>F10</v>
          </cell>
          <cell r="G552" t="str">
            <v>F10</v>
          </cell>
        </row>
        <row r="553">
          <cell r="D553" t="str">
            <v>F42</v>
          </cell>
          <cell r="E553" t="str">
            <v>F42</v>
          </cell>
          <cell r="F553" t="str">
            <v>F42</v>
          </cell>
          <cell r="G553" t="str">
            <v>F42</v>
          </cell>
        </row>
        <row r="554">
          <cell r="D554" t="str">
            <v>F10</v>
          </cell>
          <cell r="E554" t="str">
            <v>F10</v>
          </cell>
          <cell r="F554" t="str">
            <v>F10</v>
          </cell>
          <cell r="G554" t="str">
            <v>F10</v>
          </cell>
        </row>
        <row r="555">
          <cell r="D555" t="str">
            <v>F10</v>
          </cell>
          <cell r="E555" t="str">
            <v>F10</v>
          </cell>
          <cell r="F555" t="str">
            <v>F10</v>
          </cell>
          <cell r="G555" t="str">
            <v>F10</v>
          </cell>
        </row>
        <row r="558">
          <cell r="D558" t="str">
            <v>F10</v>
          </cell>
          <cell r="E558" t="str">
            <v>F10</v>
          </cell>
          <cell r="F558" t="str">
            <v>F10</v>
          </cell>
          <cell r="G558" t="str">
            <v>F10</v>
          </cell>
        </row>
        <row r="561">
          <cell r="D561" t="str">
            <v>F107x</v>
          </cell>
          <cell r="E561" t="str">
            <v>F107x</v>
          </cell>
          <cell r="F561" t="str">
            <v>F107x</v>
          </cell>
          <cell r="G561" t="str">
            <v>F107x</v>
          </cell>
        </row>
        <row r="562">
          <cell r="D562" t="str">
            <v>F10</v>
          </cell>
          <cell r="E562" t="str">
            <v>F30</v>
          </cell>
          <cell r="F562" t="str">
            <v>F10</v>
          </cell>
          <cell r="G562" t="str">
            <v>F30</v>
          </cell>
        </row>
        <row r="563">
          <cell r="D563" t="str">
            <v>F105x</v>
          </cell>
          <cell r="E563" t="str">
            <v>F105x</v>
          </cell>
          <cell r="F563" t="str">
            <v>F105x</v>
          </cell>
          <cell r="G563" t="str">
            <v>F105x</v>
          </cell>
        </row>
        <row r="564">
          <cell r="D564" t="str">
            <v>F102x</v>
          </cell>
          <cell r="E564" t="str">
            <v>F102x</v>
          </cell>
          <cell r="F564" t="str">
            <v>F102x</v>
          </cell>
          <cell r="G564" t="str">
            <v>F102x</v>
          </cell>
        </row>
        <row r="565">
          <cell r="D565" t="str">
            <v>F42</v>
          </cell>
          <cell r="E565" t="str">
            <v>F42</v>
          </cell>
          <cell r="F565" t="str">
            <v>F42</v>
          </cell>
          <cell r="G565" t="str">
            <v>F42</v>
          </cell>
        </row>
        <row r="566">
          <cell r="D566" t="str">
            <v>F10</v>
          </cell>
          <cell r="E566" t="str">
            <v>F10</v>
          </cell>
          <cell r="F566" t="str">
            <v>F10</v>
          </cell>
          <cell r="G566" t="str">
            <v>F10</v>
          </cell>
        </row>
        <row r="567">
          <cell r="D567" t="str">
            <v>F10</v>
          </cell>
          <cell r="E567" t="str">
            <v>F10</v>
          </cell>
          <cell r="F567" t="str">
            <v>F10</v>
          </cell>
          <cell r="G567" t="str">
            <v>F10</v>
          </cell>
        </row>
        <row r="568">
          <cell r="D568" t="str">
            <v>F10</v>
          </cell>
          <cell r="E568" t="str">
            <v>F10</v>
          </cell>
          <cell r="F568" t="str">
            <v>F10</v>
          </cell>
          <cell r="G568" t="str">
            <v>F10</v>
          </cell>
        </row>
        <row r="569">
          <cell r="D569" t="str">
            <v>F105x</v>
          </cell>
          <cell r="E569" t="str">
            <v>F105x</v>
          </cell>
          <cell r="F569" t="str">
            <v>F105x</v>
          </cell>
          <cell r="G569" t="str">
            <v>F105x</v>
          </cell>
        </row>
        <row r="570">
          <cell r="D570" t="str">
            <v>F105x</v>
          </cell>
          <cell r="E570" t="str">
            <v>F105x</v>
          </cell>
          <cell r="F570" t="str">
            <v>F105x</v>
          </cell>
          <cell r="G570" t="str">
            <v>F105x</v>
          </cell>
        </row>
        <row r="576">
          <cell r="D576" t="str">
            <v>C</v>
          </cell>
          <cell r="E576" t="str">
            <v>C</v>
          </cell>
          <cell r="F576" t="str">
            <v>C</v>
          </cell>
          <cell r="G576" t="str">
            <v>C</v>
          </cell>
        </row>
        <row r="577">
          <cell r="D577" t="str">
            <v>COS
Factor</v>
          </cell>
          <cell r="E577" t="str">
            <v>COS
Factor</v>
          </cell>
          <cell r="F577" t="str">
            <v>COS
Factor</v>
          </cell>
          <cell r="G577" t="str">
            <v>COS
Factor</v>
          </cell>
        </row>
        <row r="578">
          <cell r="D578" t="str">
            <v>F10</v>
          </cell>
          <cell r="E578" t="str">
            <v>F10</v>
          </cell>
          <cell r="F578" t="str">
            <v>F10</v>
          </cell>
          <cell r="G578" t="str">
            <v>F10</v>
          </cell>
        </row>
        <row r="580">
          <cell r="D580" t="str">
            <v>F110</v>
          </cell>
          <cell r="E580" t="str">
            <v>F110</v>
          </cell>
          <cell r="F580" t="str">
            <v>F110</v>
          </cell>
          <cell r="G580" t="str">
            <v>F110</v>
          </cell>
        </row>
        <row r="582">
          <cell r="D582" t="str">
            <v>F110</v>
          </cell>
          <cell r="E582" t="str">
            <v>F110</v>
          </cell>
          <cell r="F582" t="str">
            <v>F110</v>
          </cell>
          <cell r="G582" t="str">
            <v>F110</v>
          </cell>
        </row>
        <row r="584">
          <cell r="D584" t="str">
            <v>F10</v>
          </cell>
          <cell r="E584" t="str">
            <v>F10</v>
          </cell>
          <cell r="F584" t="str">
            <v>F10</v>
          </cell>
          <cell r="G584" t="str">
            <v>F10</v>
          </cell>
        </row>
        <row r="586">
          <cell r="D586" t="str">
            <v>F110</v>
          </cell>
          <cell r="E586" t="str">
            <v>F110</v>
          </cell>
          <cell r="F586" t="str">
            <v>F110</v>
          </cell>
          <cell r="G586" t="str">
            <v>F110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3">
          <cell r="D603" t="str">
            <v>F101x</v>
          </cell>
          <cell r="E603" t="str">
            <v>F101x</v>
          </cell>
          <cell r="F603" t="str">
            <v>F101x</v>
          </cell>
          <cell r="G603" t="str">
            <v>F101x</v>
          </cell>
        </row>
        <row r="611">
          <cell r="D611" t="str">
            <v>F101x</v>
          </cell>
          <cell r="E611" t="str">
            <v>F101x</v>
          </cell>
          <cell r="F611" t="str">
            <v>F101x</v>
          </cell>
          <cell r="G611" t="str">
            <v>F101x</v>
          </cell>
        </row>
        <row r="613">
          <cell r="D613" t="str">
            <v>F101x</v>
          </cell>
          <cell r="E613" t="str">
            <v>F101x</v>
          </cell>
          <cell r="F613" t="str">
            <v>F101x</v>
          </cell>
          <cell r="G613" t="str">
            <v>F101x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7">
          <cell r="D617" t="str">
            <v>F101x</v>
          </cell>
          <cell r="E617" t="str">
            <v>F101x</v>
          </cell>
          <cell r="F617" t="str">
            <v>F101x</v>
          </cell>
          <cell r="G617" t="str">
            <v>F101x</v>
          </cell>
        </row>
        <row r="625">
          <cell r="D625" t="str">
            <v>F101x</v>
          </cell>
          <cell r="E625" t="str">
            <v>F101x</v>
          </cell>
          <cell r="F625" t="str">
            <v>F101x</v>
          </cell>
          <cell r="G625" t="str">
            <v>F101x</v>
          </cell>
        </row>
        <row r="627">
          <cell r="D627" t="str">
            <v>F101x</v>
          </cell>
          <cell r="E627" t="str">
            <v>F101x</v>
          </cell>
          <cell r="F627" t="str">
            <v>F101x</v>
          </cell>
          <cell r="G627" t="str">
            <v>F101x</v>
          </cell>
        </row>
        <row r="635">
          <cell r="D635" t="str">
            <v>C</v>
          </cell>
          <cell r="E635" t="str">
            <v>C</v>
          </cell>
          <cell r="F635" t="str">
            <v>C</v>
          </cell>
          <cell r="G635" t="str">
            <v>C</v>
          </cell>
        </row>
        <row r="636">
          <cell r="D636" t="str">
            <v>COS
Factor</v>
          </cell>
          <cell r="E636" t="str">
            <v>COS
Factor</v>
          </cell>
          <cell r="F636" t="str">
            <v>COS
Factor</v>
          </cell>
          <cell r="G636" t="str">
            <v>COS
Factor</v>
          </cell>
        </row>
        <row r="637">
          <cell r="D637" t="str">
            <v>F10</v>
          </cell>
          <cell r="E637" t="str">
            <v>F10</v>
          </cell>
          <cell r="F637" t="str">
            <v>F10</v>
          </cell>
          <cell r="G637" t="str">
            <v>F10</v>
          </cell>
        </row>
        <row r="638">
          <cell r="D638" t="str">
            <v>F10</v>
          </cell>
          <cell r="E638" t="str">
            <v>F10</v>
          </cell>
          <cell r="F638" t="str">
            <v>F10</v>
          </cell>
          <cell r="G638" t="str">
            <v>F10</v>
          </cell>
        </row>
        <row r="641">
          <cell r="D641" t="str">
            <v>F10</v>
          </cell>
          <cell r="E641" t="str">
            <v>F10</v>
          </cell>
          <cell r="F641" t="str">
            <v>F10</v>
          </cell>
          <cell r="G641" t="str">
            <v>F10</v>
          </cell>
        </row>
        <row r="642">
          <cell r="D642" t="str">
            <v>F10</v>
          </cell>
          <cell r="E642" t="str">
            <v>F10</v>
          </cell>
          <cell r="F642" t="str">
            <v>F10</v>
          </cell>
          <cell r="G642" t="str">
            <v>F10</v>
          </cell>
        </row>
        <row r="646">
          <cell r="D646" t="str">
            <v>F10</v>
          </cell>
          <cell r="E646" t="str">
            <v>F10</v>
          </cell>
          <cell r="F646" t="str">
            <v>F10</v>
          </cell>
          <cell r="G646" t="str">
            <v>F10</v>
          </cell>
        </row>
        <row r="647">
          <cell r="D647" t="str">
            <v>F10</v>
          </cell>
          <cell r="E647" t="str">
            <v>F10</v>
          </cell>
          <cell r="F647" t="str">
            <v>F10</v>
          </cell>
          <cell r="G647" t="str">
            <v>F10</v>
          </cell>
        </row>
        <row r="648">
          <cell r="D648" t="str">
            <v>F10</v>
          </cell>
          <cell r="E648" t="str">
            <v>F10</v>
          </cell>
          <cell r="F648" t="str">
            <v>F10</v>
          </cell>
          <cell r="G648" t="str">
            <v>F10</v>
          </cell>
        </row>
        <row r="649">
          <cell r="D649" t="str">
            <v>F10</v>
          </cell>
          <cell r="E649" t="str">
            <v>F10</v>
          </cell>
          <cell r="F649" t="str">
            <v>F10</v>
          </cell>
          <cell r="G649" t="str">
            <v>F10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</v>
          </cell>
          <cell r="E653" t="str">
            <v>F10</v>
          </cell>
          <cell r="F653" t="str">
            <v>F10</v>
          </cell>
          <cell r="G653" t="str">
            <v>F10</v>
          </cell>
        </row>
        <row r="656">
          <cell r="D656" t="str">
            <v>F10</v>
          </cell>
          <cell r="E656" t="str">
            <v>F10</v>
          </cell>
          <cell r="F656" t="str">
            <v>F10</v>
          </cell>
          <cell r="G656" t="str">
            <v>F10</v>
          </cell>
        </row>
        <row r="657">
          <cell r="D657" t="str">
            <v>F10</v>
          </cell>
          <cell r="E657" t="str">
            <v>F10</v>
          </cell>
          <cell r="F657" t="str">
            <v>F10</v>
          </cell>
          <cell r="G657" t="str">
            <v>F10</v>
          </cell>
        </row>
        <row r="660">
          <cell r="D660" t="str">
            <v>F10</v>
          </cell>
          <cell r="E660" t="str">
            <v>F10</v>
          </cell>
          <cell r="F660" t="str">
            <v>F10</v>
          </cell>
          <cell r="G660" t="str">
            <v>F10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74">
          <cell r="D674" t="str">
            <v>F10</v>
          </cell>
          <cell r="E674" t="str">
            <v>F10</v>
          </cell>
          <cell r="F674" t="str">
            <v>F10</v>
          </cell>
          <cell r="G674" t="str">
            <v>F10</v>
          </cell>
        </row>
        <row r="676">
          <cell r="D676" t="str">
            <v>F10</v>
          </cell>
          <cell r="E676" t="str">
            <v>F10</v>
          </cell>
          <cell r="F676" t="str">
            <v>F10</v>
          </cell>
          <cell r="G676" t="str">
            <v>F10</v>
          </cell>
        </row>
        <row r="678">
          <cell r="D678" t="str">
            <v>F10</v>
          </cell>
          <cell r="E678" t="str">
            <v>F10</v>
          </cell>
          <cell r="F678" t="str">
            <v>F10</v>
          </cell>
          <cell r="G678" t="str">
            <v>F10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2">
          <cell r="D682" t="str">
            <v>F10</v>
          </cell>
          <cell r="E682" t="str">
            <v>F10</v>
          </cell>
          <cell r="F682" t="str">
            <v>F10</v>
          </cell>
          <cell r="G682" t="str">
            <v>F10</v>
          </cell>
        </row>
        <row r="684">
          <cell r="D684" t="str">
            <v>F10</v>
          </cell>
          <cell r="E684" t="str">
            <v>F10</v>
          </cell>
          <cell r="F684" t="str">
            <v>F10</v>
          </cell>
          <cell r="G684" t="str">
            <v>F10</v>
          </cell>
        </row>
        <row r="686">
          <cell r="D686" t="str">
            <v>F10</v>
          </cell>
          <cell r="E686" t="str">
            <v>F10</v>
          </cell>
          <cell r="F686" t="str">
            <v>F10</v>
          </cell>
          <cell r="G686" t="str">
            <v>F10</v>
          </cell>
        </row>
        <row r="694">
          <cell r="D694" t="str">
            <v>F10</v>
          </cell>
          <cell r="E694" t="str">
            <v>F10</v>
          </cell>
          <cell r="F694" t="str">
            <v>F10</v>
          </cell>
          <cell r="G694" t="str">
            <v>F10</v>
          </cell>
        </row>
        <row r="696">
          <cell r="D696" t="str">
            <v>F10</v>
          </cell>
          <cell r="E696" t="str">
            <v>F10</v>
          </cell>
          <cell r="F696" t="str">
            <v>F10</v>
          </cell>
          <cell r="G696" t="str">
            <v>F10</v>
          </cell>
        </row>
        <row r="698">
          <cell r="D698" t="str">
            <v>F10</v>
          </cell>
          <cell r="E698" t="str">
            <v>F10</v>
          </cell>
          <cell r="F698" t="str">
            <v>F10</v>
          </cell>
          <cell r="G698" t="str">
            <v>F10</v>
          </cell>
        </row>
        <row r="700">
          <cell r="D700" t="str">
            <v>F10</v>
          </cell>
          <cell r="E700" t="str">
            <v>F10</v>
          </cell>
          <cell r="F700" t="str">
            <v>F10</v>
          </cell>
          <cell r="G700" t="str">
            <v>F10</v>
          </cell>
        </row>
        <row r="702">
          <cell r="D702" t="str">
            <v>F10</v>
          </cell>
          <cell r="E702" t="str">
            <v>F10</v>
          </cell>
          <cell r="F702" t="str">
            <v>F10</v>
          </cell>
          <cell r="G702" t="str">
            <v>F10</v>
          </cell>
        </row>
        <row r="704">
          <cell r="D704" t="str">
            <v>F10</v>
          </cell>
          <cell r="E704" t="str">
            <v>F10</v>
          </cell>
          <cell r="F704" t="str">
            <v>F10</v>
          </cell>
          <cell r="G704" t="str">
            <v>F10</v>
          </cell>
        </row>
        <row r="706">
          <cell r="D706" t="str">
            <v>F10</v>
          </cell>
          <cell r="E706" t="str">
            <v>F10</v>
          </cell>
          <cell r="F706" t="str">
            <v>F10</v>
          </cell>
          <cell r="G706" t="str">
            <v>F10</v>
          </cell>
        </row>
        <row r="708">
          <cell r="D708" t="str">
            <v>F10</v>
          </cell>
          <cell r="E708" t="str">
            <v>F10</v>
          </cell>
          <cell r="F708" t="str">
            <v>F10</v>
          </cell>
          <cell r="G708" t="str">
            <v>F10</v>
          </cell>
        </row>
        <row r="713">
          <cell r="D713" t="str">
            <v>C</v>
          </cell>
          <cell r="E713" t="str">
            <v>C</v>
          </cell>
          <cell r="F713" t="str">
            <v>C</v>
          </cell>
          <cell r="G713" t="str">
            <v>C</v>
          </cell>
        </row>
        <row r="714">
          <cell r="D714" t="str">
            <v>COS
Factor</v>
          </cell>
          <cell r="E714" t="str">
            <v>COS
Factor</v>
          </cell>
          <cell r="F714" t="str">
            <v>COS
Factor</v>
          </cell>
          <cell r="G714" t="str">
            <v>COS
Factor</v>
          </cell>
        </row>
        <row r="715">
          <cell r="D715" t="str">
            <v>F10</v>
          </cell>
          <cell r="E715" t="str">
            <v>F10</v>
          </cell>
          <cell r="F715" t="str">
            <v>F10</v>
          </cell>
          <cell r="G715" t="str">
            <v>F10</v>
          </cell>
        </row>
        <row r="718">
          <cell r="D718" t="str">
            <v>F10</v>
          </cell>
          <cell r="E718" t="str">
            <v>F10</v>
          </cell>
          <cell r="F718" t="str">
            <v>F10</v>
          </cell>
          <cell r="G718" t="str">
            <v>F10</v>
          </cell>
        </row>
        <row r="721">
          <cell r="D721" t="str">
            <v>F10</v>
          </cell>
          <cell r="E721" t="str">
            <v>F10</v>
          </cell>
          <cell r="F721" t="str">
            <v>F10</v>
          </cell>
          <cell r="G721" t="str">
            <v>F10</v>
          </cell>
        </row>
        <row r="724">
          <cell r="D724" t="str">
            <v>F10</v>
          </cell>
          <cell r="E724" t="str">
            <v>F10</v>
          </cell>
          <cell r="F724" t="str">
            <v>F10</v>
          </cell>
          <cell r="G724" t="str">
            <v>F10</v>
          </cell>
        </row>
        <row r="727">
          <cell r="D727" t="str">
            <v>F10</v>
          </cell>
          <cell r="E727" t="str">
            <v>F10</v>
          </cell>
          <cell r="F727" t="str">
            <v>F10</v>
          </cell>
          <cell r="G727" t="str">
            <v>F10</v>
          </cell>
        </row>
        <row r="730">
          <cell r="D730" t="str">
            <v>F10</v>
          </cell>
          <cell r="E730" t="str">
            <v>F10</v>
          </cell>
          <cell r="F730" t="str">
            <v>F10</v>
          </cell>
          <cell r="G730" t="str">
            <v>F10</v>
          </cell>
        </row>
        <row r="733">
          <cell r="D733" t="str">
            <v>F10</v>
          </cell>
          <cell r="E733" t="str">
            <v>F10</v>
          </cell>
          <cell r="F733" t="str">
            <v>F10</v>
          </cell>
          <cell r="G733" t="str">
            <v>F10</v>
          </cell>
        </row>
        <row r="735">
          <cell r="D735" t="str">
            <v>F10</v>
          </cell>
          <cell r="E735" t="str">
            <v>F10</v>
          </cell>
          <cell r="F735" t="str">
            <v>F10</v>
          </cell>
          <cell r="G735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46">
          <cell r="D746" t="str">
            <v>F10</v>
          </cell>
          <cell r="E746" t="str">
            <v>F10</v>
          </cell>
          <cell r="F746" t="str">
            <v>F12</v>
          </cell>
          <cell r="G746" t="str">
            <v>F10</v>
          </cell>
        </row>
        <row r="747">
          <cell r="D747" t="str">
            <v>A</v>
          </cell>
          <cell r="E747" t="str">
            <v>A</v>
          </cell>
          <cell r="F747" t="str">
            <v>A</v>
          </cell>
          <cell r="G747" t="str">
            <v>A</v>
          </cell>
        </row>
        <row r="750">
          <cell r="D750" t="str">
            <v>F10</v>
          </cell>
          <cell r="E750" t="str">
            <v>F10</v>
          </cell>
          <cell r="F750" t="str">
            <v>F12</v>
          </cell>
          <cell r="G750" t="str">
            <v>F10</v>
          </cell>
        </row>
        <row r="751">
          <cell r="D751" t="str">
            <v>A</v>
          </cell>
          <cell r="E751" t="str">
            <v>A</v>
          </cell>
          <cell r="F751" t="str">
            <v>A</v>
          </cell>
          <cell r="G751" t="str">
            <v>A</v>
          </cell>
        </row>
        <row r="754">
          <cell r="D754" t="str">
            <v>F10</v>
          </cell>
          <cell r="E754" t="str">
            <v>F10</v>
          </cell>
          <cell r="F754" t="str">
            <v>F12</v>
          </cell>
          <cell r="G754" t="str">
            <v>F10</v>
          </cell>
        </row>
        <row r="755">
          <cell r="D755" t="str">
            <v>A</v>
          </cell>
          <cell r="E755" t="str">
            <v>A</v>
          </cell>
          <cell r="F755" t="str">
            <v>A</v>
          </cell>
          <cell r="G755" t="str">
            <v>A</v>
          </cell>
        </row>
        <row r="758">
          <cell r="D758" t="str">
            <v>F10</v>
          </cell>
          <cell r="E758" t="str">
            <v>F10</v>
          </cell>
          <cell r="F758" t="str">
            <v>F12</v>
          </cell>
          <cell r="G758" t="str">
            <v>F10</v>
          </cell>
        </row>
        <row r="759">
          <cell r="D759" t="str">
            <v>A</v>
          </cell>
          <cell r="E759" t="str">
            <v>A</v>
          </cell>
          <cell r="F759" t="str">
            <v>A</v>
          </cell>
          <cell r="G759" t="str">
            <v>A</v>
          </cell>
        </row>
        <row r="762">
          <cell r="D762" t="str">
            <v>F10</v>
          </cell>
          <cell r="E762" t="str">
            <v>F10</v>
          </cell>
          <cell r="F762" t="str">
            <v>F12</v>
          </cell>
          <cell r="G762" t="str">
            <v>F10</v>
          </cell>
        </row>
        <row r="763">
          <cell r="D763" t="str">
            <v>A</v>
          </cell>
          <cell r="E763" t="str">
            <v>A</v>
          </cell>
          <cell r="F763" t="str">
            <v>A</v>
          </cell>
          <cell r="G763" t="str">
            <v>A</v>
          </cell>
        </row>
        <row r="766">
          <cell r="D766" t="str">
            <v>F10</v>
          </cell>
          <cell r="E766" t="str">
            <v>F10</v>
          </cell>
          <cell r="F766" t="str">
            <v>F12</v>
          </cell>
          <cell r="G766" t="str">
            <v>F10</v>
          </cell>
        </row>
        <row r="767">
          <cell r="D767" t="str">
            <v>A</v>
          </cell>
          <cell r="E767" t="str">
            <v>A</v>
          </cell>
          <cell r="F767" t="str">
            <v>A</v>
          </cell>
          <cell r="G767" t="str">
            <v>A</v>
          </cell>
        </row>
        <row r="770">
          <cell r="D770" t="str">
            <v>F10</v>
          </cell>
          <cell r="E770" t="str">
            <v>F10</v>
          </cell>
          <cell r="F770" t="str">
            <v>F12</v>
          </cell>
          <cell r="G770" t="str">
            <v>F10</v>
          </cell>
        </row>
        <row r="771">
          <cell r="D771" t="str">
            <v>A</v>
          </cell>
          <cell r="E771" t="str">
            <v>A</v>
          </cell>
          <cell r="F771" t="str">
            <v>A</v>
          </cell>
          <cell r="G771" t="str">
            <v>A</v>
          </cell>
        </row>
        <row r="774">
          <cell r="D774" t="str">
            <v>F10</v>
          </cell>
          <cell r="E774" t="str">
            <v>F10</v>
          </cell>
          <cell r="F774" t="str">
            <v>F12</v>
          </cell>
          <cell r="G774" t="str">
            <v>F10</v>
          </cell>
        </row>
        <row r="775">
          <cell r="D775" t="str">
            <v>A</v>
          </cell>
          <cell r="E775" t="str">
            <v>A</v>
          </cell>
          <cell r="F775" t="str">
            <v>A</v>
          </cell>
          <cell r="G775" t="str">
            <v>A</v>
          </cell>
        </row>
        <row r="778">
          <cell r="D778" t="str">
            <v>F10</v>
          </cell>
          <cell r="E778" t="str">
            <v>F10</v>
          </cell>
          <cell r="F778" t="str">
            <v>F12</v>
          </cell>
          <cell r="G778" t="str">
            <v>F10</v>
          </cell>
        </row>
        <row r="779">
          <cell r="D779" t="str">
            <v>A</v>
          </cell>
          <cell r="E779" t="str">
            <v>A</v>
          </cell>
          <cell r="F779" t="str">
            <v>A</v>
          </cell>
          <cell r="G779" t="str">
            <v>A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3">
          <cell r="D783" t="str">
            <v>F10</v>
          </cell>
          <cell r="E783" t="str">
            <v>F10</v>
          </cell>
          <cell r="F783" t="str">
            <v>F10</v>
          </cell>
          <cell r="G783" t="str">
            <v>F10</v>
          </cell>
        </row>
        <row r="787">
          <cell r="D787" t="str">
            <v>C</v>
          </cell>
          <cell r="E787" t="str">
            <v>C</v>
          </cell>
          <cell r="F787" t="str">
            <v>C</v>
          </cell>
          <cell r="G787" t="str">
            <v>C</v>
          </cell>
        </row>
        <row r="788">
          <cell r="D788" t="str">
            <v>COS
Factor</v>
          </cell>
          <cell r="E788" t="str">
            <v>COS
Factor</v>
          </cell>
          <cell r="F788" t="str">
            <v>COS
Factor</v>
          </cell>
          <cell r="G788" t="str">
            <v>COS
Factor</v>
          </cell>
        </row>
        <row r="791">
          <cell r="D791" t="str">
            <v>F20A</v>
          </cell>
          <cell r="E791" t="str">
            <v>F20A</v>
          </cell>
          <cell r="F791" t="str">
            <v>F20A</v>
          </cell>
          <cell r="G791" t="str">
            <v>F20A</v>
          </cell>
        </row>
        <row r="792">
          <cell r="D792" t="str">
            <v>A</v>
          </cell>
          <cell r="E792" t="str">
            <v>A</v>
          </cell>
          <cell r="F792" t="str">
            <v>A</v>
          </cell>
          <cell r="G792" t="str">
            <v>A</v>
          </cell>
        </row>
        <row r="795">
          <cell r="D795" t="str">
            <v>F20</v>
          </cell>
          <cell r="E795" t="str">
            <v>F20</v>
          </cell>
          <cell r="F795" t="str">
            <v>F20</v>
          </cell>
          <cell r="G795" t="str">
            <v>F20</v>
          </cell>
        </row>
        <row r="796">
          <cell r="D796" t="str">
            <v>A</v>
          </cell>
          <cell r="E796" t="str">
            <v>A</v>
          </cell>
          <cell r="F796" t="str">
            <v>A</v>
          </cell>
          <cell r="G796" t="str">
            <v>A</v>
          </cell>
        </row>
        <row r="799">
          <cell r="D799" t="str">
            <v>F20A</v>
          </cell>
          <cell r="E799" t="str">
            <v>F20A</v>
          </cell>
          <cell r="F799" t="str">
            <v>F20A</v>
          </cell>
          <cell r="G799" t="str">
            <v>F20A</v>
          </cell>
        </row>
        <row r="800">
          <cell r="D800" t="str">
            <v>A</v>
          </cell>
          <cell r="E800" t="str">
            <v>A</v>
          </cell>
          <cell r="F800" t="str">
            <v>A</v>
          </cell>
          <cell r="G800" t="str">
            <v>A</v>
          </cell>
        </row>
        <row r="803">
          <cell r="D803" t="str">
            <v>F20A</v>
          </cell>
          <cell r="E803" t="str">
            <v>F20A</v>
          </cell>
          <cell r="F803" t="str">
            <v>F20A</v>
          </cell>
          <cell r="G803" t="str">
            <v>F20A</v>
          </cell>
        </row>
        <row r="804">
          <cell r="D804" t="str">
            <v>F22</v>
          </cell>
          <cell r="E804" t="str">
            <v>F22</v>
          </cell>
          <cell r="F804" t="str">
            <v>F22</v>
          </cell>
          <cell r="G804" t="str">
            <v>F22</v>
          </cell>
        </row>
        <row r="805">
          <cell r="D805" t="str">
            <v>A</v>
          </cell>
          <cell r="E805" t="str">
            <v>A</v>
          </cell>
          <cell r="F805" t="str">
            <v>A</v>
          </cell>
          <cell r="G805" t="str">
            <v>A</v>
          </cell>
        </row>
        <row r="808">
          <cell r="D808" t="str">
            <v>F20A</v>
          </cell>
          <cell r="E808" t="str">
            <v>F20A</v>
          </cell>
          <cell r="F808" t="str">
            <v>F20A</v>
          </cell>
          <cell r="G808" t="str">
            <v>F20A</v>
          </cell>
        </row>
        <row r="809">
          <cell r="D809" t="str">
            <v>F22</v>
          </cell>
          <cell r="E809" t="str">
            <v>F22</v>
          </cell>
          <cell r="F809" t="str">
            <v>F22</v>
          </cell>
          <cell r="G809" t="str">
            <v>F22</v>
          </cell>
        </row>
        <row r="810">
          <cell r="D810" t="str">
            <v>A</v>
          </cell>
          <cell r="E810" t="str">
            <v>A</v>
          </cell>
          <cell r="F810" t="str">
            <v>A</v>
          </cell>
          <cell r="G810" t="str">
            <v>A</v>
          </cell>
        </row>
        <row r="813">
          <cell r="D813" t="str">
            <v>F20A</v>
          </cell>
          <cell r="E813" t="str">
            <v>F20A</v>
          </cell>
          <cell r="F813" t="str">
            <v>F20A</v>
          </cell>
          <cell r="G813" t="str">
            <v>F20A</v>
          </cell>
        </row>
        <row r="814">
          <cell r="D814" t="str">
            <v>F22</v>
          </cell>
          <cell r="E814" t="str">
            <v>F22</v>
          </cell>
          <cell r="F814" t="str">
            <v>F22</v>
          </cell>
          <cell r="G814" t="str">
            <v>F22</v>
          </cell>
        </row>
        <row r="815">
          <cell r="D815" t="str">
            <v>A</v>
          </cell>
          <cell r="E815" t="str">
            <v>A</v>
          </cell>
          <cell r="F815" t="str">
            <v>A</v>
          </cell>
          <cell r="G815" t="str">
            <v>A</v>
          </cell>
        </row>
        <row r="818">
          <cell r="D818" t="str">
            <v>F20A</v>
          </cell>
          <cell r="E818" t="str">
            <v>F20A</v>
          </cell>
          <cell r="F818" t="str">
            <v>F20A</v>
          </cell>
          <cell r="G818" t="str">
            <v>F20A</v>
          </cell>
        </row>
        <row r="819">
          <cell r="D819" t="str">
            <v>F22</v>
          </cell>
          <cell r="E819" t="str">
            <v>F22</v>
          </cell>
          <cell r="F819" t="str">
            <v>F22</v>
          </cell>
          <cell r="G819" t="str">
            <v>F22</v>
          </cell>
        </row>
        <row r="820">
          <cell r="D820" t="str">
            <v>A</v>
          </cell>
          <cell r="E820" t="str">
            <v>A</v>
          </cell>
          <cell r="F820" t="str">
            <v>A</v>
          </cell>
          <cell r="G820" t="str">
            <v>A</v>
          </cell>
        </row>
        <row r="823">
          <cell r="D823" t="str">
            <v>F21</v>
          </cell>
          <cell r="E823" t="str">
            <v>F21</v>
          </cell>
          <cell r="F823" t="str">
            <v>F21</v>
          </cell>
          <cell r="G823" t="str">
            <v>F21</v>
          </cell>
        </row>
        <row r="824">
          <cell r="D824" t="str">
            <v>A</v>
          </cell>
          <cell r="E824" t="str">
            <v>A</v>
          </cell>
          <cell r="F824" t="str">
            <v>A</v>
          </cell>
          <cell r="G824" t="str">
            <v>A</v>
          </cell>
        </row>
        <row r="827">
          <cell r="D827" t="str">
            <v>F70</v>
          </cell>
          <cell r="E827" t="str">
            <v>F70</v>
          </cell>
          <cell r="F827" t="str">
            <v>F70</v>
          </cell>
          <cell r="G827" t="str">
            <v>F70</v>
          </cell>
        </row>
        <row r="828">
          <cell r="D828" t="str">
            <v>A</v>
          </cell>
          <cell r="E828" t="str">
            <v>A</v>
          </cell>
          <cell r="F828" t="str">
            <v>A</v>
          </cell>
          <cell r="G828" t="str">
            <v>A</v>
          </cell>
        </row>
        <row r="831">
          <cell r="D831" t="str">
            <v>F60A</v>
          </cell>
          <cell r="E831" t="str">
            <v>F60A</v>
          </cell>
          <cell r="F831" t="str">
            <v>F60A</v>
          </cell>
          <cell r="G831" t="str">
            <v>F60A</v>
          </cell>
        </row>
        <row r="832">
          <cell r="D832" t="str">
            <v>A</v>
          </cell>
          <cell r="E832" t="str">
            <v>A</v>
          </cell>
          <cell r="F832" t="str">
            <v>A</v>
          </cell>
          <cell r="G832" t="str">
            <v>A</v>
          </cell>
        </row>
        <row r="835">
          <cell r="D835" t="str">
            <v>F20</v>
          </cell>
          <cell r="E835" t="str">
            <v>F20</v>
          </cell>
          <cell r="F835" t="str">
            <v>F20</v>
          </cell>
          <cell r="G835" t="str">
            <v>F20</v>
          </cell>
        </row>
        <row r="836">
          <cell r="D836" t="str">
            <v>F22</v>
          </cell>
          <cell r="E836" t="str">
            <v>F22</v>
          </cell>
          <cell r="F836" t="str">
            <v>F22</v>
          </cell>
          <cell r="G836" t="str">
            <v>F22</v>
          </cell>
        </row>
        <row r="837">
          <cell r="D837" t="str">
            <v>A</v>
          </cell>
          <cell r="E837" t="str">
            <v>A</v>
          </cell>
          <cell r="F837" t="str">
            <v>A</v>
          </cell>
          <cell r="G837" t="str">
            <v>A</v>
          </cell>
        </row>
        <row r="840">
          <cell r="D840" t="str">
            <v>F20</v>
          </cell>
          <cell r="E840" t="str">
            <v>F20</v>
          </cell>
          <cell r="F840" t="str">
            <v>F20</v>
          </cell>
          <cell r="G840" t="str">
            <v>F20</v>
          </cell>
        </row>
        <row r="841">
          <cell r="D841" t="str">
            <v>F22</v>
          </cell>
          <cell r="E841" t="str">
            <v>F22</v>
          </cell>
          <cell r="F841" t="str">
            <v>F22</v>
          </cell>
          <cell r="G841" t="str">
            <v>F22</v>
          </cell>
        </row>
        <row r="842">
          <cell r="D842" t="str">
            <v>A</v>
          </cell>
          <cell r="E842" t="str">
            <v>A</v>
          </cell>
          <cell r="F842" t="str">
            <v>A</v>
          </cell>
          <cell r="G842" t="str">
            <v>A</v>
          </cell>
        </row>
        <row r="845">
          <cell r="D845" t="str">
            <v>A</v>
          </cell>
          <cell r="E845" t="str">
            <v>A</v>
          </cell>
          <cell r="F845" t="str">
            <v>A</v>
          </cell>
          <cell r="G845" t="str">
            <v>A</v>
          </cell>
        </row>
        <row r="848">
          <cell r="D848" t="str">
            <v>F22</v>
          </cell>
          <cell r="E848" t="str">
            <v>F22</v>
          </cell>
          <cell r="F848" t="str">
            <v>F22</v>
          </cell>
          <cell r="G848" t="str">
            <v>F22</v>
          </cell>
        </row>
        <row r="849">
          <cell r="D849" t="str">
            <v>F20</v>
          </cell>
          <cell r="E849" t="str">
            <v>F20</v>
          </cell>
          <cell r="F849" t="str">
            <v>F20</v>
          </cell>
          <cell r="G849" t="str">
            <v>F20</v>
          </cell>
        </row>
        <row r="854">
          <cell r="D854" t="str">
            <v>C</v>
          </cell>
          <cell r="E854" t="str">
            <v>C</v>
          </cell>
          <cell r="F854" t="str">
            <v>C</v>
          </cell>
          <cell r="G854" t="str">
            <v>C</v>
          </cell>
        </row>
        <row r="855">
          <cell r="D855" t="str">
            <v>COS
Factor</v>
          </cell>
          <cell r="E855" t="str">
            <v>COS
Factor</v>
          </cell>
          <cell r="F855" t="str">
            <v>COS
Factor</v>
          </cell>
          <cell r="G855" t="str">
            <v>COS
Factor</v>
          </cell>
        </row>
        <row r="857">
          <cell r="D857" t="str">
            <v>F107x</v>
          </cell>
          <cell r="E857" t="str">
            <v>F107x</v>
          </cell>
          <cell r="F857" t="str">
            <v>F107x</v>
          </cell>
          <cell r="G857" t="str">
            <v>F107x</v>
          </cell>
        </row>
        <row r="858">
          <cell r="D858" t="str">
            <v>F42</v>
          </cell>
          <cell r="E858" t="str">
            <v>F42</v>
          </cell>
          <cell r="F858" t="str">
            <v>F42</v>
          </cell>
          <cell r="G858" t="str">
            <v>F42</v>
          </cell>
        </row>
        <row r="859">
          <cell r="D859" t="str">
            <v>F105x</v>
          </cell>
          <cell r="E859" t="str">
            <v>F105x</v>
          </cell>
          <cell r="F859" t="str">
            <v>F105x</v>
          </cell>
          <cell r="G859" t="str">
            <v>F105x</v>
          </cell>
        </row>
        <row r="860">
          <cell r="D860" t="str">
            <v>F105x</v>
          </cell>
          <cell r="E860" t="str">
            <v>F105x</v>
          </cell>
          <cell r="F860" t="str">
            <v>F105x</v>
          </cell>
          <cell r="G860" t="str">
            <v>F105x</v>
          </cell>
        </row>
        <row r="861">
          <cell r="D861" t="str">
            <v>F102x</v>
          </cell>
          <cell r="E861" t="str">
            <v>F102x</v>
          </cell>
          <cell r="F861" t="str">
            <v>F102x</v>
          </cell>
          <cell r="G861" t="str">
            <v>F102x</v>
          </cell>
        </row>
        <row r="865">
          <cell r="D865" t="str">
            <v>F107x</v>
          </cell>
          <cell r="E865" t="str">
            <v>F107x</v>
          </cell>
          <cell r="F865" t="str">
            <v>F107x</v>
          </cell>
          <cell r="G865" t="str">
            <v>F107x</v>
          </cell>
        </row>
        <row r="866">
          <cell r="D866" t="str">
            <v>F105x</v>
          </cell>
          <cell r="E866" t="str">
            <v>F105x</v>
          </cell>
          <cell r="F866" t="str">
            <v>F105x</v>
          </cell>
          <cell r="G866" t="str">
            <v>F105x</v>
          </cell>
        </row>
        <row r="867">
          <cell r="D867" t="str">
            <v>F105x</v>
          </cell>
          <cell r="E867" t="str">
            <v>F105x</v>
          </cell>
          <cell r="F867" t="str">
            <v>F105x</v>
          </cell>
          <cell r="G867" t="str">
            <v>F105x</v>
          </cell>
        </row>
        <row r="868">
          <cell r="D868" t="str">
            <v>F42</v>
          </cell>
          <cell r="E868" t="str">
            <v>F42</v>
          </cell>
          <cell r="F868" t="str">
            <v>F42</v>
          </cell>
          <cell r="G868" t="str">
            <v>F42</v>
          </cell>
        </row>
        <row r="869">
          <cell r="D869" t="str">
            <v>F105x</v>
          </cell>
          <cell r="E869" t="str">
            <v>F105x</v>
          </cell>
          <cell r="F869" t="str">
            <v>F105x</v>
          </cell>
          <cell r="G869" t="str">
            <v>F105x</v>
          </cell>
        </row>
        <row r="870">
          <cell r="D870" t="str">
            <v>F105x</v>
          </cell>
          <cell r="E870" t="str">
            <v>F105x</v>
          </cell>
          <cell r="F870" t="str">
            <v>F105x</v>
          </cell>
          <cell r="G870" t="str">
            <v>F105x</v>
          </cell>
        </row>
        <row r="871">
          <cell r="D871" t="str">
            <v>F102x</v>
          </cell>
          <cell r="E871" t="str">
            <v>F102x</v>
          </cell>
          <cell r="F871" t="str">
            <v>F102x</v>
          </cell>
          <cell r="G871" t="str">
            <v>F102x</v>
          </cell>
        </row>
        <row r="876">
          <cell r="D876" t="str">
            <v>F107x</v>
          </cell>
          <cell r="E876" t="str">
            <v>F107x</v>
          </cell>
          <cell r="F876" t="str">
            <v>F107x</v>
          </cell>
          <cell r="G876" t="str">
            <v>F107x</v>
          </cell>
        </row>
        <row r="877">
          <cell r="D877" t="str">
            <v>F105x</v>
          </cell>
          <cell r="E877" t="str">
            <v>F105x</v>
          </cell>
          <cell r="F877" t="str">
            <v>F105x</v>
          </cell>
          <cell r="G877" t="str">
            <v>F105x</v>
          </cell>
        </row>
        <row r="878">
          <cell r="D878" t="str">
            <v>F105x</v>
          </cell>
          <cell r="E878" t="str">
            <v>F105x</v>
          </cell>
          <cell r="F878" t="str">
            <v>F105x</v>
          </cell>
          <cell r="G878" t="str">
            <v>F105x</v>
          </cell>
        </row>
        <row r="879">
          <cell r="D879" t="str">
            <v>F42</v>
          </cell>
          <cell r="E879" t="str">
            <v>F42</v>
          </cell>
          <cell r="F879" t="str">
            <v>F42</v>
          </cell>
          <cell r="G879" t="str">
            <v>F42</v>
          </cell>
        </row>
        <row r="880">
          <cell r="D880" t="str">
            <v>F105x</v>
          </cell>
          <cell r="E880" t="str">
            <v>F105x</v>
          </cell>
          <cell r="F880" t="str">
            <v>F105x</v>
          </cell>
          <cell r="G880" t="str">
            <v>F105x</v>
          </cell>
        </row>
        <row r="881">
          <cell r="D881" t="str">
            <v>F10</v>
          </cell>
          <cell r="E881" t="str">
            <v>F30</v>
          </cell>
          <cell r="F881" t="str">
            <v>F10</v>
          </cell>
          <cell r="G881" t="str">
            <v>F30</v>
          </cell>
        </row>
        <row r="882">
          <cell r="D882" t="str">
            <v>F102x</v>
          </cell>
          <cell r="E882" t="str">
            <v>F102x</v>
          </cell>
          <cell r="F882" t="str">
            <v>F102x</v>
          </cell>
          <cell r="G882" t="str">
            <v>F102x</v>
          </cell>
        </row>
        <row r="883">
          <cell r="D883" t="str">
            <v>F10</v>
          </cell>
          <cell r="E883" t="str">
            <v>F10</v>
          </cell>
          <cell r="F883" t="str">
            <v>F105x</v>
          </cell>
          <cell r="G883" t="str">
            <v>F10</v>
          </cell>
        </row>
        <row r="884">
          <cell r="D884" t="str">
            <v>F10</v>
          </cell>
          <cell r="E884" t="str">
            <v>F10</v>
          </cell>
          <cell r="F884" t="str">
            <v>F10</v>
          </cell>
          <cell r="G884" t="str">
            <v>F10</v>
          </cell>
        </row>
        <row r="888">
          <cell r="D888" t="str">
            <v>F107x</v>
          </cell>
          <cell r="E888" t="str">
            <v>F107x</v>
          </cell>
          <cell r="F888" t="str">
            <v>F107x</v>
          </cell>
          <cell r="G888" t="str">
            <v>F107x</v>
          </cell>
        </row>
        <row r="889">
          <cell r="D889" t="str">
            <v>F102x</v>
          </cell>
          <cell r="E889" t="str">
            <v>F102x</v>
          </cell>
          <cell r="F889" t="str">
            <v>F102x</v>
          </cell>
          <cell r="G889" t="str">
            <v>F102x</v>
          </cell>
        </row>
        <row r="890">
          <cell r="D890" t="str">
            <v>F105x</v>
          </cell>
          <cell r="E890" t="str">
            <v>F105x</v>
          </cell>
          <cell r="F890" t="str">
            <v>F105x</v>
          </cell>
          <cell r="G890" t="str">
            <v>F105x</v>
          </cell>
        </row>
        <row r="891">
          <cell r="D891" t="str">
            <v>F42</v>
          </cell>
          <cell r="E891" t="str">
            <v>F42</v>
          </cell>
          <cell r="F891" t="str">
            <v>F42</v>
          </cell>
          <cell r="G891" t="str">
            <v>F42</v>
          </cell>
        </row>
        <row r="892">
          <cell r="D892" t="str">
            <v>F105x</v>
          </cell>
          <cell r="E892" t="str">
            <v>F105x</v>
          </cell>
          <cell r="F892" t="str">
            <v>F105x</v>
          </cell>
          <cell r="G892" t="str">
            <v>F105x</v>
          </cell>
        </row>
        <row r="893">
          <cell r="D893" t="str">
            <v>F10</v>
          </cell>
          <cell r="E893" t="str">
            <v>F30</v>
          </cell>
          <cell r="F893" t="str">
            <v>F10</v>
          </cell>
          <cell r="G893" t="str">
            <v>F30</v>
          </cell>
        </row>
        <row r="894">
          <cell r="D894" t="str">
            <v>F105x</v>
          </cell>
          <cell r="E894" t="str">
            <v>F105x</v>
          </cell>
          <cell r="F894" t="str">
            <v>F105x</v>
          </cell>
          <cell r="G894" t="str">
            <v>F105x</v>
          </cell>
        </row>
        <row r="895">
          <cell r="D895" t="str">
            <v>F10</v>
          </cell>
          <cell r="E895" t="str">
            <v>F10</v>
          </cell>
          <cell r="F895" t="str">
            <v>F105x</v>
          </cell>
          <cell r="G895" t="str">
            <v>F10</v>
          </cell>
        </row>
        <row r="896">
          <cell r="D896" t="str">
            <v>F10</v>
          </cell>
          <cell r="E896" t="str">
            <v>F10</v>
          </cell>
          <cell r="F896" t="str">
            <v>F10</v>
          </cell>
          <cell r="G896" t="str">
            <v>F10</v>
          </cell>
        </row>
        <row r="900">
          <cell r="D900" t="str">
            <v>F107x</v>
          </cell>
          <cell r="E900" t="str">
            <v>F107x</v>
          </cell>
          <cell r="F900" t="str">
            <v>F107x</v>
          </cell>
          <cell r="G900" t="str">
            <v>F107x</v>
          </cell>
        </row>
        <row r="901">
          <cell r="D901" t="str">
            <v>F105x</v>
          </cell>
          <cell r="E901" t="str">
            <v>F105x</v>
          </cell>
          <cell r="F901" t="str">
            <v>F105x</v>
          </cell>
          <cell r="G901" t="str">
            <v>F105x</v>
          </cell>
        </row>
        <row r="902">
          <cell r="D902" t="str">
            <v>F105x</v>
          </cell>
          <cell r="E902" t="str">
            <v>F105x</v>
          </cell>
          <cell r="F902" t="str">
            <v>F105x</v>
          </cell>
          <cell r="G902" t="str">
            <v>F105x</v>
          </cell>
        </row>
        <row r="903">
          <cell r="D903" t="str">
            <v>F102x</v>
          </cell>
          <cell r="E903" t="str">
            <v>F102x</v>
          </cell>
          <cell r="F903" t="str">
            <v>F102x</v>
          </cell>
          <cell r="G903" t="str">
            <v>F102x</v>
          </cell>
        </row>
        <row r="904">
          <cell r="D904" t="str">
            <v>F105x</v>
          </cell>
          <cell r="E904" t="str">
            <v>F105x</v>
          </cell>
          <cell r="F904" t="str">
            <v>F105x</v>
          </cell>
          <cell r="G904" t="str">
            <v>F105x</v>
          </cell>
        </row>
        <row r="905">
          <cell r="D905" t="str">
            <v>F105x</v>
          </cell>
          <cell r="E905" t="str">
            <v>F105x</v>
          </cell>
          <cell r="F905" t="str">
            <v>F105x</v>
          </cell>
          <cell r="G905" t="str">
            <v>F105x</v>
          </cell>
        </row>
        <row r="909">
          <cell r="D909" t="str">
            <v>F107x</v>
          </cell>
          <cell r="E909" t="str">
            <v>F107x</v>
          </cell>
          <cell r="F909" t="str">
            <v>F107x</v>
          </cell>
          <cell r="G909" t="str">
            <v>F107x</v>
          </cell>
        </row>
        <row r="910">
          <cell r="D910" t="str">
            <v>F105x</v>
          </cell>
          <cell r="E910" t="str">
            <v>F105x</v>
          </cell>
          <cell r="F910" t="str">
            <v>F105x</v>
          </cell>
          <cell r="G910" t="str">
            <v>F105x</v>
          </cell>
        </row>
        <row r="911">
          <cell r="D911" t="str">
            <v>F105x</v>
          </cell>
          <cell r="E911" t="str">
            <v>F105x</v>
          </cell>
          <cell r="F911" t="str">
            <v>F105x</v>
          </cell>
          <cell r="G911" t="str">
            <v>F105x</v>
          </cell>
        </row>
        <row r="912">
          <cell r="D912" t="str">
            <v>F102x</v>
          </cell>
          <cell r="E912" t="str">
            <v>F102x</v>
          </cell>
          <cell r="F912" t="str">
            <v>F102x</v>
          </cell>
          <cell r="G912" t="str">
            <v>F102x</v>
          </cell>
        </row>
        <row r="913">
          <cell r="D913" t="str">
            <v>F10</v>
          </cell>
          <cell r="E913" t="str">
            <v>F30</v>
          </cell>
          <cell r="F913" t="str">
            <v>F10</v>
          </cell>
          <cell r="G913" t="str">
            <v>F30</v>
          </cell>
        </row>
        <row r="914">
          <cell r="D914" t="str">
            <v>F105x</v>
          </cell>
          <cell r="E914" t="str">
            <v>F105x</v>
          </cell>
          <cell r="F914" t="str">
            <v>F105x</v>
          </cell>
          <cell r="G914" t="str">
            <v>F105x</v>
          </cell>
        </row>
        <row r="915">
          <cell r="D915" t="str">
            <v>F10</v>
          </cell>
          <cell r="E915" t="str">
            <v>F10</v>
          </cell>
          <cell r="F915" t="str">
            <v>F105x</v>
          </cell>
          <cell r="G915" t="str">
            <v>F10</v>
          </cell>
        </row>
        <row r="916">
          <cell r="D916" t="str">
            <v>F10</v>
          </cell>
          <cell r="E916" t="str">
            <v>F10</v>
          </cell>
          <cell r="F916" t="str">
            <v>F102x</v>
          </cell>
          <cell r="G916" t="str">
            <v>F10</v>
          </cell>
        </row>
        <row r="920">
          <cell r="D920" t="str">
            <v>F107x</v>
          </cell>
          <cell r="E920" t="str">
            <v>F107x</v>
          </cell>
          <cell r="F920" t="str">
            <v>F107x</v>
          </cell>
          <cell r="G920" t="str">
            <v>F107x</v>
          </cell>
        </row>
        <row r="921">
          <cell r="D921" t="str">
            <v>F105x</v>
          </cell>
          <cell r="E921" t="str">
            <v>F105x</v>
          </cell>
          <cell r="F921" t="str">
            <v>F105x</v>
          </cell>
          <cell r="G921" t="str">
            <v>F105x</v>
          </cell>
        </row>
        <row r="922">
          <cell r="D922" t="str">
            <v>F105x</v>
          </cell>
          <cell r="E922" t="str">
            <v>F105x</v>
          </cell>
          <cell r="F922" t="str">
            <v>F105x</v>
          </cell>
          <cell r="G922" t="str">
            <v>F105x</v>
          </cell>
        </row>
        <row r="923">
          <cell r="D923" t="str">
            <v>F102x</v>
          </cell>
          <cell r="E923" t="str">
            <v>F102x</v>
          </cell>
          <cell r="F923" t="str">
            <v>F102x</v>
          </cell>
          <cell r="G923" t="str">
            <v>F102x</v>
          </cell>
        </row>
        <row r="924">
          <cell r="D924" t="str">
            <v>F10</v>
          </cell>
          <cell r="E924" t="str">
            <v>F30</v>
          </cell>
          <cell r="F924" t="str">
            <v>F10</v>
          </cell>
          <cell r="G924" t="str">
            <v>F30</v>
          </cell>
        </row>
        <row r="925">
          <cell r="D925" t="str">
            <v>F105x</v>
          </cell>
          <cell r="E925" t="str">
            <v>F105x</v>
          </cell>
          <cell r="F925" t="str">
            <v>F105x</v>
          </cell>
          <cell r="G925" t="str">
            <v>F105x</v>
          </cell>
        </row>
        <row r="926">
          <cell r="D926" t="str">
            <v>F10</v>
          </cell>
          <cell r="E926" t="str">
            <v>F10</v>
          </cell>
          <cell r="F926" t="str">
            <v>F105x</v>
          </cell>
          <cell r="G926" t="str">
            <v>F10</v>
          </cell>
        </row>
        <row r="927">
          <cell r="D927" t="str">
            <v>F10</v>
          </cell>
          <cell r="E927" t="str">
            <v>F10</v>
          </cell>
          <cell r="F927" t="str">
            <v>F102x</v>
          </cell>
          <cell r="G927" t="str">
            <v>F10</v>
          </cell>
        </row>
        <row r="931">
          <cell r="D931" t="str">
            <v>F107x</v>
          </cell>
          <cell r="E931" t="str">
            <v>F107x</v>
          </cell>
          <cell r="F931" t="str">
            <v>F107x</v>
          </cell>
          <cell r="G931" t="str">
            <v>F107x</v>
          </cell>
        </row>
        <row r="932">
          <cell r="D932" t="str">
            <v>F105x</v>
          </cell>
          <cell r="E932" t="str">
            <v>F105x</v>
          </cell>
          <cell r="F932" t="str">
            <v>F105x</v>
          </cell>
          <cell r="G932" t="str">
            <v>F105x</v>
          </cell>
        </row>
        <row r="933">
          <cell r="D933" t="str">
            <v>F105x</v>
          </cell>
          <cell r="E933" t="str">
            <v>F105x</v>
          </cell>
          <cell r="F933" t="str">
            <v>F105x</v>
          </cell>
          <cell r="G933" t="str">
            <v>F105x</v>
          </cell>
        </row>
        <row r="934">
          <cell r="D934" t="str">
            <v>F102x</v>
          </cell>
          <cell r="E934" t="str">
            <v>F102x</v>
          </cell>
          <cell r="F934" t="str">
            <v>F102x</v>
          </cell>
          <cell r="G934" t="str">
            <v>F102x</v>
          </cell>
        </row>
        <row r="935">
          <cell r="D935" t="str">
            <v>F105x</v>
          </cell>
          <cell r="E935" t="str">
            <v>F105x</v>
          </cell>
          <cell r="F935" t="str">
            <v>F105x</v>
          </cell>
          <cell r="G935" t="str">
            <v>F105x</v>
          </cell>
        </row>
        <row r="936">
          <cell r="D936" t="str">
            <v>F10</v>
          </cell>
          <cell r="E936" t="str">
            <v>F30</v>
          </cell>
          <cell r="F936" t="str">
            <v>F10</v>
          </cell>
          <cell r="G936" t="str">
            <v>F30</v>
          </cell>
        </row>
        <row r="937">
          <cell r="D937" t="str">
            <v>F10</v>
          </cell>
          <cell r="E937" t="str">
            <v>F10</v>
          </cell>
          <cell r="F937" t="str">
            <v>F105x</v>
          </cell>
          <cell r="G937" t="str">
            <v>F10</v>
          </cell>
        </row>
        <row r="938">
          <cell r="D938" t="str">
            <v>F10</v>
          </cell>
          <cell r="E938" t="str">
            <v>F10</v>
          </cell>
          <cell r="F938" t="str">
            <v>F102x</v>
          </cell>
          <cell r="G938" t="str">
            <v>F10</v>
          </cell>
        </row>
        <row r="942">
          <cell r="D942" t="str">
            <v>F107x</v>
          </cell>
          <cell r="E942" t="str">
            <v>F107x</v>
          </cell>
          <cell r="F942" t="str">
            <v>F107x</v>
          </cell>
          <cell r="G942" t="str">
            <v>F107x</v>
          </cell>
        </row>
        <row r="943">
          <cell r="D943" t="str">
            <v>F105x</v>
          </cell>
          <cell r="E943" t="str">
            <v>F105x</v>
          </cell>
          <cell r="F943" t="str">
            <v>F105x</v>
          </cell>
          <cell r="G943" t="str">
            <v>F105x</v>
          </cell>
        </row>
        <row r="944">
          <cell r="D944" t="str">
            <v>F105x</v>
          </cell>
          <cell r="E944" t="str">
            <v>F105x</v>
          </cell>
          <cell r="F944" t="str">
            <v>F105x</v>
          </cell>
          <cell r="G944" t="str">
            <v>F105x</v>
          </cell>
        </row>
        <row r="945">
          <cell r="D945" t="str">
            <v>F102x</v>
          </cell>
          <cell r="E945" t="str">
            <v>F102x</v>
          </cell>
          <cell r="F945" t="str">
            <v>F102x</v>
          </cell>
          <cell r="G945" t="str">
            <v>F102x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</v>
          </cell>
          <cell r="E948" t="str">
            <v>F30</v>
          </cell>
          <cell r="F948" t="str">
            <v>F10</v>
          </cell>
          <cell r="G948" t="str">
            <v>F30</v>
          </cell>
        </row>
        <row r="949">
          <cell r="D949" t="str">
            <v>F10</v>
          </cell>
          <cell r="E949" t="str">
            <v>F10</v>
          </cell>
          <cell r="F949" t="str">
            <v>F105x</v>
          </cell>
          <cell r="G949" t="str">
            <v>F10</v>
          </cell>
        </row>
        <row r="950">
          <cell r="D950" t="str">
            <v>F10</v>
          </cell>
          <cell r="E950" t="str">
            <v>F10</v>
          </cell>
          <cell r="F950" t="str">
            <v>F105x</v>
          </cell>
          <cell r="G950" t="str">
            <v>F10</v>
          </cell>
        </row>
        <row r="951">
          <cell r="D951" t="str">
            <v>F10</v>
          </cell>
          <cell r="E951" t="str">
            <v>F10</v>
          </cell>
          <cell r="F951" t="str">
            <v>F105x</v>
          </cell>
          <cell r="G951" t="str">
            <v>F10</v>
          </cell>
        </row>
        <row r="956">
          <cell r="D956" t="str">
            <v>C</v>
          </cell>
          <cell r="E956" t="str">
            <v>C</v>
          </cell>
          <cell r="F956" t="str">
            <v>C</v>
          </cell>
          <cell r="G956" t="str">
            <v>C</v>
          </cell>
        </row>
        <row r="957">
          <cell r="D957" t="str">
            <v>COS
Factor</v>
          </cell>
          <cell r="E957" t="str">
            <v>COS
Factor</v>
          </cell>
          <cell r="F957" t="str">
            <v>COS
Factor</v>
          </cell>
          <cell r="G957" t="str">
            <v>COS
Factor</v>
          </cell>
        </row>
        <row r="959">
          <cell r="D959" t="str">
            <v>F107x</v>
          </cell>
          <cell r="E959" t="str">
            <v>F107x</v>
          </cell>
          <cell r="F959" t="str">
            <v>F107x</v>
          </cell>
          <cell r="G959" t="str">
            <v>F107x</v>
          </cell>
        </row>
        <row r="960">
          <cell r="D960" t="str">
            <v>F105x</v>
          </cell>
          <cell r="E960" t="str">
            <v>F105x</v>
          </cell>
          <cell r="F960" t="str">
            <v>F105x</v>
          </cell>
          <cell r="G960" t="str">
            <v>F105x</v>
          </cell>
        </row>
        <row r="961">
          <cell r="D961" t="str">
            <v>F105x</v>
          </cell>
          <cell r="E961" t="str">
            <v>F105x</v>
          </cell>
          <cell r="F961" t="str">
            <v>F105x</v>
          </cell>
          <cell r="G961" t="str">
            <v>F105x</v>
          </cell>
        </row>
        <row r="962">
          <cell r="D962" t="str">
            <v>F42</v>
          </cell>
          <cell r="E962" t="str">
            <v>F42</v>
          </cell>
          <cell r="F962" t="str">
            <v>F42</v>
          </cell>
          <cell r="G962" t="str">
            <v>F42</v>
          </cell>
        </row>
        <row r="963">
          <cell r="D963" t="str">
            <v>F102x</v>
          </cell>
          <cell r="E963" t="str">
            <v>F102x</v>
          </cell>
          <cell r="F963" t="str">
            <v>F102x</v>
          </cell>
          <cell r="G963" t="str">
            <v>F102x</v>
          </cell>
        </row>
        <row r="964">
          <cell r="D964" t="str">
            <v>F10</v>
          </cell>
          <cell r="E964" t="str">
            <v>F30</v>
          </cell>
          <cell r="F964" t="str">
            <v>F10</v>
          </cell>
          <cell r="G964" t="str">
            <v>F30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9">
          <cell r="D969" t="str">
            <v>F10</v>
          </cell>
          <cell r="E969" t="str">
            <v>F30</v>
          </cell>
          <cell r="F969" t="str">
            <v>F10</v>
          </cell>
          <cell r="G969" t="str">
            <v>F30</v>
          </cell>
        </row>
        <row r="970">
          <cell r="D970" t="str">
            <v>F10</v>
          </cell>
          <cell r="E970" t="str">
            <v>F30</v>
          </cell>
          <cell r="F970" t="str">
            <v>F10</v>
          </cell>
          <cell r="G970" t="str">
            <v>F30</v>
          </cell>
        </row>
        <row r="971">
          <cell r="D971" t="str">
            <v>F10</v>
          </cell>
          <cell r="E971" t="str">
            <v>F30</v>
          </cell>
          <cell r="F971" t="str">
            <v>F10</v>
          </cell>
          <cell r="G971" t="str">
            <v>F30</v>
          </cell>
        </row>
        <row r="974">
          <cell r="D974" t="str">
            <v>F10</v>
          </cell>
          <cell r="E974" t="str">
            <v>F10</v>
          </cell>
          <cell r="F974" t="str">
            <v>F10</v>
          </cell>
          <cell r="G974" t="str">
            <v>F10</v>
          </cell>
        </row>
        <row r="975">
          <cell r="D975" t="str">
            <v>F10</v>
          </cell>
          <cell r="E975" t="str">
            <v>F10</v>
          </cell>
          <cell r="F975" t="str">
            <v>F10</v>
          </cell>
          <cell r="G975" t="str">
            <v>F10</v>
          </cell>
        </row>
        <row r="976">
          <cell r="D976" t="str">
            <v>F10</v>
          </cell>
          <cell r="E976" t="str">
            <v>F10</v>
          </cell>
          <cell r="F976" t="str">
            <v>F10</v>
          </cell>
          <cell r="G976" t="str">
            <v>F10</v>
          </cell>
        </row>
        <row r="980">
          <cell r="D980" t="str">
            <v>F10</v>
          </cell>
          <cell r="E980" t="str">
            <v>F30</v>
          </cell>
          <cell r="F980" t="str">
            <v>F10</v>
          </cell>
          <cell r="G980" t="str">
            <v>F30</v>
          </cell>
        </row>
        <row r="981">
          <cell r="D981" t="str">
            <v>F10</v>
          </cell>
          <cell r="E981" t="str">
            <v>F30</v>
          </cell>
          <cell r="F981" t="str">
            <v>F10</v>
          </cell>
          <cell r="G981" t="str">
            <v>F30</v>
          </cell>
        </row>
        <row r="983">
          <cell r="D983" t="str">
            <v>F102x</v>
          </cell>
          <cell r="E983" t="str">
            <v>F102x</v>
          </cell>
          <cell r="F983" t="str">
            <v>F102x</v>
          </cell>
          <cell r="G983" t="str">
            <v>F102x</v>
          </cell>
        </row>
        <row r="984">
          <cell r="D984" t="str">
            <v>F102x</v>
          </cell>
          <cell r="E984" t="str">
            <v>F102x</v>
          </cell>
          <cell r="F984" t="str">
            <v>F102x</v>
          </cell>
          <cell r="G984" t="str">
            <v>F102x</v>
          </cell>
        </row>
        <row r="993">
          <cell r="D993" t="str">
            <v>F107x</v>
          </cell>
          <cell r="E993" t="str">
            <v>F107x</v>
          </cell>
          <cell r="F993" t="str">
            <v>F107x</v>
          </cell>
          <cell r="G993" t="str">
            <v>F107x</v>
          </cell>
        </row>
        <row r="994">
          <cell r="D994" t="str">
            <v>F102x</v>
          </cell>
          <cell r="E994" t="str">
            <v>F102x</v>
          </cell>
          <cell r="F994" t="str">
            <v>F102x</v>
          </cell>
          <cell r="G994" t="str">
            <v>F102x</v>
          </cell>
        </row>
        <row r="995">
          <cell r="D995" t="str">
            <v>F105x</v>
          </cell>
          <cell r="E995" t="str">
            <v>F105x</v>
          </cell>
          <cell r="F995" t="str">
            <v>F105x</v>
          </cell>
          <cell r="G995" t="str">
            <v>F105x</v>
          </cell>
        </row>
        <row r="999">
          <cell r="D999" t="str">
            <v>F107x</v>
          </cell>
          <cell r="E999" t="str">
            <v>F107x</v>
          </cell>
          <cell r="F999" t="str">
            <v>F107x</v>
          </cell>
          <cell r="G999" t="str">
            <v>F107x</v>
          </cell>
        </row>
        <row r="1000">
          <cell r="D1000" t="str">
            <v>F105x</v>
          </cell>
          <cell r="E1000" t="str">
            <v>F105x</v>
          </cell>
          <cell r="F1000" t="str">
            <v>F105x</v>
          </cell>
          <cell r="G1000" t="str">
            <v>F105x</v>
          </cell>
        </row>
        <row r="1001">
          <cell r="D1001" t="str">
            <v>F105x</v>
          </cell>
          <cell r="E1001" t="str">
            <v>F105x</v>
          </cell>
          <cell r="F1001" t="str">
            <v>F105x</v>
          </cell>
          <cell r="G1001" t="str">
            <v>F105x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6">
          <cell r="D1006" t="str">
            <v>F107x</v>
          </cell>
          <cell r="E1006" t="str">
            <v>F107x</v>
          </cell>
          <cell r="F1006" t="str">
            <v>F107x</v>
          </cell>
          <cell r="G1006" t="str">
            <v>F107x</v>
          </cell>
        </row>
        <row r="1007">
          <cell r="D1007" t="str">
            <v>F105x</v>
          </cell>
          <cell r="E1007" t="str">
            <v>F105x</v>
          </cell>
          <cell r="F1007" t="str">
            <v>F105x</v>
          </cell>
          <cell r="G1007" t="str">
            <v>F105x</v>
          </cell>
        </row>
        <row r="1008">
          <cell r="D1008" t="str">
            <v>F102x</v>
          </cell>
          <cell r="E1008" t="str">
            <v>F102x</v>
          </cell>
          <cell r="F1008" t="str">
            <v>F102x</v>
          </cell>
          <cell r="G1008" t="str">
            <v>F102x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F42</v>
          </cell>
          <cell r="E1010" t="str">
            <v>F42</v>
          </cell>
          <cell r="F1010" t="str">
            <v>F42</v>
          </cell>
          <cell r="G1010" t="str">
            <v>F42</v>
          </cell>
        </row>
        <row r="1011">
          <cell r="D1011" t="str">
            <v>F10</v>
          </cell>
          <cell r="E1011" t="str">
            <v>F105x</v>
          </cell>
          <cell r="F1011" t="str">
            <v>F10</v>
          </cell>
          <cell r="G1011" t="str">
            <v>F10</v>
          </cell>
        </row>
        <row r="1012">
          <cell r="D1012" t="str">
            <v>F105x</v>
          </cell>
          <cell r="E1012" t="str">
            <v>F105x</v>
          </cell>
          <cell r="F1012" t="str">
            <v>F105x</v>
          </cell>
          <cell r="G1012" t="str">
            <v>F105x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6">
          <cell r="D1016" t="str">
            <v>F102x</v>
          </cell>
          <cell r="E1016" t="str">
            <v>F102x</v>
          </cell>
          <cell r="F1016" t="str">
            <v>F102x</v>
          </cell>
          <cell r="G1016" t="str">
            <v>F102x</v>
          </cell>
        </row>
        <row r="1026">
          <cell r="D1026" t="str">
            <v>C</v>
          </cell>
          <cell r="E1026" t="str">
            <v>C</v>
          </cell>
          <cell r="F1026" t="str">
            <v>C</v>
          </cell>
          <cell r="G1026" t="str">
            <v>C</v>
          </cell>
        </row>
        <row r="1027">
          <cell r="D1027" t="str">
            <v>COS
Factor</v>
          </cell>
          <cell r="E1027" t="str">
            <v>COS
Factor</v>
          </cell>
          <cell r="F1027" t="str">
            <v>COS
Factor</v>
          </cell>
          <cell r="G1027" t="str">
            <v>COS
Factor</v>
          </cell>
        </row>
        <row r="1029">
          <cell r="D1029" t="str">
            <v>F20</v>
          </cell>
          <cell r="E1029" t="str">
            <v>F20</v>
          </cell>
          <cell r="F1029" t="str">
            <v>F20</v>
          </cell>
          <cell r="G1029" t="str">
            <v>F20</v>
          </cell>
        </row>
        <row r="1030">
          <cell r="D1030" t="str">
            <v>F10</v>
          </cell>
          <cell r="E1030" t="str">
            <v>F10</v>
          </cell>
          <cell r="F1030" t="str">
            <v>F10</v>
          </cell>
          <cell r="G1030" t="str">
            <v>F10</v>
          </cell>
        </row>
        <row r="1031">
          <cell r="D1031" t="str">
            <v>F10</v>
          </cell>
          <cell r="E1031" t="str">
            <v>F10</v>
          </cell>
          <cell r="F1031" t="str">
            <v>F10</v>
          </cell>
          <cell r="G1031" t="str">
            <v>F10</v>
          </cell>
        </row>
        <row r="1032">
          <cell r="D1032" t="str">
            <v>F10</v>
          </cell>
          <cell r="E1032" t="str">
            <v>F10</v>
          </cell>
          <cell r="F1032" t="str">
            <v>F10</v>
          </cell>
          <cell r="G1032" t="str">
            <v>F10</v>
          </cell>
        </row>
        <row r="1033">
          <cell r="D1033" t="str">
            <v>F10</v>
          </cell>
          <cell r="E1033" t="str">
            <v>F30</v>
          </cell>
          <cell r="F1033" t="str">
            <v>F10</v>
          </cell>
          <cell r="G1033" t="str">
            <v>F30</v>
          </cell>
        </row>
        <row r="1034">
          <cell r="D1034" t="str">
            <v>F102</v>
          </cell>
          <cell r="E1034" t="str">
            <v>F102</v>
          </cell>
          <cell r="F1034" t="str">
            <v>F102</v>
          </cell>
          <cell r="G1034" t="str">
            <v>F102</v>
          </cell>
        </row>
        <row r="1037">
          <cell r="D1037" t="str">
            <v>F10</v>
          </cell>
          <cell r="E1037" t="str">
            <v>F10</v>
          </cell>
          <cell r="F1037" t="str">
            <v>F10</v>
          </cell>
          <cell r="G1037" t="str">
            <v>F10</v>
          </cell>
        </row>
        <row r="1039">
          <cell r="D1039" t="str">
            <v>F102x</v>
          </cell>
          <cell r="E1039" t="str">
            <v>F102x</v>
          </cell>
          <cell r="F1039" t="str">
            <v>F102x</v>
          </cell>
          <cell r="G1039" t="str">
            <v>F102x</v>
          </cell>
        </row>
        <row r="1041">
          <cell r="D1041" t="str">
            <v>F10</v>
          </cell>
          <cell r="E1041" t="str">
            <v>F11</v>
          </cell>
          <cell r="F1041" t="str">
            <v>F10</v>
          </cell>
          <cell r="G1041" t="str">
            <v>F11</v>
          </cell>
        </row>
        <row r="1043">
          <cell r="D1043" t="str">
            <v>F10</v>
          </cell>
          <cell r="E1043" t="str">
            <v>F30</v>
          </cell>
          <cell r="F1043" t="str">
            <v>F10</v>
          </cell>
          <cell r="G1043" t="str">
            <v>F30</v>
          </cell>
        </row>
        <row r="1044">
          <cell r="D1044" t="str">
            <v>F10</v>
          </cell>
          <cell r="E1044" t="str">
            <v>F30</v>
          </cell>
          <cell r="F1044" t="str">
            <v>F10</v>
          </cell>
          <cell r="G1044" t="str">
            <v>F30</v>
          </cell>
        </row>
        <row r="1047">
          <cell r="D1047" t="str">
            <v>F10</v>
          </cell>
          <cell r="E1047" t="str">
            <v>F30</v>
          </cell>
          <cell r="F1047" t="str">
            <v>F10</v>
          </cell>
          <cell r="G1047" t="str">
            <v>F30</v>
          </cell>
        </row>
        <row r="1049">
          <cell r="D1049" t="str">
            <v>F10</v>
          </cell>
          <cell r="E1049" t="str">
            <v>F30</v>
          </cell>
          <cell r="F1049" t="str">
            <v>F10</v>
          </cell>
          <cell r="G1049" t="str">
            <v>F30</v>
          </cell>
        </row>
        <row r="1051">
          <cell r="D1051" t="str">
            <v>F10</v>
          </cell>
          <cell r="E1051" t="str">
            <v>F30</v>
          </cell>
          <cell r="F1051" t="str">
            <v>F10</v>
          </cell>
          <cell r="G1051" t="str">
            <v>F30</v>
          </cell>
        </row>
        <row r="1053">
          <cell r="D1053" t="str">
            <v>F10</v>
          </cell>
          <cell r="E1053" t="str">
            <v>F30</v>
          </cell>
          <cell r="F1053" t="str">
            <v>F10</v>
          </cell>
          <cell r="G1053" t="str">
            <v>F30</v>
          </cell>
        </row>
        <row r="1055">
          <cell r="D1055" t="str">
            <v>F102x</v>
          </cell>
          <cell r="E1055" t="str">
            <v>F102x</v>
          </cell>
          <cell r="F1055" t="str">
            <v>F102x</v>
          </cell>
          <cell r="G1055" t="str">
            <v>F102x</v>
          </cell>
        </row>
        <row r="1056">
          <cell r="D1056" t="str">
            <v>F102x</v>
          </cell>
          <cell r="E1056" t="str">
            <v>F102x</v>
          </cell>
          <cell r="F1056" t="str">
            <v>F102x</v>
          </cell>
          <cell r="G1056" t="str">
            <v>F102x</v>
          </cell>
        </row>
        <row r="1057">
          <cell r="D1057" t="str">
            <v>F102x</v>
          </cell>
          <cell r="E1057" t="str">
            <v>F102x</v>
          </cell>
          <cell r="F1057" t="str">
            <v>F102x</v>
          </cell>
          <cell r="G1057" t="str">
            <v>F102x</v>
          </cell>
        </row>
        <row r="1058">
          <cell r="D1058" t="str">
            <v>F102x</v>
          </cell>
          <cell r="E1058" t="str">
            <v>F102x</v>
          </cell>
          <cell r="F1058" t="str">
            <v>F102x</v>
          </cell>
          <cell r="G1058" t="str">
            <v>F102x</v>
          </cell>
        </row>
        <row r="1059">
          <cell r="D1059" t="str">
            <v>F102x</v>
          </cell>
          <cell r="E1059" t="str">
            <v>F102x</v>
          </cell>
          <cell r="F1059" t="str">
            <v>F102x</v>
          </cell>
          <cell r="G1059" t="str">
            <v>F102x</v>
          </cell>
        </row>
        <row r="1060">
          <cell r="D1060" t="str">
            <v>F102x</v>
          </cell>
          <cell r="E1060" t="str">
            <v>F102x</v>
          </cell>
          <cell r="F1060" t="str">
            <v>F102x</v>
          </cell>
          <cell r="G1060" t="str">
            <v>F102x</v>
          </cell>
        </row>
        <row r="1061">
          <cell r="D1061" t="str">
            <v>F102x</v>
          </cell>
          <cell r="E1061" t="str">
            <v>F102x</v>
          </cell>
          <cell r="F1061" t="str">
            <v>F102x</v>
          </cell>
          <cell r="G1061" t="str">
            <v>F102x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3">
          <cell r="D1063" t="str">
            <v>F102x</v>
          </cell>
          <cell r="E1063" t="str">
            <v>F102x</v>
          </cell>
          <cell r="F1063" t="str">
            <v>F102x</v>
          </cell>
          <cell r="G1063" t="str">
            <v>F102x</v>
          </cell>
        </row>
        <row r="1064">
          <cell r="D1064" t="str">
            <v>F102x</v>
          </cell>
          <cell r="E1064" t="str">
            <v>F102x</v>
          </cell>
          <cell r="F1064" t="str">
            <v>F102x</v>
          </cell>
          <cell r="G1064" t="str">
            <v>F102x</v>
          </cell>
        </row>
        <row r="1065">
          <cell r="D1065" t="str">
            <v>F10</v>
          </cell>
          <cell r="E1065" t="str">
            <v>F10</v>
          </cell>
          <cell r="F1065" t="str">
            <v>F10</v>
          </cell>
          <cell r="G1065" t="str">
            <v>F10</v>
          </cell>
        </row>
        <row r="1066">
          <cell r="D1066" t="str">
            <v>F102x</v>
          </cell>
          <cell r="E1066" t="str">
            <v>F102x</v>
          </cell>
          <cell r="F1066" t="str">
            <v>F102x</v>
          </cell>
          <cell r="G1066" t="str">
            <v>F102x</v>
          </cell>
        </row>
        <row r="1067">
          <cell r="D1067" t="str">
            <v>F102x</v>
          </cell>
          <cell r="E1067" t="str">
            <v>F102x</v>
          </cell>
          <cell r="F1067" t="str">
            <v>F102x</v>
          </cell>
          <cell r="G1067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2">
          <cell r="D1072" t="str">
            <v>F102x</v>
          </cell>
          <cell r="E1072" t="str">
            <v>F102x</v>
          </cell>
          <cell r="F1072" t="str">
            <v>F102x</v>
          </cell>
          <cell r="G1072" t="str">
            <v>F102x</v>
          </cell>
        </row>
        <row r="1074">
          <cell r="D1074" t="str">
            <v>F102x</v>
          </cell>
          <cell r="E1074" t="str">
            <v>F102x</v>
          </cell>
          <cell r="F1074" t="str">
            <v>F102x</v>
          </cell>
          <cell r="G1074" t="str">
            <v>F102x</v>
          </cell>
        </row>
        <row r="1075">
          <cell r="D1075" t="str">
            <v>F42</v>
          </cell>
          <cell r="E1075" t="str">
            <v>F42</v>
          </cell>
          <cell r="F1075" t="str">
            <v>F42</v>
          </cell>
          <cell r="G1075" t="str">
            <v>F42</v>
          </cell>
        </row>
        <row r="1076">
          <cell r="D1076" t="str">
            <v>F102x</v>
          </cell>
          <cell r="E1076" t="str">
            <v>F102x</v>
          </cell>
          <cell r="F1076" t="str">
            <v>F102x</v>
          </cell>
          <cell r="G1076" t="str">
            <v>F102x</v>
          </cell>
        </row>
        <row r="1077">
          <cell r="D1077" t="str">
            <v>F102x</v>
          </cell>
          <cell r="E1077" t="str">
            <v>F102x</v>
          </cell>
          <cell r="F1077" t="str">
            <v>F102x</v>
          </cell>
          <cell r="G1077" t="str">
            <v>F102x</v>
          </cell>
        </row>
        <row r="1078">
          <cell r="D1078" t="str">
            <v>F102x</v>
          </cell>
          <cell r="E1078" t="str">
            <v>F102x</v>
          </cell>
          <cell r="F1078" t="str">
            <v>F102x</v>
          </cell>
          <cell r="G1078" t="str">
            <v>F102x</v>
          </cell>
        </row>
        <row r="1081">
          <cell r="D1081" t="str">
            <v>F102x</v>
          </cell>
          <cell r="E1081" t="str">
            <v>F102x</v>
          </cell>
          <cell r="F1081" t="str">
            <v>F102x</v>
          </cell>
          <cell r="G1081" t="str">
            <v>F102x</v>
          </cell>
        </row>
        <row r="1082">
          <cell r="D1082" t="str">
            <v>F102x</v>
          </cell>
          <cell r="E1082" t="str">
            <v>F102x</v>
          </cell>
          <cell r="F1082" t="str">
            <v>F102x</v>
          </cell>
          <cell r="G1082" t="str">
            <v>F102x</v>
          </cell>
        </row>
        <row r="1083">
          <cell r="D1083" t="str">
            <v>F10</v>
          </cell>
          <cell r="E1083" t="str">
            <v>F10</v>
          </cell>
          <cell r="F1083" t="str">
            <v>F102x</v>
          </cell>
          <cell r="G1083" t="str">
            <v>F10</v>
          </cell>
        </row>
        <row r="1084">
          <cell r="D1084" t="str">
            <v>F102x</v>
          </cell>
          <cell r="E1084" t="str">
            <v>F102x</v>
          </cell>
          <cell r="F1084" t="str">
            <v>F102x</v>
          </cell>
          <cell r="G1084" t="str">
            <v>F102x</v>
          </cell>
        </row>
        <row r="1085">
          <cell r="D1085" t="str">
            <v>F10</v>
          </cell>
          <cell r="E1085" t="str">
            <v>F30</v>
          </cell>
          <cell r="F1085" t="str">
            <v>F10</v>
          </cell>
          <cell r="G1085" t="str">
            <v>F30</v>
          </cell>
        </row>
        <row r="1086">
          <cell r="D1086" t="str">
            <v>F102x</v>
          </cell>
          <cell r="E1086" t="str">
            <v>F102x</v>
          </cell>
          <cell r="F1086" t="str">
            <v>F102x</v>
          </cell>
          <cell r="G1086" t="str">
            <v>F102x</v>
          </cell>
        </row>
        <row r="1087">
          <cell r="D1087" t="str">
            <v>F102x</v>
          </cell>
          <cell r="E1087" t="str">
            <v>F102x</v>
          </cell>
          <cell r="F1087" t="str">
            <v>F102x</v>
          </cell>
          <cell r="G1087" t="str">
            <v>F102x</v>
          </cell>
        </row>
        <row r="1090">
          <cell r="D1090" t="str">
            <v>F102x</v>
          </cell>
          <cell r="E1090" t="str">
            <v>F102x</v>
          </cell>
          <cell r="F1090" t="str">
            <v>F102x</v>
          </cell>
          <cell r="G1090" t="str">
            <v>F102x</v>
          </cell>
        </row>
        <row r="1091">
          <cell r="D1091" t="str">
            <v>F102x</v>
          </cell>
          <cell r="E1091" t="str">
            <v>F102x</v>
          </cell>
          <cell r="F1091" t="str">
            <v>F102x</v>
          </cell>
          <cell r="G1091" t="str">
            <v>F102x</v>
          </cell>
        </row>
        <row r="1092">
          <cell r="D1092" t="str">
            <v>F102x</v>
          </cell>
          <cell r="E1092" t="str">
            <v>F102x</v>
          </cell>
          <cell r="F1092" t="str">
            <v>F102x</v>
          </cell>
          <cell r="G1092" t="str">
            <v>F102x</v>
          </cell>
        </row>
        <row r="1093">
          <cell r="D1093" t="str">
            <v>F102x</v>
          </cell>
          <cell r="E1093" t="str">
            <v>F102x</v>
          </cell>
          <cell r="F1093" t="str">
            <v>F102x</v>
          </cell>
          <cell r="G1093" t="str">
            <v>F102x</v>
          </cell>
        </row>
        <row r="1094">
          <cell r="D1094" t="str">
            <v>F102x</v>
          </cell>
          <cell r="E1094" t="str">
            <v>F102x</v>
          </cell>
          <cell r="F1094" t="str">
            <v>F102x</v>
          </cell>
          <cell r="G1094" t="str">
            <v>F102x</v>
          </cell>
        </row>
        <row r="1095">
          <cell r="D1095" t="str">
            <v>F10</v>
          </cell>
          <cell r="E1095" t="str">
            <v>F30</v>
          </cell>
          <cell r="F1095" t="str">
            <v>F10</v>
          </cell>
          <cell r="G1095" t="str">
            <v>F30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F102x</v>
          </cell>
          <cell r="E1097" t="str">
            <v>F102x</v>
          </cell>
          <cell r="F1097" t="str">
            <v>F102x</v>
          </cell>
          <cell r="G1097" t="str">
            <v>F102x</v>
          </cell>
        </row>
        <row r="1100">
          <cell r="D1100" t="str">
            <v>F137x</v>
          </cell>
          <cell r="E1100" t="str">
            <v>F137x</v>
          </cell>
          <cell r="F1100" t="str">
            <v>F137x</v>
          </cell>
          <cell r="G1100" t="str">
            <v>F137x</v>
          </cell>
        </row>
        <row r="1102">
          <cell r="D1102" t="str">
            <v>F137x</v>
          </cell>
          <cell r="E1102" t="str">
            <v>F137x</v>
          </cell>
          <cell r="F1102" t="str">
            <v>F137x</v>
          </cell>
          <cell r="G1102" t="str">
            <v>F137x</v>
          </cell>
        </row>
        <row r="1105">
          <cell r="D1105" t="str">
            <v>F10</v>
          </cell>
          <cell r="E1105" t="str">
            <v>F10</v>
          </cell>
          <cell r="F1105" t="str">
            <v>F10</v>
          </cell>
          <cell r="G1105" t="str">
            <v>F10</v>
          </cell>
        </row>
        <row r="1107">
          <cell r="D1107" t="str">
            <v>F10</v>
          </cell>
          <cell r="E1107" t="str">
            <v>F10</v>
          </cell>
          <cell r="F1107" t="str">
            <v>F10</v>
          </cell>
          <cell r="G1107" t="str">
            <v>F10</v>
          </cell>
        </row>
        <row r="1109">
          <cell r="D1109" t="str">
            <v>F10</v>
          </cell>
          <cell r="E1109" t="str">
            <v>F30</v>
          </cell>
          <cell r="F1109" t="str">
            <v>F10</v>
          </cell>
          <cell r="G1109" t="str">
            <v>F30</v>
          </cell>
        </row>
        <row r="1114">
          <cell r="D1114" t="str">
            <v>C</v>
          </cell>
          <cell r="E1114" t="str">
            <v>C</v>
          </cell>
          <cell r="F1114" t="str">
            <v>C</v>
          </cell>
          <cell r="G1114" t="str">
            <v>C</v>
          </cell>
        </row>
        <row r="1115">
          <cell r="D1115" t="str">
            <v>COS
Factor</v>
          </cell>
          <cell r="E1115" t="str">
            <v>COS
Factor</v>
          </cell>
          <cell r="F1115" t="str">
            <v>COS
Factor</v>
          </cell>
          <cell r="G1115" t="str">
            <v>COS
Factor</v>
          </cell>
        </row>
        <row r="1117">
          <cell r="D1117" t="str">
            <v>F51</v>
          </cell>
          <cell r="E1117" t="str">
            <v>F51</v>
          </cell>
          <cell r="F1117" t="str">
            <v>F51</v>
          </cell>
          <cell r="G1117" t="str">
            <v>F51</v>
          </cell>
        </row>
        <row r="1119">
          <cell r="D1119" t="str">
            <v>F102x</v>
          </cell>
          <cell r="E1119" t="str">
            <v>F102x</v>
          </cell>
          <cell r="F1119" t="str">
            <v>F102x</v>
          </cell>
          <cell r="G1119" t="str">
            <v>F102x</v>
          </cell>
        </row>
        <row r="1121">
          <cell r="D1121" t="str">
            <v>F102x</v>
          </cell>
          <cell r="E1121" t="str">
            <v>F102x</v>
          </cell>
          <cell r="F1121" t="str">
            <v>F102x</v>
          </cell>
          <cell r="G1121" t="str">
            <v>F102x</v>
          </cell>
        </row>
        <row r="1123">
          <cell r="D1123" t="str">
            <v>F102x</v>
          </cell>
          <cell r="E1123" t="str">
            <v>F102x</v>
          </cell>
          <cell r="F1123" t="str">
            <v>F102x</v>
          </cell>
          <cell r="G1123" t="str">
            <v>F102x</v>
          </cell>
        </row>
        <row r="1125">
          <cell r="D1125" t="str">
            <v>F10</v>
          </cell>
          <cell r="E1125" t="str">
            <v>F10</v>
          </cell>
          <cell r="F1125" t="str">
            <v>F10</v>
          </cell>
          <cell r="G1125" t="str">
            <v>F10</v>
          </cell>
        </row>
        <row r="1127">
          <cell r="D1127" t="str">
            <v>F10</v>
          </cell>
          <cell r="E1127" t="str">
            <v>F30</v>
          </cell>
          <cell r="F1127" t="str">
            <v>F10</v>
          </cell>
          <cell r="G1127" t="str">
            <v>F30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F10</v>
          </cell>
          <cell r="E1130" t="str">
            <v>F10</v>
          </cell>
          <cell r="F1130" t="str">
            <v>F10</v>
          </cell>
          <cell r="G1130" t="str">
            <v>F10</v>
          </cell>
        </row>
        <row r="1132">
          <cell r="D1132" t="str">
            <v>F50</v>
          </cell>
          <cell r="E1132" t="str">
            <v>F50</v>
          </cell>
          <cell r="F1132" t="str">
            <v>F50</v>
          </cell>
          <cell r="G1132" t="str">
            <v>F50</v>
          </cell>
        </row>
        <row r="1134">
          <cell r="D1134" t="str">
            <v>F10</v>
          </cell>
          <cell r="E1134" t="str">
            <v>F30</v>
          </cell>
          <cell r="F1134" t="str">
            <v>F10</v>
          </cell>
          <cell r="G1134" t="str">
            <v>F30</v>
          </cell>
        </row>
        <row r="1136">
          <cell r="D1136" t="str">
            <v>F10</v>
          </cell>
          <cell r="E1136" t="str">
            <v>F10</v>
          </cell>
          <cell r="F1136" t="str">
            <v>F10</v>
          </cell>
          <cell r="G1136" t="str">
            <v>F10</v>
          </cell>
        </row>
        <row r="1138">
          <cell r="D1138" t="str">
            <v>F104x</v>
          </cell>
          <cell r="E1138" t="str">
            <v>F104x</v>
          </cell>
          <cell r="F1138" t="str">
            <v>F104x</v>
          </cell>
          <cell r="G1138" t="str">
            <v>F104x</v>
          </cell>
        </row>
        <row r="1139">
          <cell r="D1139" t="str">
            <v>F104x</v>
          </cell>
          <cell r="E1139" t="str">
            <v>F104x</v>
          </cell>
          <cell r="F1139" t="str">
            <v>F104x</v>
          </cell>
          <cell r="G1139" t="str">
            <v>F104x</v>
          </cell>
        </row>
        <row r="1140">
          <cell r="D1140" t="str">
            <v>F138x</v>
          </cell>
          <cell r="E1140" t="str">
            <v>F138x</v>
          </cell>
          <cell r="F1140" t="str">
            <v>F138x</v>
          </cell>
          <cell r="G1140" t="str">
            <v>F138x</v>
          </cell>
        </row>
        <row r="1141">
          <cell r="D1141" t="str">
            <v>F104x</v>
          </cell>
          <cell r="E1141" t="str">
            <v>F104x</v>
          </cell>
          <cell r="F1141" t="str">
            <v>F104x</v>
          </cell>
          <cell r="G1141" t="str">
            <v>F104x</v>
          </cell>
        </row>
        <row r="1142">
          <cell r="D1142" t="str">
            <v>F42</v>
          </cell>
          <cell r="E1142" t="str">
            <v>F42</v>
          </cell>
          <cell r="F1142" t="str">
            <v>F42</v>
          </cell>
          <cell r="G1142" t="str">
            <v>F42</v>
          </cell>
        </row>
        <row r="1143">
          <cell r="D1143" t="str">
            <v>F104x</v>
          </cell>
          <cell r="E1143" t="str">
            <v>F104x</v>
          </cell>
          <cell r="F1143" t="str">
            <v>F104x</v>
          </cell>
          <cell r="G1143" t="str">
            <v>F104x</v>
          </cell>
        </row>
        <row r="1144">
          <cell r="D1144" t="str">
            <v>F104x</v>
          </cell>
          <cell r="E1144" t="str">
            <v>F104x</v>
          </cell>
          <cell r="F1144" t="str">
            <v>F104x</v>
          </cell>
          <cell r="G1144" t="str">
            <v>F104x</v>
          </cell>
        </row>
        <row r="1145">
          <cell r="D1145" t="str">
            <v>F104x</v>
          </cell>
          <cell r="E1145" t="str">
            <v>F104x</v>
          </cell>
          <cell r="F1145" t="str">
            <v>F104x</v>
          </cell>
          <cell r="G1145" t="str">
            <v>F104x</v>
          </cell>
        </row>
        <row r="1146">
          <cell r="D1146" t="str">
            <v>F104x</v>
          </cell>
          <cell r="E1146" t="str">
            <v>F104x</v>
          </cell>
          <cell r="F1146" t="str">
            <v>F104x</v>
          </cell>
          <cell r="G1146" t="str">
            <v>F104x</v>
          </cell>
        </row>
        <row r="1147">
          <cell r="D1147" t="str">
            <v>F104x</v>
          </cell>
          <cell r="E1147" t="str">
            <v>F104x</v>
          </cell>
          <cell r="F1147" t="str">
            <v>F104x</v>
          </cell>
          <cell r="G1147" t="str">
            <v>F104x</v>
          </cell>
        </row>
        <row r="1150">
          <cell r="D1150" t="str">
            <v>F104x</v>
          </cell>
          <cell r="E1150" t="str">
            <v>F104x</v>
          </cell>
          <cell r="F1150" t="str">
            <v>F104x</v>
          </cell>
          <cell r="G1150" t="str">
            <v>F104x</v>
          </cell>
        </row>
        <row r="1152">
          <cell r="D1152" t="str">
            <v>F104x</v>
          </cell>
          <cell r="E1152" t="str">
            <v>F104x</v>
          </cell>
          <cell r="F1152" t="str">
            <v>F104x</v>
          </cell>
          <cell r="G1152" t="str">
            <v>F104x</v>
          </cell>
        </row>
        <row r="1153">
          <cell r="D1153" t="str">
            <v>F104x</v>
          </cell>
          <cell r="E1153" t="str">
            <v>F104x</v>
          </cell>
          <cell r="F1153" t="str">
            <v>F104x</v>
          </cell>
          <cell r="G1153" t="str">
            <v>F104x</v>
          </cell>
        </row>
        <row r="1154">
          <cell r="D1154" t="str">
            <v>F104x</v>
          </cell>
          <cell r="E1154" t="str">
            <v>F104x</v>
          </cell>
          <cell r="F1154" t="str">
            <v>F104x</v>
          </cell>
          <cell r="G1154" t="str">
            <v>F104x</v>
          </cell>
        </row>
        <row r="1155">
          <cell r="D1155" t="str">
            <v>F104x</v>
          </cell>
          <cell r="E1155" t="str">
            <v>F104x</v>
          </cell>
          <cell r="F1155" t="str">
            <v>F104x</v>
          </cell>
          <cell r="G1155" t="str">
            <v>F104x</v>
          </cell>
        </row>
        <row r="1156">
          <cell r="D1156" t="str">
            <v>F104x</v>
          </cell>
          <cell r="E1156" t="str">
            <v>F104x</v>
          </cell>
          <cell r="F1156" t="str">
            <v>F104x</v>
          </cell>
          <cell r="G1156" t="str">
            <v>F104x</v>
          </cell>
        </row>
        <row r="1157">
          <cell r="D1157" t="str">
            <v>F104x</v>
          </cell>
          <cell r="E1157" t="str">
            <v>F104x</v>
          </cell>
          <cell r="F1157" t="str">
            <v>F104x</v>
          </cell>
          <cell r="G1157" t="str">
            <v>F104x</v>
          </cell>
        </row>
        <row r="1158">
          <cell r="D1158" t="str">
            <v>F42</v>
          </cell>
          <cell r="E1158" t="str">
            <v>F42</v>
          </cell>
          <cell r="F1158" t="str">
            <v>F42</v>
          </cell>
          <cell r="G1158" t="str">
            <v>F42</v>
          </cell>
        </row>
        <row r="1159">
          <cell r="D1159" t="str">
            <v>F138x</v>
          </cell>
          <cell r="E1159" t="str">
            <v>F138x</v>
          </cell>
          <cell r="F1159" t="str">
            <v>F138x</v>
          </cell>
          <cell r="G1159" t="str">
            <v>F138x</v>
          </cell>
        </row>
        <row r="1160">
          <cell r="D1160" t="str">
            <v>F104x</v>
          </cell>
          <cell r="E1160" t="str">
            <v>F104x</v>
          </cell>
          <cell r="F1160" t="str">
            <v>F104x</v>
          </cell>
          <cell r="G1160" t="str">
            <v>F104x</v>
          </cell>
        </row>
        <row r="1161">
          <cell r="D1161" t="str">
            <v>F104x</v>
          </cell>
          <cell r="E1161" t="str">
            <v>F104x</v>
          </cell>
          <cell r="F1161" t="str">
            <v>F104x</v>
          </cell>
          <cell r="G1161" t="str">
            <v>F104x</v>
          </cell>
        </row>
        <row r="1162">
          <cell r="D1162" t="str">
            <v>F104x</v>
          </cell>
          <cell r="E1162" t="str">
            <v>F104x</v>
          </cell>
          <cell r="F1162" t="str">
            <v>F104x</v>
          </cell>
          <cell r="G1162" t="str">
            <v>F104x</v>
          </cell>
        </row>
        <row r="1166">
          <cell r="D1166" t="str">
            <v>F104x</v>
          </cell>
          <cell r="E1166" t="str">
            <v>F104x</v>
          </cell>
          <cell r="F1166" t="str">
            <v>F104x</v>
          </cell>
          <cell r="G1166" t="str">
            <v>F104x</v>
          </cell>
        </row>
        <row r="1167">
          <cell r="D1167" t="str">
            <v>F104x</v>
          </cell>
          <cell r="E1167" t="str">
            <v>F104x</v>
          </cell>
          <cell r="F1167" t="str">
            <v>F104x</v>
          </cell>
          <cell r="G1167" t="str">
            <v>F104x</v>
          </cell>
        </row>
        <row r="1168">
          <cell r="D1168" t="str">
            <v>F104x</v>
          </cell>
          <cell r="E1168" t="str">
            <v>F104x</v>
          </cell>
          <cell r="F1168" t="str">
            <v>F104x</v>
          </cell>
          <cell r="G1168" t="str">
            <v>F104x</v>
          </cell>
        </row>
        <row r="1169">
          <cell r="D1169" t="str">
            <v>F138x</v>
          </cell>
          <cell r="E1169" t="str">
            <v>F138x</v>
          </cell>
          <cell r="F1169" t="str">
            <v>F138x</v>
          </cell>
          <cell r="G1169" t="str">
            <v>F138x</v>
          </cell>
        </row>
        <row r="1170">
          <cell r="D1170" t="str">
            <v>F104x</v>
          </cell>
          <cell r="E1170" t="str">
            <v>F104x</v>
          </cell>
          <cell r="F1170" t="str">
            <v>F104x</v>
          </cell>
          <cell r="G1170" t="str">
            <v>F104x</v>
          </cell>
        </row>
        <row r="1171">
          <cell r="D1171" t="str">
            <v>F104x</v>
          </cell>
          <cell r="E1171" t="str">
            <v>F104x</v>
          </cell>
          <cell r="F1171" t="str">
            <v>F104x</v>
          </cell>
          <cell r="G1171" t="str">
            <v>F104x</v>
          </cell>
        </row>
        <row r="1172">
          <cell r="D1172" t="str">
            <v>F104x</v>
          </cell>
          <cell r="E1172" t="str">
            <v>F104x</v>
          </cell>
          <cell r="F1172" t="str">
            <v>F104x</v>
          </cell>
          <cell r="G1172" t="str">
            <v>F104x</v>
          </cell>
        </row>
        <row r="1173">
          <cell r="D1173" t="str">
            <v>F104x</v>
          </cell>
          <cell r="E1173" t="str">
            <v>F104x</v>
          </cell>
          <cell r="F1173" t="str">
            <v>F104x</v>
          </cell>
          <cell r="G1173" t="str">
            <v>F104x</v>
          </cell>
        </row>
        <row r="1174">
          <cell r="D1174" t="str">
            <v>F104x</v>
          </cell>
          <cell r="E1174" t="str">
            <v>F104x</v>
          </cell>
          <cell r="F1174" t="str">
            <v>F104x</v>
          </cell>
          <cell r="G1174" t="str">
            <v>F104x</v>
          </cell>
        </row>
        <row r="1177">
          <cell r="D1177" t="str">
            <v>F104x</v>
          </cell>
          <cell r="E1177" t="str">
            <v>F104x</v>
          </cell>
          <cell r="F1177" t="str">
            <v>F104x</v>
          </cell>
          <cell r="G1177" t="str">
            <v>F104x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F10</v>
          </cell>
          <cell r="E1185" t="str">
            <v>F10</v>
          </cell>
          <cell r="F1185" t="str">
            <v>F10</v>
          </cell>
          <cell r="G1185" t="str">
            <v>F10</v>
          </cell>
        </row>
        <row r="1187">
          <cell r="D1187" t="str">
            <v>F10</v>
          </cell>
          <cell r="E1187" t="str">
            <v>F10</v>
          </cell>
          <cell r="F1187" t="str">
            <v>F10</v>
          </cell>
          <cell r="G1187" t="str">
            <v>F10</v>
          </cell>
        </row>
        <row r="1189">
          <cell r="D1189" t="str">
            <v>F10</v>
          </cell>
          <cell r="E1189" t="str">
            <v>F10</v>
          </cell>
          <cell r="F1189" t="str">
            <v>F10</v>
          </cell>
          <cell r="G1189" t="str">
            <v>F10</v>
          </cell>
        </row>
        <row r="1190">
          <cell r="D1190" t="str">
            <v>F10</v>
          </cell>
          <cell r="E1190" t="str">
            <v>F10</v>
          </cell>
          <cell r="F1190" t="str">
            <v>F10</v>
          </cell>
          <cell r="G1190" t="str">
            <v>F10</v>
          </cell>
        </row>
        <row r="1191">
          <cell r="D1191" t="str">
            <v>F10</v>
          </cell>
          <cell r="E1191" t="str">
            <v>F10</v>
          </cell>
          <cell r="F1191" t="str">
            <v>F10</v>
          </cell>
          <cell r="G1191" t="str">
            <v>F10</v>
          </cell>
        </row>
        <row r="1192">
          <cell r="D1192" t="str">
            <v>F10</v>
          </cell>
          <cell r="E1192" t="str">
            <v>F10</v>
          </cell>
          <cell r="F1192" t="str">
            <v>F10</v>
          </cell>
          <cell r="G1192" t="str">
            <v>F10</v>
          </cell>
        </row>
        <row r="1193">
          <cell r="D1193" t="str">
            <v>F10</v>
          </cell>
          <cell r="E1193" t="str">
            <v>F10</v>
          </cell>
          <cell r="F1193" t="str">
            <v>F10</v>
          </cell>
          <cell r="G1193" t="str">
            <v>F10</v>
          </cell>
        </row>
        <row r="1194">
          <cell r="D1194" t="str">
            <v>F10</v>
          </cell>
          <cell r="E1194" t="str">
            <v>F10</v>
          </cell>
          <cell r="F1194" t="str">
            <v>F10</v>
          </cell>
          <cell r="G1194" t="str">
            <v>F10</v>
          </cell>
        </row>
        <row r="1197">
          <cell r="D1197" t="str">
            <v>F10</v>
          </cell>
          <cell r="E1197" t="str">
            <v>F10</v>
          </cell>
          <cell r="F1197" t="str">
            <v>F10</v>
          </cell>
          <cell r="G1197" t="str">
            <v>F10</v>
          </cell>
        </row>
        <row r="1206">
          <cell r="D1206" t="str">
            <v>F106</v>
          </cell>
          <cell r="E1206" t="str">
            <v>F106</v>
          </cell>
          <cell r="F1206" t="str">
            <v>F106</v>
          </cell>
          <cell r="G1206" t="str">
            <v>F106</v>
          </cell>
        </row>
        <row r="1211">
          <cell r="D1211" t="str">
            <v>F118</v>
          </cell>
          <cell r="E1211" t="str">
            <v>F118</v>
          </cell>
          <cell r="F1211" t="str">
            <v>F118</v>
          </cell>
          <cell r="G1211" t="str">
            <v>F118</v>
          </cell>
        </row>
        <row r="1213">
          <cell r="D1213" t="str">
            <v>F119</v>
          </cell>
          <cell r="E1213" t="str">
            <v>F119</v>
          </cell>
          <cell r="F1213" t="str">
            <v>F119</v>
          </cell>
          <cell r="G1213" t="str">
            <v>F119</v>
          </cell>
        </row>
        <row r="1215">
          <cell r="D1215" t="str">
            <v>F120</v>
          </cell>
          <cell r="E1215" t="str">
            <v>F120</v>
          </cell>
          <cell r="F1215" t="str">
            <v>F120</v>
          </cell>
          <cell r="G1215" t="str">
            <v>F120</v>
          </cell>
        </row>
        <row r="1219">
          <cell r="D1219" t="str">
            <v>C</v>
          </cell>
          <cell r="E1219" t="str">
            <v>C</v>
          </cell>
          <cell r="F1219" t="str">
            <v>C</v>
          </cell>
          <cell r="G1219" t="str">
            <v>C</v>
          </cell>
        </row>
        <row r="1220">
          <cell r="D1220" t="str">
            <v>COS
Factor</v>
          </cell>
          <cell r="E1220" t="str">
            <v>COS
Factor</v>
          </cell>
          <cell r="F1220" t="str">
            <v>COS
Factor</v>
          </cell>
          <cell r="G1220" t="str">
            <v>COS
Factor</v>
          </cell>
        </row>
        <row r="1222">
          <cell r="D1222" t="str">
            <v>F121</v>
          </cell>
          <cell r="E1222" t="str">
            <v>F121</v>
          </cell>
          <cell r="F1222" t="str">
            <v>F121</v>
          </cell>
          <cell r="G1222" t="str">
            <v>F121</v>
          </cell>
        </row>
        <row r="1224">
          <cell r="D1224" t="str">
            <v>F122</v>
          </cell>
          <cell r="E1224" t="str">
            <v>F122</v>
          </cell>
          <cell r="F1224" t="str">
            <v>F122</v>
          </cell>
          <cell r="G1224" t="str">
            <v>F122</v>
          </cell>
        </row>
        <row r="1226">
          <cell r="D1226" t="str">
            <v>F123</v>
          </cell>
          <cell r="E1226" t="str">
            <v>F123</v>
          </cell>
          <cell r="F1226" t="str">
            <v>F123</v>
          </cell>
          <cell r="G1226" t="str">
            <v>F123</v>
          </cell>
        </row>
        <row r="1228">
          <cell r="D1228" t="str">
            <v>F124</v>
          </cell>
          <cell r="E1228" t="str">
            <v>F124</v>
          </cell>
          <cell r="F1228" t="str">
            <v>F124</v>
          </cell>
          <cell r="G1228" t="str">
            <v>F124</v>
          </cell>
        </row>
        <row r="1230">
          <cell r="D1230" t="str">
            <v>F125</v>
          </cell>
          <cell r="E1230" t="str">
            <v>F125</v>
          </cell>
          <cell r="F1230" t="str">
            <v>F125</v>
          </cell>
          <cell r="G1230" t="str">
            <v>F125</v>
          </cell>
        </row>
        <row r="1232">
          <cell r="D1232" t="str">
            <v>F126</v>
          </cell>
          <cell r="E1232" t="str">
            <v>F126</v>
          </cell>
          <cell r="F1232" t="str">
            <v>F126</v>
          </cell>
          <cell r="G1232" t="str">
            <v>F126</v>
          </cell>
        </row>
        <row r="1234">
          <cell r="D1234" t="str">
            <v>F127</v>
          </cell>
          <cell r="E1234" t="str">
            <v>F127</v>
          </cell>
          <cell r="F1234" t="str">
            <v>F127</v>
          </cell>
          <cell r="G1234" t="str">
            <v>F127</v>
          </cell>
        </row>
        <row r="1236">
          <cell r="D1236" t="str">
            <v>F128</v>
          </cell>
          <cell r="E1236" t="str">
            <v>F128</v>
          </cell>
          <cell r="F1236" t="str">
            <v>F128</v>
          </cell>
          <cell r="G1236" t="str">
            <v>F128</v>
          </cell>
        </row>
        <row r="1238">
          <cell r="D1238" t="str">
            <v>F129</v>
          </cell>
          <cell r="E1238" t="str">
            <v>F129</v>
          </cell>
          <cell r="F1238" t="str">
            <v>F129</v>
          </cell>
          <cell r="G1238" t="str">
            <v>F129</v>
          </cell>
        </row>
        <row r="1240">
          <cell r="D1240" t="str">
            <v>F130</v>
          </cell>
          <cell r="E1240" t="str">
            <v>F130</v>
          </cell>
          <cell r="F1240" t="str">
            <v>F130</v>
          </cell>
          <cell r="G1240" t="str">
            <v>F130</v>
          </cell>
        </row>
        <row r="1242">
          <cell r="D1242" t="str">
            <v>F121</v>
          </cell>
          <cell r="E1242" t="str">
            <v>F121</v>
          </cell>
          <cell r="F1242" t="str">
            <v>F121</v>
          </cell>
          <cell r="G1242" t="str">
            <v>F121</v>
          </cell>
        </row>
        <row r="1244">
          <cell r="D1244" t="str">
            <v>F120</v>
          </cell>
          <cell r="E1244" t="str">
            <v>F120</v>
          </cell>
          <cell r="F1244" t="str">
            <v>F120</v>
          </cell>
          <cell r="G1244" t="str">
            <v>F120</v>
          </cell>
        </row>
        <row r="1246">
          <cell r="D1246" t="str">
            <v>F102x</v>
          </cell>
          <cell r="E1246" t="str">
            <v>F102x</v>
          </cell>
          <cell r="F1246" t="str">
            <v>F102x</v>
          </cell>
          <cell r="G1246" t="str">
            <v>F102x</v>
          </cell>
        </row>
        <row r="1253">
          <cell r="D1253" t="str">
            <v>F107x</v>
          </cell>
          <cell r="E1253" t="str">
            <v>F107x</v>
          </cell>
          <cell r="F1253" t="str">
            <v>F107x</v>
          </cell>
          <cell r="G1253" t="str">
            <v>F107x</v>
          </cell>
        </row>
        <row r="1254">
          <cell r="D1254" t="str">
            <v>F105x</v>
          </cell>
          <cell r="E1254" t="str">
            <v>F105x</v>
          </cell>
          <cell r="F1254" t="str">
            <v>F105x</v>
          </cell>
          <cell r="G1254" t="str">
            <v>F105x</v>
          </cell>
        </row>
        <row r="1255">
          <cell r="D1255" t="str">
            <v>F105x</v>
          </cell>
          <cell r="E1255" t="str">
            <v>F105x</v>
          </cell>
          <cell r="F1255" t="str">
            <v>F105x</v>
          </cell>
          <cell r="G1255" t="str">
            <v>F105x</v>
          </cell>
        </row>
        <row r="1256">
          <cell r="D1256" t="str">
            <v>F105x</v>
          </cell>
          <cell r="E1256" t="str">
            <v>F105x</v>
          </cell>
          <cell r="F1256" t="str">
            <v>F105x</v>
          </cell>
          <cell r="G1256" t="str">
            <v>F105x</v>
          </cell>
        </row>
        <row r="1257">
          <cell r="D1257" t="str">
            <v>F42</v>
          </cell>
          <cell r="E1257" t="str">
            <v>F42</v>
          </cell>
          <cell r="F1257" t="str">
            <v>F42</v>
          </cell>
          <cell r="G1257" t="str">
            <v>F42</v>
          </cell>
        </row>
        <row r="1258">
          <cell r="D1258" t="str">
            <v>F102x</v>
          </cell>
          <cell r="E1258" t="str">
            <v>F102x</v>
          </cell>
          <cell r="F1258" t="str">
            <v>F102x</v>
          </cell>
          <cell r="G1258" t="str">
            <v>F102x</v>
          </cell>
        </row>
        <row r="1259">
          <cell r="D1259" t="str">
            <v>F10</v>
          </cell>
          <cell r="E1259" t="str">
            <v>F30</v>
          </cell>
          <cell r="F1259" t="str">
            <v>F10</v>
          </cell>
          <cell r="G1259" t="str">
            <v>F30</v>
          </cell>
        </row>
        <row r="1260">
          <cell r="D1260" t="str">
            <v>F10</v>
          </cell>
          <cell r="E1260" t="str">
            <v>F10</v>
          </cell>
          <cell r="F1260" t="str">
            <v>F105x</v>
          </cell>
          <cell r="G1260" t="str">
            <v>F10</v>
          </cell>
        </row>
        <row r="1261">
          <cell r="D1261" t="str">
            <v>F10</v>
          </cell>
          <cell r="E1261" t="str">
            <v>F10</v>
          </cell>
          <cell r="F1261" t="str">
            <v>F105x</v>
          </cell>
          <cell r="G1261" t="str">
            <v>F10</v>
          </cell>
        </row>
        <row r="1262">
          <cell r="D1262" t="str">
            <v>F10</v>
          </cell>
          <cell r="E1262" t="str">
            <v>F10</v>
          </cell>
          <cell r="F1262" t="str">
            <v>F105x</v>
          </cell>
          <cell r="G1262" t="str">
            <v>F10</v>
          </cell>
        </row>
        <row r="1265">
          <cell r="D1265" t="str">
            <v>F10</v>
          </cell>
          <cell r="E1265" t="str">
            <v>F30</v>
          </cell>
          <cell r="F1265" t="str">
            <v>F10</v>
          </cell>
          <cell r="G1265" t="str">
            <v>F30</v>
          </cell>
        </row>
        <row r="1267">
          <cell r="D1267" t="str">
            <v>F10</v>
          </cell>
          <cell r="E1267" t="str">
            <v>F30</v>
          </cell>
          <cell r="F1267" t="str">
            <v>F10</v>
          </cell>
          <cell r="G1267" t="str">
            <v>F30</v>
          </cell>
        </row>
        <row r="1268">
          <cell r="D1268" t="str">
            <v>F10</v>
          </cell>
          <cell r="E1268" t="str">
            <v>F30</v>
          </cell>
          <cell r="F1268" t="str">
            <v>F10</v>
          </cell>
          <cell r="G1268" t="str">
            <v>F30</v>
          </cell>
        </row>
        <row r="1270">
          <cell r="D1270" t="str">
            <v>F10</v>
          </cell>
          <cell r="E1270" t="str">
            <v>F30</v>
          </cell>
          <cell r="F1270" t="str">
            <v>F10</v>
          </cell>
          <cell r="G1270" t="str">
            <v>F30</v>
          </cell>
        </row>
        <row r="1271">
          <cell r="D1271" t="str">
            <v>F10</v>
          </cell>
          <cell r="E1271" t="str">
            <v>F30</v>
          </cell>
          <cell r="F1271" t="str">
            <v>F10</v>
          </cell>
          <cell r="G1271" t="str">
            <v>F30</v>
          </cell>
        </row>
        <row r="1272">
          <cell r="D1272" t="str">
            <v>F10</v>
          </cell>
          <cell r="E1272" t="str">
            <v>F30</v>
          </cell>
          <cell r="F1272" t="str">
            <v>F10</v>
          </cell>
          <cell r="G1272" t="str">
            <v>F30</v>
          </cell>
        </row>
        <row r="1282">
          <cell r="D1282" t="str">
            <v>F10</v>
          </cell>
          <cell r="E1282" t="str">
            <v>F10</v>
          </cell>
          <cell r="F1282" t="str">
            <v>F10</v>
          </cell>
          <cell r="G1282" t="str">
            <v>F10</v>
          </cell>
        </row>
        <row r="1285">
          <cell r="D1285" t="str">
            <v>F108</v>
          </cell>
          <cell r="E1285" t="str">
            <v>F108</v>
          </cell>
          <cell r="F1285" t="str">
            <v>F108</v>
          </cell>
          <cell r="G1285" t="str">
            <v>F108</v>
          </cell>
        </row>
        <row r="1286">
          <cell r="D1286" t="str">
            <v>F108</v>
          </cell>
          <cell r="E1286" t="str">
            <v>F108</v>
          </cell>
          <cell r="F1286" t="str">
            <v>F108</v>
          </cell>
          <cell r="G1286" t="str">
            <v>F108</v>
          </cell>
        </row>
        <row r="1287">
          <cell r="D1287" t="str">
            <v>F108</v>
          </cell>
          <cell r="E1287" t="str">
            <v>F108</v>
          </cell>
          <cell r="F1287" t="str">
            <v>F108</v>
          </cell>
          <cell r="G1287" t="str">
            <v>F108</v>
          </cell>
        </row>
        <row r="1288">
          <cell r="D1288" t="str">
            <v>F108</v>
          </cell>
          <cell r="E1288" t="str">
            <v>F108</v>
          </cell>
          <cell r="F1288" t="str">
            <v>F108</v>
          </cell>
          <cell r="G1288" t="str">
            <v>F108</v>
          </cell>
        </row>
        <row r="1289">
          <cell r="D1289" t="str">
            <v>F108</v>
          </cell>
          <cell r="E1289" t="str">
            <v>F108</v>
          </cell>
          <cell r="F1289" t="str">
            <v>F108</v>
          </cell>
          <cell r="G1289" t="str">
            <v>F108</v>
          </cell>
        </row>
        <row r="1292">
          <cell r="D1292" t="str">
            <v>F10</v>
          </cell>
          <cell r="E1292" t="str">
            <v>F10</v>
          </cell>
          <cell r="F1292" t="str">
            <v>F10</v>
          </cell>
          <cell r="G1292" t="str">
            <v>F10</v>
          </cell>
        </row>
        <row r="1295">
          <cell r="D1295" t="str">
            <v>F107x</v>
          </cell>
          <cell r="E1295" t="str">
            <v>F107x</v>
          </cell>
          <cell r="F1295" t="str">
            <v>F107x</v>
          </cell>
          <cell r="G1295" t="str">
            <v>F107x</v>
          </cell>
        </row>
        <row r="1296">
          <cell r="D1296" t="str">
            <v>F105x</v>
          </cell>
          <cell r="E1296" t="str">
            <v>F105x</v>
          </cell>
          <cell r="F1296" t="str">
            <v>F105x</v>
          </cell>
          <cell r="G1296" t="str">
            <v>F105x</v>
          </cell>
        </row>
        <row r="1297">
          <cell r="D1297" t="str">
            <v>F105x</v>
          </cell>
          <cell r="E1297" t="str">
            <v>F105x</v>
          </cell>
          <cell r="F1297" t="str">
            <v>F105x</v>
          </cell>
          <cell r="G1297" t="str">
            <v>F105x</v>
          </cell>
        </row>
        <row r="1298">
          <cell r="D1298" t="str">
            <v>F10</v>
          </cell>
          <cell r="E1298" t="str">
            <v>F30</v>
          </cell>
          <cell r="F1298" t="str">
            <v>F10</v>
          </cell>
          <cell r="G1298" t="str">
            <v>F30</v>
          </cell>
        </row>
        <row r="1299">
          <cell r="D1299" t="str">
            <v>F105x</v>
          </cell>
          <cell r="E1299" t="str">
            <v>F105x</v>
          </cell>
          <cell r="F1299" t="str">
            <v>F105x</v>
          </cell>
          <cell r="G1299" t="str">
            <v>F105x</v>
          </cell>
        </row>
        <row r="1300">
          <cell r="D1300" t="str">
            <v>F42</v>
          </cell>
          <cell r="E1300" t="str">
            <v>F42</v>
          </cell>
          <cell r="F1300" t="str">
            <v>F42</v>
          </cell>
          <cell r="G1300" t="str">
            <v>F42</v>
          </cell>
        </row>
        <row r="1301">
          <cell r="D1301" t="str">
            <v>F105x</v>
          </cell>
          <cell r="E1301" t="str">
            <v>F105x</v>
          </cell>
          <cell r="F1301" t="str">
            <v>F105x</v>
          </cell>
          <cell r="G1301" t="str">
            <v>F105x</v>
          </cell>
        </row>
        <row r="1302">
          <cell r="D1302" t="str">
            <v>F105x</v>
          </cell>
          <cell r="E1302" t="str">
            <v>F105x</v>
          </cell>
          <cell r="F1302" t="str">
            <v>F105x</v>
          </cell>
          <cell r="G1302" t="str">
            <v>F105x</v>
          </cell>
        </row>
        <row r="1303">
          <cell r="D1303" t="str">
            <v>F10</v>
          </cell>
          <cell r="E1303" t="str">
            <v>F10</v>
          </cell>
          <cell r="F1303" t="str">
            <v>F105x</v>
          </cell>
          <cell r="G1303" t="str">
            <v>F10</v>
          </cell>
        </row>
        <row r="1304">
          <cell r="D1304" t="str">
            <v>F102x</v>
          </cell>
          <cell r="E1304" t="str">
            <v>F102x</v>
          </cell>
          <cell r="F1304" t="str">
            <v>F102x</v>
          </cell>
          <cell r="G1304" t="str">
            <v>F102x</v>
          </cell>
        </row>
        <row r="1307">
          <cell r="D1307" t="str">
            <v>F10</v>
          </cell>
          <cell r="E1307" t="str">
            <v>F30</v>
          </cell>
          <cell r="F1307" t="str">
            <v>F10</v>
          </cell>
          <cell r="G1307" t="str">
            <v>F30</v>
          </cell>
        </row>
      </sheetData>
      <sheetData sheetId="37">
        <row r="13">
          <cell r="F13" t="str">
            <v>Residential
Schedule 16</v>
          </cell>
          <cell r="G13" t="str">
            <v>Small General
Service
Schedule 24</v>
          </cell>
          <cell r="H13" t="str">
            <v>Large General
Service &lt; 1,000 kW
Schedule 36</v>
          </cell>
          <cell r="I13" t="str">
            <v>Large General
Service &gt; 1,000 kW
Schedule 48</v>
          </cell>
          <cell r="J13" t="str">
            <v>Large General
Dedicated Facilities
Schedule 48</v>
          </cell>
          <cell r="K13" t="str">
            <v>Agricultural
Pumping
Schedule 40</v>
          </cell>
          <cell r="L13" t="str">
            <v>Street &amp; Area
Lighting
Sch. 15, 51-54, 57</v>
          </cell>
        </row>
        <row r="15">
          <cell r="A15" t="str">
            <v>F10</v>
          </cell>
          <cell r="F15">
            <v>0.41824972556034534</v>
          </cell>
          <cell r="G15">
            <v>0.13363661026102999</v>
          </cell>
          <cell r="H15">
            <v>0.2267837085009215</v>
          </cell>
          <cell r="I15">
            <v>9.244947396257068E-2</v>
          </cell>
          <cell r="J15">
            <v>8.7432022660843489E-2</v>
          </cell>
          <cell r="K15">
            <v>3.9839197321931016E-2</v>
          </cell>
          <cell r="L15">
            <v>1.6092617323580614E-3</v>
          </cell>
        </row>
        <row r="16">
          <cell r="A16" t="str">
            <v>F11</v>
          </cell>
          <cell r="F16">
            <v>0.41280953264597231</v>
          </cell>
          <cell r="G16">
            <v>0.13538088501902107</v>
          </cell>
          <cell r="H16">
            <v>0.22448493796611937</v>
          </cell>
          <cell r="I16">
            <v>9.2923421689185631E-2</v>
          </cell>
          <cell r="J16">
            <v>9.3327671523510097E-2</v>
          </cell>
          <cell r="K16">
            <v>3.8937789272517488E-2</v>
          </cell>
          <cell r="L16">
            <v>2.1357618836740483E-3</v>
          </cell>
        </row>
        <row r="17">
          <cell r="A17" t="str">
            <v>F12</v>
          </cell>
          <cell r="F17">
            <v>0.44624118059914453</v>
          </cell>
          <cell r="G17">
            <v>0.13273248911837635</v>
          </cell>
          <cell r="H17">
            <v>0.21251206685915211</v>
          </cell>
          <cell r="I17">
            <v>8.6050102083598368E-2</v>
          </cell>
          <cell r="J17">
            <v>8.4429617970648005E-2</v>
          </cell>
          <cell r="K17">
            <v>3.6871358418326804E-2</v>
          </cell>
          <cell r="L17">
            <v>1.1631849507539695E-3</v>
          </cell>
        </row>
        <row r="18">
          <cell r="A18" t="str">
            <v>F13</v>
          </cell>
          <cell r="F18">
            <v>0.44479730468762979</v>
          </cell>
          <cell r="G18">
            <v>0.13063662957352931</v>
          </cell>
          <cell r="H18">
            <v>0.22017676772597894</v>
          </cell>
          <cell r="I18">
            <v>8.7431647265461418E-2</v>
          </cell>
          <cell r="J18">
            <v>7.732864250964383E-2</v>
          </cell>
          <cell r="K18">
            <v>3.9043543336818747E-2</v>
          </cell>
          <cell r="L18">
            <v>5.8546490093804536E-4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F20</v>
          </cell>
          <cell r="F24">
            <v>0.4275621565298654</v>
          </cell>
          <cell r="G24">
            <v>0.13057645401638429</v>
          </cell>
          <cell r="H24">
            <v>0.20547307237814469</v>
          </cell>
          <cell r="I24">
            <v>8.736410609799132E-2</v>
          </cell>
          <cell r="J24">
            <v>9.2262860222912663E-2</v>
          </cell>
          <cell r="K24">
            <v>5.4968430261335743E-2</v>
          </cell>
          <cell r="L24">
            <v>1.7929204933662057E-3</v>
          </cell>
        </row>
        <row r="25">
          <cell r="A25" t="str">
            <v>F20A</v>
          </cell>
          <cell r="F25">
            <v>0.47101978953385298</v>
          </cell>
          <cell r="G25">
            <v>0.14384831058961617</v>
          </cell>
          <cell r="H25">
            <v>0.22635745897606724</v>
          </cell>
          <cell r="I25">
            <v>9.6243837857560036E-2</v>
          </cell>
          <cell r="J25">
            <v>0</v>
          </cell>
          <cell r="K25">
            <v>6.0555449207282973E-2</v>
          </cell>
          <cell r="L25">
            <v>1.9751538356208411E-3</v>
          </cell>
        </row>
        <row r="26">
          <cell r="A26" t="str">
            <v>F21</v>
          </cell>
          <cell r="F26">
            <v>0.53651827044234113</v>
          </cell>
          <cell r="G26">
            <v>0.2396007186058346</v>
          </cell>
          <cell r="H26">
            <v>8.7268893240880011E-2</v>
          </cell>
          <cell r="I26">
            <v>1.0639047554637638E-2</v>
          </cell>
          <cell r="J26">
            <v>0</v>
          </cell>
          <cell r="K26">
            <v>0.12390593051165634</v>
          </cell>
          <cell r="L26">
            <v>2.0671396446502841E-3</v>
          </cell>
        </row>
        <row r="27">
          <cell r="A27" t="str">
            <v>F22</v>
          </cell>
          <cell r="F27">
            <v>0.86281615470478856</v>
          </cell>
          <cell r="G27">
            <v>0.13455177709627467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2.6320681989368214E-3</v>
          </cell>
        </row>
        <row r="28">
          <cell r="A28" t="str">
            <v>F30</v>
          </cell>
          <cell r="F28">
            <v>0.37937788469280015</v>
          </cell>
          <cell r="G28">
            <v>0.13802928091966585</v>
          </cell>
          <cell r="H28">
            <v>0.23645780907308669</v>
          </cell>
          <cell r="I28">
            <v>9.9796741294772937E-2</v>
          </cell>
          <cell r="J28">
            <v>0.10222572507637222</v>
          </cell>
          <cell r="K28">
            <v>4.1004220126708187E-2</v>
          </cell>
          <cell r="L28">
            <v>3.1083388165941274E-3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F40</v>
          </cell>
          <cell r="F32">
            <v>0.78753748904103194</v>
          </cell>
          <cell r="G32">
            <v>0.14560343814735943</v>
          </cell>
          <cell r="H32">
            <v>7.8623467377793091E-3</v>
          </cell>
          <cell r="I32">
            <v>4.7108645295119159E-4</v>
          </cell>
          <cell r="J32">
            <v>7.306240370057252E-6</v>
          </cell>
          <cell r="K32">
            <v>3.7522633970420181E-2</v>
          </cell>
          <cell r="L32">
            <v>2.0995699410087859E-2</v>
          </cell>
        </row>
        <row r="33">
          <cell r="A33" t="str">
            <v>F41</v>
          </cell>
          <cell r="F33">
            <v>0.81478726536419854</v>
          </cell>
          <cell r="G33">
            <v>0.15135140705616537</v>
          </cell>
          <cell r="H33">
            <v>1.0541752925168825E-2</v>
          </cell>
          <cell r="I33">
            <v>4.0341194441927582E-3</v>
          </cell>
          <cell r="J33">
            <v>8.9247455231105679E-4</v>
          </cell>
          <cell r="K33">
            <v>1.8392980657963461E-2</v>
          </cell>
          <cell r="L33">
            <v>0</v>
          </cell>
        </row>
        <row r="34">
          <cell r="A34" t="str">
            <v>F42</v>
          </cell>
          <cell r="F34">
            <v>0.81538102528383072</v>
          </cell>
          <cell r="G34">
            <v>0.14152740394734351</v>
          </cell>
          <cell r="H34">
            <v>8.2372154335185292E-3</v>
          </cell>
          <cell r="I34">
            <v>2.1074590516048219E-3</v>
          </cell>
          <cell r="J34">
            <v>3.2685300765108256E-5</v>
          </cell>
          <cell r="K34">
            <v>1.3851373390913232E-2</v>
          </cell>
          <cell r="L34">
            <v>1.8862837592023989E-2</v>
          </cell>
        </row>
        <row r="35">
          <cell r="A35" t="str">
            <v>F50</v>
          </cell>
          <cell r="F35">
            <v>0.40676066740896594</v>
          </cell>
          <cell r="G35">
            <v>0.56514953317334604</v>
          </cell>
          <cell r="H35">
            <v>2.0294609770523653E-2</v>
          </cell>
          <cell r="I35">
            <v>0</v>
          </cell>
          <cell r="J35">
            <v>0</v>
          </cell>
          <cell r="K35">
            <v>7.79518964716435E-3</v>
          </cell>
          <cell r="L35">
            <v>0</v>
          </cell>
        </row>
        <row r="36">
          <cell r="A36" t="str">
            <v>F51</v>
          </cell>
          <cell r="F36">
            <v>0.75862191739399876</v>
          </cell>
          <cell r="G36">
            <v>0.11035045277817183</v>
          </cell>
          <cell r="H36">
            <v>7.1975484509508206E-2</v>
          </cell>
          <cell r="I36">
            <v>1.6829810843904225E-2</v>
          </cell>
          <cell r="J36">
            <v>0</v>
          </cell>
          <cell r="K36">
            <v>4.1842608371846467E-2</v>
          </cell>
          <cell r="L36">
            <v>3.7972610257061161E-4</v>
          </cell>
        </row>
        <row r="37">
          <cell r="A37" t="str">
            <v>F60</v>
          </cell>
          <cell r="F37">
            <v>0.67821975884847663</v>
          </cell>
          <cell r="G37">
            <v>0.17446694895121331</v>
          </cell>
          <cell r="H37">
            <v>7.615400915395526E-2</v>
          </cell>
          <cell r="I37">
            <v>1.3367025154613734E-2</v>
          </cell>
          <cell r="J37">
            <v>7.9662455998455125E-4</v>
          </cell>
          <cell r="K37">
            <v>5.699563333175664E-2</v>
          </cell>
          <cell r="L37">
            <v>0</v>
          </cell>
        </row>
        <row r="38">
          <cell r="A38" t="str">
            <v>F60A</v>
          </cell>
          <cell r="F38">
            <v>0.67876047611409596</v>
          </cell>
          <cell r="G38">
            <v>0.17460604441451566</v>
          </cell>
          <cell r="H38">
            <v>7.6214723674666932E-2</v>
          </cell>
          <cell r="I38">
            <v>1.3377682144765922E-2</v>
          </cell>
          <cell r="J38">
            <v>0</v>
          </cell>
          <cell r="K38">
            <v>5.7041073651955675E-2</v>
          </cell>
          <cell r="L38">
            <v>0</v>
          </cell>
        </row>
        <row r="39">
          <cell r="A39" t="str">
            <v>F70</v>
          </cell>
          <cell r="F39">
            <v>0.73116070634223507</v>
          </cell>
          <cell r="G39">
            <v>0.20342090011398345</v>
          </cell>
          <cell r="H39">
            <v>5.2272929714433612E-2</v>
          </cell>
          <cell r="I39">
            <v>1.3145463829347968E-2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F80</v>
          </cell>
          <cell r="F40">
            <v>0.76758489398733942</v>
          </cell>
          <cell r="G40">
            <v>7.139774036790901E-2</v>
          </cell>
          <cell r="H40">
            <v>8.898232992249118E-2</v>
          </cell>
          <cell r="I40">
            <v>3.4089962167916425E-2</v>
          </cell>
          <cell r="J40">
            <v>2.9372376184616938E-2</v>
          </cell>
          <cell r="K40">
            <v>8.5726973697269893E-3</v>
          </cell>
          <cell r="L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F101</v>
          </cell>
          <cell r="F43">
            <v>0.45871947537834618</v>
          </cell>
          <cell r="G43">
            <v>0.13999522354701324</v>
          </cell>
          <cell r="H43">
            <v>0.20295821265433675</v>
          </cell>
          <cell r="I43">
            <v>8.1509143386908775E-2</v>
          </cell>
          <cell r="J43">
            <v>7.0493122401516131E-2</v>
          </cell>
          <cell r="K43">
            <v>4.2587393757533912E-2</v>
          </cell>
          <cell r="L43">
            <v>3.7374288743450839E-3</v>
          </cell>
        </row>
        <row r="44">
          <cell r="A44" t="str">
            <v>F101G</v>
          </cell>
          <cell r="F44">
            <v>0.41824434279676731</v>
          </cell>
          <cell r="G44">
            <v>0.13363396483871529</v>
          </cell>
          <cell r="H44">
            <v>0.22678864364921195</v>
          </cell>
          <cell r="I44">
            <v>9.2451403984352684E-2</v>
          </cell>
          <cell r="J44">
            <v>8.7435116774346774E-2</v>
          </cell>
          <cell r="K44">
            <v>3.9838068170101069E-2</v>
          </cell>
          <cell r="L44">
            <v>1.6084597865044701E-3</v>
          </cell>
        </row>
        <row r="45">
          <cell r="A45" t="str">
            <v>F101T</v>
          </cell>
          <cell r="F45">
            <v>0.44622202605421879</v>
          </cell>
          <cell r="G45">
            <v>0.13271943651955734</v>
          </cell>
          <cell r="H45">
            <v>0.21252725221164415</v>
          </cell>
          <cell r="I45">
            <v>8.6057358786104446E-2</v>
          </cell>
          <cell r="J45">
            <v>8.4452941030071435E-2</v>
          </cell>
          <cell r="K45">
            <v>3.6861873017010348E-2</v>
          </cell>
          <cell r="L45">
            <v>1.159112381393873E-3</v>
          </cell>
        </row>
        <row r="46">
          <cell r="A46" t="str">
            <v>F101D</v>
          </cell>
          <cell r="F46">
            <v>0.55912832317561678</v>
          </cell>
          <cell r="G46">
            <v>0.16369969338558521</v>
          </cell>
          <cell r="H46">
            <v>0.14067094766510482</v>
          </cell>
          <cell r="I46">
            <v>5.26367990196243E-2</v>
          </cell>
          <cell r="J46">
            <v>1.4307872497048979E-2</v>
          </cell>
          <cell r="K46">
            <v>5.7554105836248273E-2</v>
          </cell>
          <cell r="L46">
            <v>1.2002258420771494E-2</v>
          </cell>
        </row>
        <row r="47">
          <cell r="A47" t="str">
            <v>F101C</v>
          </cell>
          <cell r="F47">
            <v>0.72981372366290664</v>
          </cell>
          <cell r="G47">
            <v>9.4801823027024723E-2</v>
          </cell>
          <cell r="H47">
            <v>0.10423471655642887</v>
          </cell>
          <cell r="I47">
            <v>2.4156271000487221E-2</v>
          </cell>
          <cell r="J47">
            <v>-3.0189026221897334E-4</v>
          </cell>
          <cell r="K47">
            <v>5.6255402213912911E-2</v>
          </cell>
          <cell r="L47">
            <v>-8.9600461985430077E-3</v>
          </cell>
        </row>
        <row r="48">
          <cell r="A48" t="str">
            <v>F101Co</v>
          </cell>
          <cell r="F48">
            <v>0.46070700374470547</v>
          </cell>
          <cell r="G48">
            <v>0.14454801629955699</v>
          </cell>
          <cell r="H48">
            <v>0.20068917868662173</v>
          </cell>
          <cell r="I48">
            <v>7.9597799144102699E-2</v>
          </cell>
          <cell r="J48">
            <v>6.5791447202216524E-2</v>
          </cell>
          <cell r="K48">
            <v>4.4066948784473786E-2</v>
          </cell>
          <cell r="L48">
            <v>4.5996061383229087E-3</v>
          </cell>
        </row>
        <row r="49">
          <cell r="A49" t="str">
            <v>F102</v>
          </cell>
          <cell r="F49">
            <v>0.46556765308666243</v>
          </cell>
          <cell r="G49">
            <v>0.14352125630536158</v>
          </cell>
          <cell r="H49">
            <v>0.19818878151843508</v>
          </cell>
          <cell r="I49">
            <v>7.9196017610154198E-2</v>
          </cell>
          <cell r="J49">
            <v>6.4688650424004637E-2</v>
          </cell>
          <cell r="K49">
            <v>4.4445486394055884E-2</v>
          </cell>
          <cell r="L49">
            <v>4.392154661326148E-3</v>
          </cell>
        </row>
        <row r="50">
          <cell r="A50" t="str">
            <v>F102G</v>
          </cell>
          <cell r="F50">
            <v>0.41824972556034534</v>
          </cell>
          <cell r="G50">
            <v>0.13363661026102999</v>
          </cell>
          <cell r="H50">
            <v>0.2267837085009215</v>
          </cell>
          <cell r="I50">
            <v>9.244947396257068E-2</v>
          </cell>
          <cell r="J50">
            <v>8.7432022660843475E-2</v>
          </cell>
          <cell r="K50">
            <v>3.9839197321931016E-2</v>
          </cell>
          <cell r="L50">
            <v>1.6092617323580614E-3</v>
          </cell>
        </row>
        <row r="51">
          <cell r="A51" t="str">
            <v>F102T</v>
          </cell>
          <cell r="F51">
            <v>0.44624118059914436</v>
          </cell>
          <cell r="G51">
            <v>0.13273248911837632</v>
          </cell>
          <cell r="H51">
            <v>0.21251206685915203</v>
          </cell>
          <cell r="I51">
            <v>8.605010208359834E-2</v>
          </cell>
          <cell r="J51">
            <v>8.4429617970647991E-2</v>
          </cell>
          <cell r="K51">
            <v>3.6871358418326797E-2</v>
          </cell>
          <cell r="L51">
            <v>1.1631849507539695E-3</v>
          </cell>
        </row>
        <row r="52">
          <cell r="A52" t="str">
            <v>F102D</v>
          </cell>
          <cell r="F52">
            <v>0.55430223753321806</v>
          </cell>
          <cell r="G52">
            <v>0.16931067382764867</v>
          </cell>
          <cell r="H52">
            <v>0.14172478601824531</v>
          </cell>
          <cell r="I52">
            <v>5.2794149039887328E-2</v>
          </cell>
          <cell r="J52">
            <v>1.081046792897003E-2</v>
          </cell>
          <cell r="K52">
            <v>5.9199100055149244E-2</v>
          </cell>
          <cell r="L52">
            <v>1.1858585596881147E-2</v>
          </cell>
        </row>
        <row r="53">
          <cell r="A53" t="str">
            <v>F102C</v>
          </cell>
          <cell r="F53">
            <v>0.46556765308666243</v>
          </cell>
          <cell r="G53">
            <v>0.14352125630536158</v>
          </cell>
          <cell r="H53">
            <v>0.19818878151843508</v>
          </cell>
          <cell r="I53">
            <v>7.9196017610154198E-2</v>
          </cell>
          <cell r="J53">
            <v>6.4688650424004637E-2</v>
          </cell>
          <cell r="K53">
            <v>4.4445486394055884E-2</v>
          </cell>
          <cell r="L53">
            <v>4.392154661326148E-3</v>
          </cell>
        </row>
        <row r="54">
          <cell r="A54" t="str">
            <v>F102Co</v>
          </cell>
          <cell r="F54">
            <v>0.46556765308666243</v>
          </cell>
          <cell r="G54">
            <v>0.14352125630536158</v>
          </cell>
          <cell r="H54">
            <v>0.19818878151843508</v>
          </cell>
          <cell r="I54">
            <v>7.9196017610154198E-2</v>
          </cell>
          <cell r="J54">
            <v>6.4688650424004637E-2</v>
          </cell>
          <cell r="K54">
            <v>4.4445486394055884E-2</v>
          </cell>
          <cell r="L54">
            <v>4.392154661326148E-3</v>
          </cell>
        </row>
        <row r="55">
          <cell r="A55" t="str">
            <v>F104</v>
          </cell>
          <cell r="F55">
            <v>0.45926438978810158</v>
          </cell>
          <cell r="G55">
            <v>0.14097067869815802</v>
          </cell>
          <cell r="H55">
            <v>0.2022038646579562</v>
          </cell>
          <cell r="I55">
            <v>8.1176723143111154E-2</v>
          </cell>
          <cell r="J55">
            <v>7.0002979437187696E-2</v>
          </cell>
          <cell r="K55">
            <v>4.2614646170943266E-2</v>
          </cell>
          <cell r="L55">
            <v>3.7667181045416783E-3</v>
          </cell>
        </row>
        <row r="56">
          <cell r="A56" t="str">
            <v>F104G</v>
          </cell>
          <cell r="F56">
            <v>0.41824070182898682</v>
          </cell>
          <cell r="G56">
            <v>0.13363471408429334</v>
          </cell>
          <cell r="H56">
            <v>0.22678917649142002</v>
          </cell>
          <cell r="I56">
            <v>9.2451997424851884E-2</v>
          </cell>
          <cell r="J56">
            <v>8.7436393889298164E-2</v>
          </cell>
          <cell r="K56">
            <v>3.9838311271764654E-2</v>
          </cell>
          <cell r="L56">
            <v>1.6087050093848423E-3</v>
          </cell>
        </row>
        <row r="57">
          <cell r="A57" t="str">
            <v>F104T</v>
          </cell>
          <cell r="F57">
            <v>0.44622202371634179</v>
          </cell>
          <cell r="G57">
            <v>0.13271943492644345</v>
          </cell>
          <cell r="H57">
            <v>0.21252725406506781</v>
          </cell>
          <cell r="I57">
            <v>8.6057359671809525E-2</v>
          </cell>
          <cell r="J57">
            <v>8.4452943876729789E-2</v>
          </cell>
          <cell r="K57">
            <v>3.6861871859285002E-2</v>
          </cell>
          <cell r="L57">
            <v>1.1591118843229931E-3</v>
          </cell>
        </row>
        <row r="58">
          <cell r="A58" t="str">
            <v>F104D</v>
          </cell>
          <cell r="F58">
            <v>0.55752592240630483</v>
          </cell>
          <cell r="G58">
            <v>0.16797755415104801</v>
          </cell>
          <cell r="H58">
            <v>0.13937440744261639</v>
          </cell>
          <cell r="I58">
            <v>5.2066237716820174E-2</v>
          </cell>
          <cell r="J58">
            <v>1.4149043436437319E-2</v>
          </cell>
          <cell r="K58">
            <v>5.7035095190575993E-2</v>
          </cell>
          <cell r="L58">
            <v>1.1871739656196999E-2</v>
          </cell>
        </row>
        <row r="59">
          <cell r="A59" t="str">
            <v>F104C</v>
          </cell>
          <cell r="F59">
            <v>0.81538102528383138</v>
          </cell>
          <cell r="G59">
            <v>0.14152740394734364</v>
          </cell>
          <cell r="H59">
            <v>8.2372154335185414E-3</v>
          </cell>
          <cell r="I59">
            <v>2.1074590516048245E-3</v>
          </cell>
          <cell r="J59">
            <v>3.268530076510829E-5</v>
          </cell>
          <cell r="K59">
            <v>1.385137339091325E-2</v>
          </cell>
          <cell r="L59">
            <v>1.8862837592024003E-2</v>
          </cell>
        </row>
        <row r="60">
          <cell r="A60" t="str">
            <v>F104Co</v>
          </cell>
          <cell r="F60">
            <v>0.45926438978810158</v>
          </cell>
          <cell r="G60">
            <v>0.14097067869815802</v>
          </cell>
          <cell r="H60">
            <v>0.2022038646579562</v>
          </cell>
          <cell r="I60">
            <v>8.1176723143111154E-2</v>
          </cell>
          <cell r="J60">
            <v>7.0002979437187696E-2</v>
          </cell>
          <cell r="K60">
            <v>4.2614646170943266E-2</v>
          </cell>
          <cell r="L60">
            <v>3.7667181045416783E-3</v>
          </cell>
        </row>
        <row r="61">
          <cell r="A61" t="str">
            <v>F105</v>
          </cell>
          <cell r="F61">
            <v>0.43022618398432827</v>
          </cell>
          <cell r="G61">
            <v>0.13324977187552176</v>
          </cell>
          <cell r="H61">
            <v>0.22067742633274848</v>
          </cell>
          <cell r="I61">
            <v>8.9711430829697292E-2</v>
          </cell>
          <cell r="J61">
            <v>8.6147410092677373E-2</v>
          </cell>
          <cell r="K61">
            <v>3.8569374113783132E-2</v>
          </cell>
          <cell r="L61">
            <v>1.4184027712436649E-3</v>
          </cell>
        </row>
        <row r="62">
          <cell r="A62" t="str">
            <v>F105G</v>
          </cell>
          <cell r="F62">
            <v>0.41824972556034534</v>
          </cell>
          <cell r="G62">
            <v>0.13363661026102999</v>
          </cell>
          <cell r="H62">
            <v>0.2267837085009215</v>
          </cell>
          <cell r="I62">
            <v>9.244947396257068E-2</v>
          </cell>
          <cell r="J62">
            <v>8.7432022660843475E-2</v>
          </cell>
          <cell r="K62">
            <v>3.9839197321931016E-2</v>
          </cell>
          <cell r="L62">
            <v>1.6092617323580614E-3</v>
          </cell>
        </row>
        <row r="63">
          <cell r="A63" t="str">
            <v>F105T</v>
          </cell>
          <cell r="F63">
            <v>0.44624118059914436</v>
          </cell>
          <cell r="G63">
            <v>0.13273248911837632</v>
          </cell>
          <cell r="H63">
            <v>0.21251206685915203</v>
          </cell>
          <cell r="I63">
            <v>8.605010208359834E-2</v>
          </cell>
          <cell r="J63">
            <v>8.4429617970647991E-2</v>
          </cell>
          <cell r="K63">
            <v>3.6871358418326797E-2</v>
          </cell>
          <cell r="L63">
            <v>1.1631849507539695E-3</v>
          </cell>
        </row>
        <row r="64">
          <cell r="A64" t="str">
            <v>F105D</v>
          </cell>
          <cell r="F64">
            <v>0.55430223753321828</v>
          </cell>
          <cell r="G64">
            <v>0.16931067382764872</v>
          </cell>
          <cell r="H64">
            <v>0.14172478601824534</v>
          </cell>
          <cell r="I64">
            <v>5.2794149039887349E-2</v>
          </cell>
          <cell r="J64">
            <v>1.0810467928970034E-2</v>
          </cell>
          <cell r="K64">
            <v>5.9199100055149265E-2</v>
          </cell>
          <cell r="L64">
            <v>1.185858559688115E-2</v>
          </cell>
        </row>
        <row r="65">
          <cell r="A65" t="str">
            <v>F105C</v>
          </cell>
          <cell r="F65">
            <v>0.55430223753321828</v>
          </cell>
          <cell r="G65">
            <v>0.16931067382764872</v>
          </cell>
          <cell r="H65">
            <v>0.14172478601824534</v>
          </cell>
          <cell r="I65">
            <v>5.2794149039887349E-2</v>
          </cell>
          <cell r="J65">
            <v>1.0810467928970034E-2</v>
          </cell>
          <cell r="K65">
            <v>5.9199100055149265E-2</v>
          </cell>
          <cell r="L65">
            <v>1.185858559688115E-2</v>
          </cell>
        </row>
        <row r="66">
          <cell r="A66" t="str">
            <v>F105Co</v>
          </cell>
          <cell r="F66">
            <v>0.55430223753321828</v>
          </cell>
          <cell r="G66">
            <v>0.16931067382764872</v>
          </cell>
          <cell r="H66">
            <v>0.14172478601824534</v>
          </cell>
          <cell r="I66">
            <v>5.2794149039887349E-2</v>
          </cell>
          <cell r="J66">
            <v>1.0810467928970034E-2</v>
          </cell>
          <cell r="K66">
            <v>5.9199100055149265E-2</v>
          </cell>
          <cell r="L66">
            <v>1.185858559688115E-2</v>
          </cell>
        </row>
        <row r="67">
          <cell r="A67" t="str">
            <v>F106</v>
          </cell>
          <cell r="F67">
            <v>0.44624118059914436</v>
          </cell>
          <cell r="G67">
            <v>0.13273248911837632</v>
          </cell>
          <cell r="H67">
            <v>0.21251206685915203</v>
          </cell>
          <cell r="I67">
            <v>8.605010208359834E-2</v>
          </cell>
          <cell r="J67">
            <v>8.4429617970647991E-2</v>
          </cell>
          <cell r="K67">
            <v>3.6871358418326797E-2</v>
          </cell>
          <cell r="L67">
            <v>1.1631849507539695E-3</v>
          </cell>
        </row>
        <row r="68">
          <cell r="A68" t="str">
            <v>F107</v>
          </cell>
          <cell r="F68">
            <v>0.49833726217265062</v>
          </cell>
          <cell r="G68">
            <v>0.15036677984706678</v>
          </cell>
          <cell r="H68">
            <v>0.17838561962937524</v>
          </cell>
          <cell r="I68">
            <v>7.0017454507082091E-2</v>
          </cell>
          <cell r="J68">
            <v>4.8937930634262924E-2</v>
          </cell>
          <cell r="K68">
            <v>4.7635530847009548E-2</v>
          </cell>
          <cell r="L68">
            <v>6.3194223625525989E-3</v>
          </cell>
        </row>
        <row r="69">
          <cell r="A69" t="str">
            <v>F107G</v>
          </cell>
          <cell r="F69">
            <v>0.41824972556034534</v>
          </cell>
          <cell r="G69">
            <v>0.13363661026102999</v>
          </cell>
          <cell r="H69">
            <v>0.2267837085009215</v>
          </cell>
          <cell r="I69">
            <v>9.244947396257068E-2</v>
          </cell>
          <cell r="J69">
            <v>8.7432022660843475E-2</v>
          </cell>
          <cell r="K69">
            <v>3.9839197321931016E-2</v>
          </cell>
          <cell r="L69">
            <v>1.6092617323580614E-3</v>
          </cell>
        </row>
        <row r="70">
          <cell r="A70" t="str">
            <v>F107T</v>
          </cell>
          <cell r="F70">
            <v>0.44624118059914436</v>
          </cell>
          <cell r="G70">
            <v>0.13273248911837632</v>
          </cell>
          <cell r="H70">
            <v>0.21251206685915203</v>
          </cell>
          <cell r="I70">
            <v>8.605010208359834E-2</v>
          </cell>
          <cell r="J70">
            <v>8.4429617970647991E-2</v>
          </cell>
          <cell r="K70">
            <v>3.6871358418326797E-2</v>
          </cell>
          <cell r="L70">
            <v>1.1631849507539695E-3</v>
          </cell>
        </row>
        <row r="71">
          <cell r="A71" t="str">
            <v>F107D</v>
          </cell>
          <cell r="F71">
            <v>0.55430223753321806</v>
          </cell>
          <cell r="G71">
            <v>0.16931067382764867</v>
          </cell>
          <cell r="H71">
            <v>0.14172478601824531</v>
          </cell>
          <cell r="I71">
            <v>5.2794149039887328E-2</v>
          </cell>
          <cell r="J71">
            <v>1.081046792897003E-2</v>
          </cell>
          <cell r="K71">
            <v>5.9199100055149244E-2</v>
          </cell>
          <cell r="L71">
            <v>1.1858585596881147E-2</v>
          </cell>
        </row>
        <row r="72">
          <cell r="A72" t="str">
            <v>F107C</v>
          </cell>
          <cell r="F72">
            <v>0.55430223753321806</v>
          </cell>
          <cell r="G72">
            <v>0.16931067382764867</v>
          </cell>
          <cell r="H72">
            <v>0.14172478601824531</v>
          </cell>
          <cell r="I72">
            <v>5.2794149039887328E-2</v>
          </cell>
          <cell r="J72">
            <v>1.081046792897003E-2</v>
          </cell>
          <cell r="K72">
            <v>5.9199100055149244E-2</v>
          </cell>
          <cell r="L72">
            <v>1.1858585596881147E-2</v>
          </cell>
        </row>
        <row r="73">
          <cell r="A73" t="str">
            <v>F107Co</v>
          </cell>
          <cell r="F73">
            <v>0.55430223753321806</v>
          </cell>
          <cell r="G73">
            <v>0.16931067382764867</v>
          </cell>
          <cell r="H73">
            <v>0.14172478601824531</v>
          </cell>
          <cell r="I73">
            <v>5.2794149039887328E-2</v>
          </cell>
          <cell r="J73">
            <v>1.081046792897003E-2</v>
          </cell>
          <cell r="K73">
            <v>5.9199100055149244E-2</v>
          </cell>
          <cell r="L73">
            <v>1.1858585596881147E-2</v>
          </cell>
        </row>
        <row r="74">
          <cell r="A74" t="str">
            <v>F108</v>
          </cell>
          <cell r="F74">
            <v>0.46063959286612383</v>
          </cell>
          <cell r="G74">
            <v>0.14254408734119214</v>
          </cell>
          <cell r="H74">
            <v>0.20109728428684503</v>
          </cell>
          <cell r="I74">
            <v>8.0595261220211101E-2</v>
          </cell>
          <cell r="J74">
            <v>6.6897746229154134E-2</v>
          </cell>
          <cell r="K74">
            <v>4.4001505294781702E-2</v>
          </cell>
          <cell r="L74">
            <v>4.2245227616919696E-3</v>
          </cell>
        </row>
        <row r="75">
          <cell r="A75" t="str">
            <v>F110</v>
          </cell>
          <cell r="F75">
            <v>0.4897954644760929</v>
          </cell>
          <cell r="G75">
            <v>0.13744219708237124</v>
          </cell>
          <cell r="H75">
            <v>0.18675505025438965</v>
          </cell>
          <cell r="I75">
            <v>7.5495023302677253E-2</v>
          </cell>
          <cell r="J75">
            <v>6.8440095915150337E-2</v>
          </cell>
          <cell r="K75">
            <v>3.721460476624025E-2</v>
          </cell>
          <cell r="L75">
            <v>4.8575642030783085E-3</v>
          </cell>
        </row>
        <row r="76">
          <cell r="A76" t="str">
            <v>F118</v>
          </cell>
          <cell r="F76">
            <v>0.47101978953385276</v>
          </cell>
          <cell r="G76">
            <v>0.14384831058961611</v>
          </cell>
          <cell r="H76">
            <v>0.22635745897606713</v>
          </cell>
          <cell r="I76">
            <v>9.6243837857559994E-2</v>
          </cell>
          <cell r="J76">
            <v>0</v>
          </cell>
          <cell r="K76">
            <v>6.0555449207282945E-2</v>
          </cell>
          <cell r="L76">
            <v>1.9751538356208402E-3</v>
          </cell>
        </row>
        <row r="77">
          <cell r="A77" t="str">
            <v>F119</v>
          </cell>
          <cell r="F77">
            <v>0.42756215652986523</v>
          </cell>
          <cell r="G77">
            <v>0.13057645401638424</v>
          </cell>
          <cell r="H77">
            <v>0.20547307237814461</v>
          </cell>
          <cell r="I77">
            <v>8.7364106097991279E-2</v>
          </cell>
          <cell r="J77">
            <v>9.2262860222912621E-2</v>
          </cell>
          <cell r="K77">
            <v>5.4968430261335723E-2</v>
          </cell>
          <cell r="L77">
            <v>1.792920493366205E-3</v>
          </cell>
        </row>
        <row r="78">
          <cell r="A78" t="str">
            <v>F120</v>
          </cell>
          <cell r="F78">
            <v>0.44031449501610698</v>
          </cell>
          <cell r="G78">
            <v>0.13447098751173533</v>
          </cell>
          <cell r="H78">
            <v>0.21160144957139398</v>
          </cell>
          <cell r="I78">
            <v>8.9969801282877696E-2</v>
          </cell>
          <cell r="J78">
            <v>6.5188969126188129E-2</v>
          </cell>
          <cell r="K78">
            <v>5.660790189848694E-2</v>
          </cell>
          <cell r="L78">
            <v>1.8463955932110818E-3</v>
          </cell>
        </row>
        <row r="79">
          <cell r="A79" t="str">
            <v>F121</v>
          </cell>
          <cell r="F79">
            <v>0.47286451170068855</v>
          </cell>
          <cell r="G79">
            <v>0.14380453907222998</v>
          </cell>
          <cell r="H79">
            <v>0.22529168435608163</v>
          </cell>
          <cell r="I79">
            <v>9.5790686279597484E-2</v>
          </cell>
          <cell r="J79">
            <v>0</v>
          </cell>
          <cell r="K79">
            <v>6.027033176004315E-2</v>
          </cell>
          <cell r="L79">
            <v>1.9782468313590553E-3</v>
          </cell>
        </row>
        <row r="80">
          <cell r="A80" t="str">
            <v>F122</v>
          </cell>
          <cell r="F80">
            <v>0.59565144270614812</v>
          </cell>
          <cell r="G80">
            <v>0.14089105411394348</v>
          </cell>
          <cell r="H80">
            <v>0.15435244099240367</v>
          </cell>
          <cell r="I80">
            <v>6.562837103310197E-2</v>
          </cell>
          <cell r="J80">
            <v>0</v>
          </cell>
          <cell r="K80">
            <v>4.1292570798490393E-2</v>
          </cell>
          <cell r="L80">
            <v>2.1841203559125151E-3</v>
          </cell>
        </row>
        <row r="81">
          <cell r="A81" t="str">
            <v>F123</v>
          </cell>
          <cell r="F81">
            <v>0.66534783349455973</v>
          </cell>
          <cell r="G81">
            <v>0.13923730004951562</v>
          </cell>
          <cell r="H81">
            <v>0.11408586549269252</v>
          </cell>
          <cell r="I81">
            <v>4.8507619717886231E-2</v>
          </cell>
          <cell r="J81">
            <v>0</v>
          </cell>
          <cell r="K81">
            <v>3.0520402837010539E-2</v>
          </cell>
          <cell r="L81">
            <v>2.3009784083352727E-3</v>
          </cell>
        </row>
        <row r="82">
          <cell r="A82" t="str">
            <v>F124</v>
          </cell>
          <cell r="F82">
            <v>0.67135805683941385</v>
          </cell>
          <cell r="G82">
            <v>0.13909468963350649</v>
          </cell>
          <cell r="H82">
            <v>0.11061350330366031</v>
          </cell>
          <cell r="I82">
            <v>4.7031222761427759E-2</v>
          </cell>
          <cell r="J82">
            <v>0</v>
          </cell>
          <cell r="K82">
            <v>2.9591471874812991E-2</v>
          </cell>
          <cell r="L82">
            <v>2.3110555871785452E-3</v>
          </cell>
        </row>
        <row r="83">
          <cell r="A83" t="str">
            <v>F125</v>
          </cell>
          <cell r="F83">
            <v>0.53651827044234113</v>
          </cell>
          <cell r="G83">
            <v>0.23960071860583457</v>
          </cell>
          <cell r="H83">
            <v>8.7268893240879997E-2</v>
          </cell>
          <cell r="I83">
            <v>1.0639047554637638E-2</v>
          </cell>
          <cell r="J83">
            <v>0</v>
          </cell>
          <cell r="K83">
            <v>0.12390593051165633</v>
          </cell>
          <cell r="L83">
            <v>2.0671396446502836E-3</v>
          </cell>
        </row>
        <row r="84">
          <cell r="A84" t="str">
            <v>F126</v>
          </cell>
          <cell r="F84">
            <v>0.73116070634223507</v>
          </cell>
          <cell r="G84">
            <v>0.20342090011398345</v>
          </cell>
          <cell r="H84">
            <v>5.2272929714433612E-2</v>
          </cell>
          <cell r="I84">
            <v>1.3145463829347968E-2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F127</v>
          </cell>
          <cell r="F85">
            <v>0.67347103772104999</v>
          </cell>
          <cell r="G85">
            <v>0.17324537603813719</v>
          </cell>
          <cell r="H85">
            <v>7.562079827726001E-2</v>
          </cell>
          <cell r="I85">
            <v>1.3273432666435077E-2</v>
          </cell>
          <cell r="J85">
            <v>7.7927907990871089E-3</v>
          </cell>
          <cell r="K85">
            <v>5.659656449803066E-2</v>
          </cell>
          <cell r="L85">
            <v>0</v>
          </cell>
        </row>
        <row r="86">
          <cell r="A86" t="str">
            <v>F128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</row>
        <row r="87">
          <cell r="A87" t="str">
            <v>F129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</row>
        <row r="88">
          <cell r="A88" t="str">
            <v>F130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</row>
        <row r="89">
          <cell r="A89" t="str">
            <v>F131</v>
          </cell>
          <cell r="F89">
            <v>0.53590807284605713</v>
          </cell>
          <cell r="G89">
            <v>0.14757603348364792</v>
          </cell>
          <cell r="H89">
            <v>0.16458348617922894</v>
          </cell>
          <cell r="I89">
            <v>6.8101861197768884E-2</v>
          </cell>
          <cell r="J89">
            <v>2.367619380998821E-2</v>
          </cell>
          <cell r="K89">
            <v>4.4046488546749085E-2</v>
          </cell>
          <cell r="L89">
            <v>1.6107863936559885E-2</v>
          </cell>
        </row>
        <row r="90">
          <cell r="A90" t="str">
            <v>F132</v>
          </cell>
          <cell r="F90">
            <v>0.52225146947431833</v>
          </cell>
          <cell r="G90">
            <v>0.14263268668182696</v>
          </cell>
          <cell r="H90">
            <v>0.19675873392066895</v>
          </cell>
          <cell r="I90">
            <v>8.3658898497008888E-2</v>
          </cell>
          <cell r="J90">
            <v>0</v>
          </cell>
          <cell r="K90">
            <v>5.2637158819149529E-2</v>
          </cell>
          <cell r="L90">
            <v>2.0610526070272981E-3</v>
          </cell>
        </row>
        <row r="91">
          <cell r="A91" t="str">
            <v>F133</v>
          </cell>
          <cell r="F91">
            <v>0.66905622455347313</v>
          </cell>
          <cell r="G91">
            <v>0.13914930744736231</v>
          </cell>
          <cell r="H91">
            <v>0.11194336992201778</v>
          </cell>
          <cell r="I91">
            <v>4.7596662344326204E-2</v>
          </cell>
          <cell r="J91">
            <v>0</v>
          </cell>
          <cell r="K91">
            <v>2.9947239565547328E-2</v>
          </cell>
          <cell r="L91">
            <v>2.3071961672732092E-3</v>
          </cell>
        </row>
        <row r="92">
          <cell r="A92" t="str">
            <v>F134</v>
          </cell>
          <cell r="F92">
            <v>0.56802020985224821</v>
          </cell>
          <cell r="G92">
            <v>0.15619945950598027</v>
          </cell>
          <cell r="H92">
            <v>0.16334099544733513</v>
          </cell>
          <cell r="I92">
            <v>6.8283135653576257E-2</v>
          </cell>
          <cell r="J92">
            <v>0</v>
          </cell>
          <cell r="K92">
            <v>4.2492374567296966E-2</v>
          </cell>
          <cell r="L92">
            <v>1.6638249735630942E-3</v>
          </cell>
        </row>
        <row r="93">
          <cell r="A93" t="str">
            <v>F135</v>
          </cell>
          <cell r="F93">
            <v>0.67132658273430934</v>
          </cell>
          <cell r="G93">
            <v>0.15338996600677873</v>
          </cell>
          <cell r="H93">
            <v>0.11063105894513579</v>
          </cell>
          <cell r="I93">
            <v>4.2416167063988944E-2</v>
          </cell>
          <cell r="J93">
            <v>0</v>
          </cell>
          <cell r="K93">
            <v>2.0645642977757811E-2</v>
          </cell>
          <cell r="L93">
            <v>1.5905822720292952E-3</v>
          </cell>
        </row>
        <row r="94">
          <cell r="A94" t="str">
            <v>F136</v>
          </cell>
          <cell r="F94">
            <v>0.80327996730320961</v>
          </cell>
          <cell r="G94">
            <v>0.12484852714456718</v>
          </cell>
          <cell r="H94">
            <v>2.8811327581442253E-2</v>
          </cell>
          <cell r="I94">
            <v>1.0358758887328106E-2</v>
          </cell>
          <cell r="J94">
            <v>7.5107875806307714E-3</v>
          </cell>
          <cell r="K94">
            <v>1.2978682571171194E-2</v>
          </cell>
          <cell r="L94">
            <v>1.2211948931650745E-2</v>
          </cell>
        </row>
        <row r="95">
          <cell r="A95" t="str">
            <v>F137</v>
          </cell>
          <cell r="F95">
            <v>0.44925178023950918</v>
          </cell>
          <cell r="G95">
            <v>0.13498057295071605</v>
          </cell>
          <cell r="H95">
            <v>0.210011081960955</v>
          </cell>
          <cell r="I95">
            <v>8.5544706097543E-2</v>
          </cell>
          <cell r="J95">
            <v>7.7839434100376345E-2</v>
          </cell>
          <cell r="K95">
            <v>3.8965146770265781E-2</v>
          </cell>
          <cell r="L95">
            <v>3.4072778806345815E-3</v>
          </cell>
        </row>
        <row r="96">
          <cell r="A96" t="str">
            <v>F137G</v>
          </cell>
          <cell r="F96">
            <v>0.41663044684260098</v>
          </cell>
          <cell r="G96">
            <v>0.13382267099411169</v>
          </cell>
          <cell r="H96">
            <v>0.22717942547862127</v>
          </cell>
          <cell r="I96">
            <v>9.275426762269888E-2</v>
          </cell>
          <cell r="J96">
            <v>8.8051324444729129E-2</v>
          </cell>
          <cell r="K96">
            <v>3.9888229796835213E-2</v>
          </cell>
          <cell r="L96">
            <v>1.6736348204028798E-3</v>
          </cell>
        </row>
        <row r="97">
          <cell r="A97" t="str">
            <v>F137T</v>
          </cell>
          <cell r="F97">
            <v>0.44624118059914453</v>
          </cell>
          <cell r="G97">
            <v>0.13273248911837629</v>
          </cell>
          <cell r="H97">
            <v>0.212512066859152</v>
          </cell>
          <cell r="I97">
            <v>8.6050102083598368E-2</v>
          </cell>
          <cell r="J97">
            <v>8.4429617970647991E-2</v>
          </cell>
          <cell r="K97">
            <v>3.6871358418326804E-2</v>
          </cell>
          <cell r="L97">
            <v>1.1631849507539691E-3</v>
          </cell>
        </row>
        <row r="98">
          <cell r="A98" t="str">
            <v>F137D</v>
          </cell>
          <cell r="F98">
            <v>0.53590807284605702</v>
          </cell>
          <cell r="G98">
            <v>0.14757603348364787</v>
          </cell>
          <cell r="H98">
            <v>0.16458348617922888</v>
          </cell>
          <cell r="I98">
            <v>6.810186119776887E-2</v>
          </cell>
          <cell r="J98">
            <v>2.36761938099882E-2</v>
          </cell>
          <cell r="K98">
            <v>4.4046488546749064E-2</v>
          </cell>
          <cell r="L98">
            <v>1.6107863936559878E-2</v>
          </cell>
        </row>
        <row r="99">
          <cell r="A99" t="str">
            <v>F137C</v>
          </cell>
          <cell r="F99">
            <v>0.80128506420714996</v>
          </cell>
          <cell r="G99">
            <v>0.12747861089176149</v>
          </cell>
          <cell r="H99">
            <v>2.6156651103678E-2</v>
          </cell>
          <cell r="I99">
            <v>9.1057828295778524E-3</v>
          </cell>
          <cell r="J99">
            <v>6.5599386794844092E-3</v>
          </cell>
          <cell r="K99">
            <v>1.6088917428762606E-2</v>
          </cell>
          <cell r="L99">
            <v>1.3325034859585572E-2</v>
          </cell>
        </row>
        <row r="100">
          <cell r="A100" t="str">
            <v>F137Co</v>
          </cell>
          <cell r="F100">
            <v>0.46071618950898552</v>
          </cell>
          <cell r="G100">
            <v>0.14455037701621429</v>
          </cell>
          <cell r="H100">
            <v>0.20068353305387923</v>
          </cell>
          <cell r="I100">
            <v>7.9595018644255916E-2</v>
          </cell>
          <cell r="J100">
            <v>6.5786765196361494E-2</v>
          </cell>
          <cell r="K100">
            <v>4.4067863471661244E-2</v>
          </cell>
          <cell r="L100">
            <v>4.6002531086423481E-3</v>
          </cell>
        </row>
        <row r="101">
          <cell r="A101" t="str">
            <v>F138</v>
          </cell>
          <cell r="F101">
            <v>0.45073236956905394</v>
          </cell>
          <cell r="G101">
            <v>0.13439310815860539</v>
          </cell>
          <cell r="H101">
            <v>0.20964175772625035</v>
          </cell>
          <cell r="I101">
            <v>8.5437301044562541E-2</v>
          </cell>
          <cell r="J101">
            <v>7.7802843460827872E-2</v>
          </cell>
          <cell r="K101">
            <v>3.8613466361703069E-2</v>
          </cell>
          <cell r="L101">
            <v>3.3791536789967527E-3</v>
          </cell>
        </row>
        <row r="102">
          <cell r="A102" t="str">
            <v>F138G</v>
          </cell>
          <cell r="F102">
            <v>0.42632049368749225</v>
          </cell>
          <cell r="G102">
            <v>0.13272458177064853</v>
          </cell>
          <cell r="H102">
            <v>0.22477512283031489</v>
          </cell>
          <cell r="I102">
            <v>9.0923997173127602E-2</v>
          </cell>
          <cell r="J102">
            <v>8.4360479372101713E-2</v>
          </cell>
          <cell r="K102">
            <v>3.9597309397141602E-2</v>
          </cell>
          <cell r="L102">
            <v>1.2980157691731698E-3</v>
          </cell>
        </row>
        <row r="103">
          <cell r="A103" t="str">
            <v>F138T</v>
          </cell>
          <cell r="F103">
            <v>0.44624118059914453</v>
          </cell>
          <cell r="G103">
            <v>0.13273248911837629</v>
          </cell>
          <cell r="H103">
            <v>0.212512066859152</v>
          </cell>
          <cell r="I103">
            <v>8.6050102083598368E-2</v>
          </cell>
          <cell r="J103">
            <v>8.4429617970647991E-2</v>
          </cell>
          <cell r="K103">
            <v>3.6871358418326804E-2</v>
          </cell>
          <cell r="L103">
            <v>1.1631849507539691E-3</v>
          </cell>
        </row>
        <row r="104">
          <cell r="A104" t="str">
            <v>F138D</v>
          </cell>
          <cell r="F104">
            <v>0.53590807284605702</v>
          </cell>
          <cell r="G104">
            <v>0.14757603348364787</v>
          </cell>
          <cell r="H104">
            <v>0.16458348617922888</v>
          </cell>
          <cell r="I104">
            <v>6.810186119776887E-2</v>
          </cell>
          <cell r="J104">
            <v>2.36761938099882E-2</v>
          </cell>
          <cell r="K104">
            <v>4.4046488546749064E-2</v>
          </cell>
          <cell r="L104">
            <v>1.6107863936559878E-2</v>
          </cell>
        </row>
        <row r="105">
          <cell r="A105" t="str">
            <v>F138C</v>
          </cell>
          <cell r="F105">
            <v>0.80128506420715007</v>
          </cell>
          <cell r="G105">
            <v>0.12747861089176149</v>
          </cell>
          <cell r="H105">
            <v>2.6156651103678003E-2</v>
          </cell>
          <cell r="I105">
            <v>9.1057828295778541E-3</v>
          </cell>
          <cell r="J105">
            <v>6.5599386794844101E-3</v>
          </cell>
          <cell r="K105">
            <v>1.608891742876261E-2</v>
          </cell>
          <cell r="L105">
            <v>1.3325034859585574E-2</v>
          </cell>
        </row>
        <row r="106">
          <cell r="A106" t="str">
            <v>F138Co</v>
          </cell>
          <cell r="F106">
            <v>0.46071618950898552</v>
          </cell>
          <cell r="G106">
            <v>0.14455037701621429</v>
          </cell>
          <cell r="H106">
            <v>0.20068353305387923</v>
          </cell>
          <cell r="I106">
            <v>7.9595018644255916E-2</v>
          </cell>
          <cell r="J106">
            <v>6.5786765196361494E-2</v>
          </cell>
          <cell r="K106">
            <v>4.4067863471661244E-2</v>
          </cell>
          <cell r="L106">
            <v>4.6002531086423481E-3</v>
          </cell>
        </row>
        <row r="107">
          <cell r="A107" t="str">
            <v>F140</v>
          </cell>
          <cell r="F107">
            <v>0.4494712735489616</v>
          </cell>
          <cell r="G107">
            <v>0.13711968441887007</v>
          </cell>
          <cell r="H107">
            <v>0.20908023874100723</v>
          </cell>
          <cell r="I107">
            <v>8.4689385507997428E-2</v>
          </cell>
          <cell r="J107">
            <v>7.5602203188016553E-2</v>
          </cell>
          <cell r="K107">
            <v>4.0685787000017126E-2</v>
          </cell>
          <cell r="L107">
            <v>3.3514275951301003E-3</v>
          </cell>
        </row>
        <row r="108">
          <cell r="A108" t="str">
            <v>F140G</v>
          </cell>
          <cell r="F108">
            <v>0.41856682607413642</v>
          </cell>
          <cell r="G108">
            <v>0.13378433135286769</v>
          </cell>
          <cell r="H108">
            <v>0.22635740226326206</v>
          </cell>
          <cell r="I108">
            <v>9.2335892111414575E-2</v>
          </cell>
          <cell r="J108">
            <v>8.7445805777789237E-2</v>
          </cell>
          <cell r="K108">
            <v>3.9820246951134917E-2</v>
          </cell>
          <cell r="L108">
            <v>1.6894954693951263E-3</v>
          </cell>
        </row>
        <row r="109">
          <cell r="A109" t="str">
            <v>F140T</v>
          </cell>
          <cell r="F109">
            <v>0.44623042764841764</v>
          </cell>
          <cell r="G109">
            <v>0.13272516166932952</v>
          </cell>
          <cell r="H109">
            <v>0.21252059159037126</v>
          </cell>
          <cell r="I109">
            <v>8.6054175840755739E-2</v>
          </cell>
          <cell r="J109">
            <v>8.4442711036014598E-2</v>
          </cell>
          <cell r="K109">
            <v>3.6866033517454662E-2</v>
          </cell>
          <cell r="L109">
            <v>1.160898697656821E-3</v>
          </cell>
        </row>
        <row r="110">
          <cell r="A110" t="str">
            <v>F140D</v>
          </cell>
          <cell r="F110">
            <v>0.54861264763093287</v>
          </cell>
          <cell r="G110">
            <v>0.16076896515033298</v>
          </cell>
          <cell r="H110">
            <v>0.14953965985487691</v>
          </cell>
          <cell r="I110">
            <v>5.7778325143539117E-2</v>
          </cell>
          <cell r="J110">
            <v>1.5647407152166053E-2</v>
          </cell>
          <cell r="K110">
            <v>5.4728441023572195E-2</v>
          </cell>
          <cell r="L110">
            <v>1.2924554044579579E-2</v>
          </cell>
        </row>
        <row r="111">
          <cell r="A111" t="str">
            <v>F140C</v>
          </cell>
          <cell r="F111">
            <v>0.80403745975585417</v>
          </cell>
          <cell r="G111">
            <v>0.12914761021322513</v>
          </cell>
          <cell r="H111">
            <v>2.3099925608479246E-2</v>
          </cell>
          <cell r="I111">
            <v>8.2833366903446119E-3</v>
          </cell>
          <cell r="J111">
            <v>6.287867975329077E-3</v>
          </cell>
          <cell r="K111">
            <v>1.487619164849336E-2</v>
          </cell>
          <cell r="L111">
            <v>1.4267608108274345E-2</v>
          </cell>
        </row>
        <row r="112">
          <cell r="A112" t="str">
            <v>F140Co</v>
          </cell>
          <cell r="F112">
            <v>0.46071437584394898</v>
          </cell>
          <cell r="G112">
            <v>0.14454991090918914</v>
          </cell>
          <cell r="H112">
            <v>0.20068464774465528</v>
          </cell>
          <cell r="I112">
            <v>7.959556763454155E-2</v>
          </cell>
          <cell r="J112">
            <v>6.5787689625735155E-2</v>
          </cell>
          <cell r="K112">
            <v>4.4067682873060995E-2</v>
          </cell>
          <cell r="L112">
            <v>4.6001253688689068E-3</v>
          </cell>
        </row>
        <row r="113">
          <cell r="A113" t="str">
            <v>F141</v>
          </cell>
          <cell r="F113">
            <v>0.42486410942529906</v>
          </cell>
          <cell r="G113">
            <v>0.15093746457602988</v>
          </cell>
          <cell r="H113">
            <v>0.21919041507186279</v>
          </cell>
          <cell r="I113">
            <v>8.3744072549664247E-2</v>
          </cell>
          <cell r="J113">
            <v>7.2047851458124632E-2</v>
          </cell>
          <cell r="K113">
            <v>4.4054056989987309E-2</v>
          </cell>
          <cell r="L113">
            <v>5.1620299290319185E-3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6F6E5-3863-4626-B07B-F898C1442DAC}">
  <sheetPr transitionEvaluation="1" transitionEntry="1">
    <pageSetUpPr fitToPage="1"/>
  </sheetPr>
  <dimension ref="B1:U45"/>
  <sheetViews>
    <sheetView topLeftCell="B10" zoomScale="70" zoomScaleNormal="70" workbookViewId="0">
      <selection activeCell="AB38" sqref="AB38"/>
    </sheetView>
  </sheetViews>
  <sheetFormatPr defaultColWidth="10.25" defaultRowHeight="15.75"/>
  <cols>
    <col min="1" max="1" width="0" style="53" hidden="1" customWidth="1"/>
    <col min="2" max="2" width="4.625" style="53" customWidth="1"/>
    <col min="3" max="3" width="2.125" style="53" customWidth="1"/>
    <col min="4" max="4" width="35.875" style="54" customWidth="1"/>
    <col min="5" max="5" width="2.125" style="54" customWidth="1"/>
    <col min="6" max="6" width="7.625" style="54" customWidth="1"/>
    <col min="7" max="7" width="2.25" style="53" customWidth="1"/>
    <col min="8" max="8" width="11.5" style="53" bestFit="1" customWidth="1"/>
    <col min="9" max="9" width="11.5" style="53" customWidth="1"/>
    <col min="10" max="10" width="2.25" style="53" customWidth="1"/>
    <col min="11" max="11" width="14" style="53" bestFit="1" customWidth="1"/>
    <col min="12" max="12" width="2.25" style="53" customWidth="1"/>
    <col min="13" max="13" width="10.25" style="53" customWidth="1"/>
    <col min="14" max="14" width="1.75" style="53" customWidth="1"/>
    <col min="15" max="15" width="12.75" style="53" bestFit="1" customWidth="1"/>
    <col min="16" max="16" width="1.875" style="53" customWidth="1"/>
    <col min="17" max="17" width="19" style="53" bestFit="1" customWidth="1"/>
    <col min="18" max="18" width="2.5" style="53" customWidth="1"/>
    <col min="19" max="19" width="23.75" style="53" bestFit="1" customWidth="1"/>
    <col min="20" max="16384" width="10.25" style="53"/>
  </cols>
  <sheetData>
    <row r="1" spans="2:21" ht="18.75">
      <c r="C1" s="540"/>
      <c r="D1" s="541"/>
    </row>
    <row r="2" spans="2:21">
      <c r="B2" s="57" t="s">
        <v>563</v>
      </c>
      <c r="C2" s="57"/>
      <c r="D2" s="57"/>
      <c r="E2" s="57"/>
      <c r="F2" s="57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</row>
    <row r="3" spans="2:21">
      <c r="B3" s="57" t="s">
        <v>570</v>
      </c>
      <c r="C3" s="57"/>
      <c r="D3" s="57"/>
      <c r="E3" s="57"/>
      <c r="F3" s="57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</row>
    <row r="4" spans="2:21">
      <c r="B4" s="57" t="s">
        <v>117</v>
      </c>
      <c r="C4" s="57"/>
      <c r="D4" s="57"/>
      <c r="E4" s="57"/>
      <c r="F4" s="57"/>
      <c r="G4" s="760"/>
      <c r="H4" s="760"/>
      <c r="I4" s="760"/>
      <c r="J4" s="760"/>
      <c r="K4" s="760"/>
      <c r="L4" s="760"/>
      <c r="M4" s="760"/>
      <c r="N4" s="760"/>
      <c r="O4" s="760"/>
      <c r="P4" s="760"/>
      <c r="Q4" s="760"/>
      <c r="R4" s="760"/>
      <c r="S4" s="760"/>
    </row>
    <row r="5" spans="2:21">
      <c r="B5" s="56" t="s">
        <v>523</v>
      </c>
      <c r="C5" s="56"/>
      <c r="D5" s="56"/>
      <c r="E5" s="56"/>
      <c r="F5" s="56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60"/>
      <c r="R5" s="760"/>
      <c r="S5" s="760"/>
    </row>
    <row r="6" spans="2:21">
      <c r="B6" s="56"/>
      <c r="C6" s="56"/>
      <c r="D6" s="56"/>
      <c r="E6" s="56"/>
      <c r="F6" s="56"/>
    </row>
    <row r="7" spans="2:21">
      <c r="B7" s="650"/>
      <c r="C7" s="650"/>
      <c r="D7" s="650"/>
      <c r="E7" s="650"/>
      <c r="F7" s="650"/>
    </row>
    <row r="9" spans="2:21">
      <c r="K9" s="66" t="s">
        <v>1445</v>
      </c>
      <c r="O9" s="66" t="s">
        <v>526</v>
      </c>
      <c r="Q9" s="760" t="s">
        <v>1442</v>
      </c>
      <c r="S9" s="760" t="s">
        <v>1442</v>
      </c>
    </row>
    <row r="10" spans="2:21">
      <c r="F10" s="52"/>
      <c r="K10" s="532" t="s">
        <v>447</v>
      </c>
      <c r="M10" s="66" t="s">
        <v>1447</v>
      </c>
      <c r="O10" s="532" t="s">
        <v>16</v>
      </c>
      <c r="Q10" s="759" t="s">
        <v>1443</v>
      </c>
      <c r="S10" s="759" t="s">
        <v>1443</v>
      </c>
    </row>
    <row r="11" spans="2:21">
      <c r="B11" s="66" t="s">
        <v>74</v>
      </c>
      <c r="F11" s="52" t="s">
        <v>123</v>
      </c>
      <c r="H11" s="52" t="s">
        <v>119</v>
      </c>
      <c r="I11" s="52" t="s">
        <v>1471</v>
      </c>
      <c r="K11" s="725" t="s">
        <v>1446</v>
      </c>
      <c r="M11" s="66" t="s">
        <v>1448</v>
      </c>
      <c r="O11" s="725" t="s">
        <v>567</v>
      </c>
      <c r="Q11" s="761" t="s">
        <v>1444</v>
      </c>
      <c r="S11" s="761" t="s">
        <v>1450</v>
      </c>
    </row>
    <row r="12" spans="2:21">
      <c r="B12" s="69" t="s">
        <v>76</v>
      </c>
      <c r="D12" s="70" t="s">
        <v>90</v>
      </c>
      <c r="F12" s="70" t="s">
        <v>76</v>
      </c>
      <c r="H12" s="70" t="s">
        <v>8</v>
      </c>
      <c r="I12" s="70" t="s">
        <v>8</v>
      </c>
      <c r="K12" s="533" t="s">
        <v>86</v>
      </c>
      <c r="M12" s="841" t="s">
        <v>1449</v>
      </c>
      <c r="O12" s="533" t="s">
        <v>86</v>
      </c>
      <c r="Q12" s="73" t="s">
        <v>86</v>
      </c>
      <c r="S12" s="73" t="s">
        <v>1451</v>
      </c>
    </row>
    <row r="13" spans="2:21">
      <c r="B13" s="74"/>
      <c r="D13" s="67" t="s">
        <v>127</v>
      </c>
      <c r="F13" s="67" t="s">
        <v>128</v>
      </c>
      <c r="H13" s="534" t="s">
        <v>129</v>
      </c>
      <c r="I13" s="534" t="s">
        <v>130</v>
      </c>
      <c r="K13" s="534" t="s">
        <v>131</v>
      </c>
      <c r="M13" s="534" t="s">
        <v>132</v>
      </c>
      <c r="O13" s="534" t="s">
        <v>133</v>
      </c>
      <c r="Q13" s="534" t="s">
        <v>134</v>
      </c>
      <c r="S13" s="534" t="s">
        <v>530</v>
      </c>
    </row>
    <row r="14" spans="2:21">
      <c r="H14" s="54"/>
      <c r="I14" s="54"/>
      <c r="S14" s="534" t="s">
        <v>460</v>
      </c>
    </row>
    <row r="15" spans="2:21">
      <c r="D15" s="75" t="s">
        <v>5</v>
      </c>
      <c r="H15" s="54"/>
      <c r="I15" s="54"/>
    </row>
    <row r="16" spans="2:21">
      <c r="B16" s="66">
        <v>1</v>
      </c>
      <c r="D16" s="54" t="s">
        <v>135</v>
      </c>
      <c r="F16" s="76" t="s">
        <v>448</v>
      </c>
      <c r="H16" s="842">
        <v>1524718.2118738822</v>
      </c>
      <c r="I16" s="842">
        <f>H16</f>
        <v>1524718.2118738822</v>
      </c>
      <c r="K16" s="78">
        <f>'G+T+D+C+CO (GRC Settlement)'!I1426/1000</f>
        <v>426319.67092760908</v>
      </c>
      <c r="M16" s="157">
        <f>K16/$K$42</f>
        <v>0.43064365785652997</v>
      </c>
      <c r="O16" s="87">
        <f ca="1">M16*($O$42-$O$26)</f>
        <v>-264.04874289908656</v>
      </c>
      <c r="Q16" s="87">
        <f ca="1">M16*($Q$42-$Q$26)</f>
        <v>-921.8779129264351</v>
      </c>
      <c r="S16" s="861">
        <f ca="1">ROUND(Q16/I16*100,3)</f>
        <v>-0.06</v>
      </c>
      <c r="U16" s="87"/>
    </row>
    <row r="17" spans="2:20">
      <c r="H17" s="844"/>
      <c r="I17" s="844"/>
      <c r="K17" s="845"/>
      <c r="M17" s="849"/>
      <c r="O17" s="845"/>
      <c r="Q17" s="845"/>
    </row>
    <row r="18" spans="2:20">
      <c r="H18" s="54"/>
      <c r="I18" s="54"/>
      <c r="K18" s="78"/>
      <c r="M18" s="849"/>
    </row>
    <row r="19" spans="2:20">
      <c r="B19" s="44">
        <f>MAX(B$13:B18)+1</f>
        <v>2</v>
      </c>
      <c r="D19" s="75" t="s">
        <v>136</v>
      </c>
      <c r="H19" s="843">
        <f>H16</f>
        <v>1524718.2118738822</v>
      </c>
      <c r="I19" s="843">
        <f>I16</f>
        <v>1524718.2118738822</v>
      </c>
      <c r="K19" s="78">
        <f>K16</f>
        <v>426319.67092760908</v>
      </c>
      <c r="M19" s="849"/>
      <c r="O19" s="78">
        <f ca="1">O16</f>
        <v>-264.04874289908656</v>
      </c>
      <c r="Q19" s="78">
        <f ca="1">Q16</f>
        <v>-921.8779129264351</v>
      </c>
    </row>
    <row r="20" spans="2:20">
      <c r="H20" s="54"/>
      <c r="I20" s="54"/>
      <c r="K20" s="78"/>
      <c r="M20" s="849"/>
    </row>
    <row r="21" spans="2:20">
      <c r="D21" s="75" t="s">
        <v>137</v>
      </c>
      <c r="H21" s="54"/>
      <c r="I21" s="54"/>
      <c r="K21" s="78"/>
      <c r="M21" s="849"/>
    </row>
    <row r="22" spans="2:20">
      <c r="B22" s="44">
        <f>MAX(B$13:B21)+1</f>
        <v>3</v>
      </c>
      <c r="D22" s="54" t="s">
        <v>138</v>
      </c>
      <c r="F22" s="52">
        <v>24</v>
      </c>
      <c r="H22" s="847">
        <v>554739.13183022395</v>
      </c>
      <c r="I22" s="847">
        <f>H22</f>
        <v>554739.13183022395</v>
      </c>
      <c r="K22" s="78">
        <f>'G+T+D+C+CO (GRC Settlement)'!J1426/1000</f>
        <v>131898.49475658382</v>
      </c>
      <c r="M22" s="157">
        <f>K22/$K$42</f>
        <v>0.13323628751203154</v>
      </c>
      <c r="O22" s="87">
        <f ca="1">M22*($O$42-$O$26)</f>
        <v>-81.693701008395649</v>
      </c>
      <c r="Q22" s="87">
        <f ca="1">M22*($Q$42-$Q$26)</f>
        <v>-285.2186219785882</v>
      </c>
      <c r="S22" s="861">
        <f ca="1">ROUND(Q22/I22*100,3)</f>
        <v>-5.0999999999999997E-2</v>
      </c>
    </row>
    <row r="23" spans="2:20">
      <c r="B23" s="44">
        <f>MAX(B$15:B22)+1</f>
        <v>4</v>
      </c>
      <c r="D23" s="54" t="s">
        <v>139</v>
      </c>
      <c r="E23" s="21"/>
      <c r="F23" s="52">
        <v>33</v>
      </c>
      <c r="H23" s="847">
        <v>0</v>
      </c>
      <c r="I23" s="847">
        <f t="shared" ref="I23:I29" si="0">H23</f>
        <v>0</v>
      </c>
      <c r="K23" s="78"/>
      <c r="M23" s="157"/>
    </row>
    <row r="24" spans="2:20">
      <c r="B24" s="44">
        <f>MAX(B$13:B22)+1</f>
        <v>4</v>
      </c>
      <c r="D24" s="54" t="s">
        <v>140</v>
      </c>
      <c r="F24" s="52">
        <v>36</v>
      </c>
      <c r="H24" s="847">
        <v>950741.26118410239</v>
      </c>
      <c r="I24" s="847">
        <f t="shared" si="0"/>
        <v>950741.26118410239</v>
      </c>
      <c r="K24" s="78">
        <f>'G+T+D+C+CO (GRC Settlement)'!K1426/1000</f>
        <v>218250.94381700936</v>
      </c>
      <c r="M24" s="157">
        <f>K24/$K$42</f>
        <v>0.22046457432163988</v>
      </c>
      <c r="O24" s="87">
        <f ca="1">M24*($O$42-$O$26)</f>
        <v>-135.1776408206276</v>
      </c>
      <c r="Q24" s="87">
        <f t="shared" ref="Q24:Q25" ca="1" si="1">M24*($Q$42-$Q$26)</f>
        <v>-471.94801999744931</v>
      </c>
      <c r="S24" s="861">
        <f t="shared" ref="S24:S29" ca="1" si="2">ROUND(Q24/I24*100,3)</f>
        <v>-0.05</v>
      </c>
    </row>
    <row r="25" spans="2:20">
      <c r="B25" s="44">
        <f>MAX(B$13:B24)+1</f>
        <v>5</v>
      </c>
      <c r="D25" s="54" t="s">
        <v>84</v>
      </c>
      <c r="F25" s="52" t="s">
        <v>141</v>
      </c>
      <c r="H25" s="847">
        <v>164795.79784020002</v>
      </c>
      <c r="I25" s="847">
        <f t="shared" si="0"/>
        <v>164795.79784020002</v>
      </c>
      <c r="K25" s="78">
        <f>'G+T+D+C+CO (GRC Settlement)'!N1426/1000</f>
        <v>38138.289626005957</v>
      </c>
      <c r="M25" s="157">
        <f>K25/$K$42</f>
        <v>3.8525110777081227E-2</v>
      </c>
      <c r="O25" s="87">
        <f ca="1">M25*($O$42-$O$26)</f>
        <v>-23.621634465415365</v>
      </c>
      <c r="Q25" s="87">
        <f t="shared" ca="1" si="1"/>
        <v>-82.470618272212931</v>
      </c>
      <c r="S25" s="861">
        <f t="shared" ca="1" si="2"/>
        <v>-0.05</v>
      </c>
    </row>
    <row r="26" spans="2:20">
      <c r="B26" s="44">
        <f>MAX(B$13:B25)+1</f>
        <v>6</v>
      </c>
      <c r="D26" s="54" t="s">
        <v>142</v>
      </c>
      <c r="F26" s="52">
        <v>47</v>
      </c>
      <c r="H26" s="847">
        <v>2679.157633181796</v>
      </c>
      <c r="I26" s="847">
        <f t="shared" si="0"/>
        <v>2679.157633181796</v>
      </c>
      <c r="K26" s="78"/>
      <c r="M26" s="157"/>
      <c r="O26" s="87">
        <f ca="1">('Exhibit No.__(RMM-3)'!L830-'Exhibit No.__(RMM-3)'!I830)/1000</f>
        <v>-3.4479658000000053</v>
      </c>
      <c r="Q26" s="87">
        <f ca="1">(S26/100*H26*1000)/1000</f>
        <v>-2.4112418698636162</v>
      </c>
      <c r="S26" s="861">
        <f t="shared" ca="1" si="2"/>
        <v>-0.09</v>
      </c>
    </row>
    <row r="27" spans="2:20">
      <c r="B27" s="44">
        <f>MAX(B$13:B26)+1</f>
        <v>7</v>
      </c>
      <c r="D27" s="54" t="s">
        <v>143</v>
      </c>
      <c r="F27" s="52">
        <v>48</v>
      </c>
      <c r="H27" s="847">
        <v>400185.56350036786</v>
      </c>
      <c r="I27" s="847">
        <f t="shared" si="0"/>
        <v>400185.56350036786</v>
      </c>
      <c r="K27" s="78">
        <f>'G+T+D+C+CO (GRC Settlement)'!L1426/1000</f>
        <v>88716.176395047689</v>
      </c>
      <c r="M27" s="157">
        <f>K27/$K$42</f>
        <v>8.9615988468652819E-2</v>
      </c>
      <c r="O27" s="87">
        <f t="shared" ref="O27:O29" ca="1" si="3">M27*($O$42-$O$26)</f>
        <v>-54.947956778432811</v>
      </c>
      <c r="Q27" s="87">
        <f t="shared" ref="Q27:Q29" ca="1" si="4">M27*($Q$42-$Q$26)</f>
        <v>-191.84074560746123</v>
      </c>
      <c r="S27" s="861">
        <f t="shared" ca="1" si="2"/>
        <v>-4.8000000000000001E-2</v>
      </c>
    </row>
    <row r="28" spans="2:20">
      <c r="B28" s="44">
        <f>MAX(B$13:B27)+1</f>
        <v>8</v>
      </c>
      <c r="D28" s="54" t="s">
        <v>421</v>
      </c>
      <c r="F28" s="76" t="s">
        <v>422</v>
      </c>
      <c r="H28" s="842">
        <v>471255.29337353742</v>
      </c>
      <c r="I28" s="847">
        <f t="shared" si="0"/>
        <v>471255.29337353742</v>
      </c>
      <c r="K28" s="78">
        <f>'G+T+D+C+CO (GRC Settlement)'!M1426/1000</f>
        <v>85238.095911648139</v>
      </c>
      <c r="M28" s="157">
        <f>K28/$K$42</f>
        <v>8.6102631230335458E-2</v>
      </c>
      <c r="O28" s="87">
        <f t="shared" ca="1" si="3"/>
        <v>-52.793745180958943</v>
      </c>
      <c r="Q28" s="87">
        <f t="shared" ca="1" si="4"/>
        <v>-184.31970964388498</v>
      </c>
      <c r="S28" s="861">
        <f t="shared" ca="1" si="2"/>
        <v>-3.9E-2</v>
      </c>
      <c r="T28" s="862" t="s">
        <v>13</v>
      </c>
    </row>
    <row r="29" spans="2:20">
      <c r="B29" s="44">
        <f>MAX(B$13:B28)+1</f>
        <v>9</v>
      </c>
      <c r="D29" s="54" t="s">
        <v>80</v>
      </c>
      <c r="F29" s="52" t="s">
        <v>81</v>
      </c>
      <c r="H29" s="847">
        <v>285.28140758938906</v>
      </c>
      <c r="I29" s="847">
        <f t="shared" si="0"/>
        <v>285.28140758938906</v>
      </c>
      <c r="K29" s="78">
        <f>'G+T+D+C+CO (GRC Settlement)'!$O$1426/1000*(H29/SUM($H$29,$H$35:$H$37))</f>
        <v>31.915569717807212</v>
      </c>
      <c r="M29" s="157">
        <f>K29/$K$42</f>
        <v>3.2239276353226098E-5</v>
      </c>
      <c r="O29" s="87">
        <f t="shared" ca="1" si="3"/>
        <v>-1.9767481159287479E-2</v>
      </c>
      <c r="Q29" s="87">
        <f t="shared" ca="1" si="4"/>
        <v>-6.901454661308902E-2</v>
      </c>
      <c r="S29" s="861">
        <f t="shared" ca="1" si="2"/>
        <v>-2.4E-2</v>
      </c>
    </row>
    <row r="30" spans="2:20">
      <c r="B30" s="66"/>
      <c r="F30" s="52"/>
      <c r="H30" s="846"/>
      <c r="I30" s="846"/>
      <c r="K30" s="845"/>
      <c r="M30" s="849"/>
      <c r="O30" s="845"/>
      <c r="Q30" s="845"/>
    </row>
    <row r="31" spans="2:20">
      <c r="B31" s="66"/>
      <c r="H31" s="54"/>
      <c r="I31" s="54"/>
      <c r="K31" s="78"/>
      <c r="M31" s="849"/>
    </row>
    <row r="32" spans="2:20">
      <c r="B32" s="44">
        <f>MAX(B$13:B31)+1</f>
        <v>10</v>
      </c>
      <c r="D32" s="75" t="s">
        <v>144</v>
      </c>
      <c r="H32" s="848">
        <f>SUM(H22:H29)</f>
        <v>2544681.4867692026</v>
      </c>
      <c r="I32" s="848">
        <f>SUM(I22:I29)</f>
        <v>2544681.4867692026</v>
      </c>
      <c r="K32" s="78">
        <f>SUM(K22:K29)</f>
        <v>562273.91607601277</v>
      </c>
      <c r="M32" s="849"/>
      <c r="O32" s="78">
        <f ca="1">SUM(O22:O29)</f>
        <v>-351.70241153498966</v>
      </c>
      <c r="Q32" s="78">
        <f ca="1">SUM(Q22:Q29)</f>
        <v>-1218.2779719160733</v>
      </c>
    </row>
    <row r="33" spans="2:19">
      <c r="B33" s="66"/>
      <c r="H33" s="54"/>
      <c r="I33" s="54"/>
      <c r="K33" s="78"/>
      <c r="M33" s="849"/>
    </row>
    <row r="34" spans="2:19">
      <c r="B34" s="66"/>
      <c r="D34" s="75" t="s">
        <v>82</v>
      </c>
      <c r="H34" s="54"/>
      <c r="I34" s="54"/>
      <c r="K34" s="78"/>
      <c r="M34" s="849"/>
    </row>
    <row r="35" spans="2:19">
      <c r="B35" s="44">
        <f>MAX(B$13:B34)+1</f>
        <v>11</v>
      </c>
      <c r="D35" s="54" t="s">
        <v>78</v>
      </c>
      <c r="F35" s="52" t="s">
        <v>79</v>
      </c>
      <c r="H35" s="847">
        <v>3037.7085715346157</v>
      </c>
      <c r="I35" s="847" cm="1">
        <f t="array" ref="I35">SUM('Exhibit No.__(RMM-3)'!O15:O17/1000)</f>
        <v>758.29809907903336</v>
      </c>
      <c r="K35" s="78">
        <f>'G+T+D+C+CO (GRC Settlement)'!$O$1426/1000*(H35/SUM($H$29,$H$35:$H$37))</f>
        <v>339.84058237940218</v>
      </c>
      <c r="M35" s="157">
        <f t="shared" ref="M35:M37" si="5">K35/$K$42</f>
        <v>3.4328744710635238E-4</v>
      </c>
      <c r="O35" s="87">
        <f t="shared" ref="O35:O37" ca="1" si="6">M35*($O$42-$O$26)</f>
        <v>-0.21048636664624354</v>
      </c>
      <c r="Q35" s="87">
        <f t="shared" ref="Q35:Q37" ca="1" si="7">M35*($Q$42-$Q$26)</f>
        <v>-0.73487466841478621</v>
      </c>
      <c r="S35" s="861">
        <f ca="1">ROUND(Q35/I35*100,3)</f>
        <v>-9.7000000000000003E-2</v>
      </c>
    </row>
    <row r="36" spans="2:19">
      <c r="B36" s="44">
        <f>MAX(B$13:B35)+1</f>
        <v>12</v>
      </c>
      <c r="D36" s="54" t="s">
        <v>145</v>
      </c>
      <c r="F36" s="52" t="s">
        <v>146</v>
      </c>
      <c r="H36" s="847">
        <v>5373.276656771407</v>
      </c>
      <c r="I36" s="847">
        <f>SUM('Exhibit No.__(RMM-3)'!O1052:O1066)/1000</f>
        <v>1718.8616006939751</v>
      </c>
      <c r="K36" s="78">
        <f>'G+T+D+C+CO (GRC Settlement)'!$O$1426/1000*(H36/SUM($H$29,$H$35:$H$37))</f>
        <v>601.12990608586881</v>
      </c>
      <c r="M36" s="157">
        <f t="shared" si="5"/>
        <v>6.0722692208994638E-4</v>
      </c>
      <c r="O36" s="87">
        <f t="shared" ca="1" si="6"/>
        <v>-0.37232060081968926</v>
      </c>
      <c r="Q36" s="87">
        <f t="shared" ca="1" si="7"/>
        <v>-1.2998893107942111</v>
      </c>
      <c r="S36" s="861">
        <f t="shared" ref="S36:S37" ca="1" si="8">ROUND(Q36/I36*100,3)</f>
        <v>-7.5999999999999998E-2</v>
      </c>
    </row>
    <row r="37" spans="2:19">
      <c r="B37" s="44">
        <f>MAX(B$13:B36)+1</f>
        <v>13</v>
      </c>
      <c r="D37" s="54" t="s">
        <v>145</v>
      </c>
      <c r="F37" s="52">
        <v>53</v>
      </c>
      <c r="H37" s="847">
        <v>3796.1347231696864</v>
      </c>
      <c r="I37" s="847">
        <f>H37</f>
        <v>3796.1347231696864</v>
      </c>
      <c r="K37" s="78">
        <f>'G+T+D+C+CO (GRC Settlement)'!$O$1426/1000*(H37/SUM($H$29,$H$35:$H$37))</f>
        <v>424.68874308799246</v>
      </c>
      <c r="M37" s="157">
        <f t="shared" si="5"/>
        <v>4.2899618817955181E-4</v>
      </c>
      <c r="O37" s="87">
        <f t="shared" ca="1" si="6"/>
        <v>-0.26303859845777361</v>
      </c>
      <c r="Q37" s="87">
        <f t="shared" ca="1" si="7"/>
        <v>-0.91835117828234059</v>
      </c>
      <c r="S37" s="861">
        <f t="shared" ca="1" si="8"/>
        <v>-2.4E-2</v>
      </c>
    </row>
    <row r="38" spans="2:19">
      <c r="B38" s="66"/>
      <c r="H38" s="840"/>
      <c r="I38" s="840"/>
      <c r="K38" s="845"/>
      <c r="O38" s="845"/>
      <c r="Q38" s="845"/>
    </row>
    <row r="39" spans="2:19">
      <c r="B39" s="66"/>
      <c r="K39" s="78"/>
    </row>
    <row r="40" spans="2:19">
      <c r="B40" s="44">
        <f>MAX(B$13:B39)+1</f>
        <v>14</v>
      </c>
      <c r="D40" s="75" t="s">
        <v>147</v>
      </c>
      <c r="H40" s="48">
        <f>SUM(H35:H37)</f>
        <v>12207.11995147571</v>
      </c>
      <c r="I40" s="48">
        <f>SUM(I35:I37)</f>
        <v>6273.2944229426948</v>
      </c>
      <c r="K40" s="78">
        <f>SUM(K35:K37)</f>
        <v>1365.6592315532635</v>
      </c>
      <c r="O40" s="78">
        <f ca="1">SUM(O35:O37)</f>
        <v>-0.84584556592370652</v>
      </c>
      <c r="Q40" s="78">
        <f ca="1">SUM(Q35:Q37)</f>
        <v>-2.9531151574913377</v>
      </c>
    </row>
    <row r="41" spans="2:19">
      <c r="B41" s="66"/>
      <c r="D41" s="75"/>
      <c r="K41" s="78"/>
    </row>
    <row r="42" spans="2:19">
      <c r="B42" s="44">
        <f>MAX(B$13:B41)+1</f>
        <v>15</v>
      </c>
      <c r="D42" s="92" t="s">
        <v>148</v>
      </c>
      <c r="H42" s="48">
        <f>H19+H32+H40</f>
        <v>4081606.8185945605</v>
      </c>
      <c r="I42" s="48">
        <f>I19+I32+I40</f>
        <v>4075672.9930660273</v>
      </c>
      <c r="K42" s="78">
        <f>K19+K32+K40</f>
        <v>989959.24623517517</v>
      </c>
      <c r="O42" s="850">
        <v>-616.59699999999998</v>
      </c>
      <c r="Q42" s="850">
        <f>-1373.224-769.885</f>
        <v>-2143.1089999999999</v>
      </c>
    </row>
    <row r="43" spans="2:19">
      <c r="B43" s="863" t="s">
        <v>13</v>
      </c>
      <c r="C43" s="864"/>
      <c r="D43" s="864"/>
      <c r="O43" s="531" t="s">
        <v>13</v>
      </c>
    </row>
    <row r="44" spans="2:19" ht="18.75" customHeight="1"/>
    <row r="45" spans="2:19" ht="18.75" customHeight="1"/>
  </sheetData>
  <mergeCells count="1">
    <mergeCell ref="B43:D43"/>
  </mergeCells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>
    <pageSetUpPr fitToPage="1"/>
  </sheetPr>
  <dimension ref="A2:W49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10.75" style="343" bestFit="1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2" width="3.25" style="343" customWidth="1"/>
    <col min="13" max="13" width="3.5" style="469" customWidth="1"/>
    <col min="14" max="14" width="15.125" style="343" customWidth="1"/>
    <col min="15" max="15" width="12.25" style="343" customWidth="1"/>
    <col min="16" max="16" width="20.375" style="343" customWidth="1"/>
    <col min="17" max="17" width="2.5" style="343" customWidth="1"/>
    <col min="18" max="18" width="8.25" style="343" customWidth="1"/>
    <col min="19" max="19" width="10.375" style="343" bestFit="1" customWidth="1"/>
    <col min="20" max="20" width="8.625" style="343" bestFit="1" customWidth="1"/>
    <col min="21" max="21" width="2.5" style="343" customWidth="1"/>
    <col min="22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</row>
    <row r="5" spans="1:23" ht="18.75">
      <c r="B5" s="347" t="s">
        <v>376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</row>
    <row r="6" spans="1:23" ht="18.75">
      <c r="B6" s="347" t="s">
        <v>428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23" ht="18.75">
      <c r="B7" s="347" t="s">
        <v>429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W7" s="501" t="s">
        <v>13</v>
      </c>
    </row>
    <row r="8" spans="1:23" ht="18.75">
      <c r="A8" s="470"/>
      <c r="B8" s="347" t="s">
        <v>13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530" t="s">
        <v>121</v>
      </c>
      <c r="K12" s="450" t="s">
        <v>327</v>
      </c>
      <c r="L12" s="348"/>
    </row>
    <row r="13" spans="1:23">
      <c r="B13" s="453" t="s">
        <v>210</v>
      </c>
      <c r="C13" s="454" t="s">
        <v>340</v>
      </c>
      <c r="D13" s="361"/>
      <c r="E13" s="355" t="s">
        <v>9</v>
      </c>
      <c r="F13" s="361"/>
      <c r="G13" s="356" t="s">
        <v>372</v>
      </c>
      <c r="I13" s="356" t="s">
        <v>373</v>
      </c>
      <c r="K13" s="689" t="s">
        <v>114</v>
      </c>
      <c r="L13" s="352"/>
      <c r="N13" s="471" t="s">
        <v>328</v>
      </c>
      <c r="O13" s="437"/>
      <c r="P13" s="438"/>
      <c r="Q13" s="406"/>
      <c r="R13" s="406"/>
      <c r="S13" s="437" t="s">
        <v>329</v>
      </c>
      <c r="T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372"/>
      <c r="T14" s="409"/>
    </row>
    <row r="15" spans="1:23">
      <c r="B15" s="364">
        <v>30000</v>
      </c>
      <c r="C15" s="343">
        <v>300</v>
      </c>
      <c r="E15" s="364">
        <f>ROUND((B$15*C15),0)</f>
        <v>9000000</v>
      </c>
      <c r="F15" s="364"/>
      <c r="G15" s="463">
        <f>ROUND($E15*$P$18*O$18/100+$E15*$P$19*O$19/100+$B$15*O$17+$B$15*P$16+O$16,2)+$S$24</f>
        <v>693366.58</v>
      </c>
      <c r="H15" s="463"/>
      <c r="I15" s="463">
        <f ca="1">ROUND($E15*$T$18*S$18/100+$E15*$T$19*S$19/100+$B$15*S$17+$B$15*T$16+S$16,2)+$S$25</f>
        <v>717936.58</v>
      </c>
      <c r="K15" s="367">
        <f ca="1">(I15-G15)/G15</f>
        <v>3.5435800785206584E-2</v>
      </c>
      <c r="L15" s="367"/>
      <c r="N15" s="625" t="s">
        <v>13</v>
      </c>
      <c r="O15" s="414" t="str">
        <f>'Exhibit No.__(RMM-3)'!D1032</f>
        <v xml:space="preserve"> </v>
      </c>
      <c r="P15" s="360" t="s">
        <v>13</v>
      </c>
      <c r="Q15" s="415"/>
      <c r="R15" s="372" t="s">
        <v>13</v>
      </c>
      <c r="S15" s="414" t="s">
        <v>13</v>
      </c>
      <c r="T15" s="360" t="s">
        <v>13</v>
      </c>
    </row>
    <row r="16" spans="1:23">
      <c r="C16" s="343">
        <v>500</v>
      </c>
      <c r="E16" s="364">
        <f>ROUND((B$15*C16),0)</f>
        <v>15000000</v>
      </c>
      <c r="F16" s="364"/>
      <c r="G16" s="463">
        <f t="shared" ref="G16:G17" si="0">ROUND($E16*$P$18*O$18/100+$E16*$P$19*O$19/100+$B$15*O$17+$B$15*P$16+O$16,2)+$S$24</f>
        <v>969639.96</v>
      </c>
      <c r="H16" s="463"/>
      <c r="I16" s="463">
        <f ca="1">ROUND($E16*$T$18*S$18/100+$E16*$T$19*S$19/100+$B$15*S$17+$B$15*T$16+S$16,2)+$S$25</f>
        <v>1010589.96</v>
      </c>
      <c r="K16" s="367">
        <f ca="1">(I16-G16)/G16</f>
        <v>4.223217038208698E-2</v>
      </c>
      <c r="L16" s="367"/>
      <c r="N16" s="625" t="s">
        <v>426</v>
      </c>
      <c r="O16" s="414">
        <f>'Exhibit No.__(RMM-3)'!D1033</f>
        <v>2999</v>
      </c>
      <c r="P16" s="360">
        <f>'Exhibit No.__(RMM-3)'!D1036</f>
        <v>0.26</v>
      </c>
      <c r="Q16" s="415"/>
      <c r="R16" s="372" t="s">
        <v>426</v>
      </c>
      <c r="S16" s="414">
        <f>'Exhibit No.__(RMM-3)'!J1033</f>
        <v>2999</v>
      </c>
      <c r="T16" s="360">
        <f>'Exhibit No.__(RMM-3)'!J1036</f>
        <v>0.26</v>
      </c>
    </row>
    <row r="17" spans="2:22">
      <c r="C17" s="343">
        <v>700</v>
      </c>
      <c r="E17" s="364">
        <f>ROUND((B$15*C17),0)</f>
        <v>21000000</v>
      </c>
      <c r="F17" s="364"/>
      <c r="G17" s="463">
        <f t="shared" si="0"/>
        <v>1245913.3400000001</v>
      </c>
      <c r="H17" s="463"/>
      <c r="I17" s="463">
        <f ca="1">ROUND($E17*$T$18*S$18/100+$E17*$T$19*S$19/100+$B$15*S$17+$B$15*T$16+S$16,2)+$S$25</f>
        <v>1303243.3400000001</v>
      </c>
      <c r="K17" s="367">
        <f ca="1">(I17-G17)/G17</f>
        <v>4.6014436284950604E-2</v>
      </c>
      <c r="L17" s="367"/>
      <c r="N17" s="408" t="s">
        <v>210</v>
      </c>
      <c r="O17" s="414">
        <f>'Exhibit No.__(RMM-3)'!D1037</f>
        <v>8.93</v>
      </c>
      <c r="P17" s="420"/>
      <c r="Q17" s="415"/>
      <c r="R17" s="415"/>
      <c r="S17" s="414">
        <f>'Exhibit No.__(RMM-3)'!J1037</f>
        <v>8.93</v>
      </c>
      <c r="T17" s="420"/>
      <c r="V17" s="535">
        <f>(S17-O17)/O17</f>
        <v>0</v>
      </c>
    </row>
    <row r="18" spans="2:22">
      <c r="G18" s="463"/>
      <c r="H18" s="463"/>
      <c r="I18" s="463"/>
      <c r="K18" s="367"/>
      <c r="L18" s="367"/>
      <c r="N18" s="721" t="s">
        <v>531</v>
      </c>
      <c r="O18" s="423">
        <f>'Exhibit No.__(RMM-3)'!D1040+S20+S27</f>
        <v>5.1749999999999998</v>
      </c>
      <c r="P18" s="681">
        <v>0.38859207013266178</v>
      </c>
      <c r="Q18" s="415"/>
      <c r="R18" s="415" t="s">
        <v>531</v>
      </c>
      <c r="S18" s="423">
        <f ca="1">'Exhibit No.__(RMM-3)'!J1040+S21+S28+S30</f>
        <v>5.4480000000000004</v>
      </c>
      <c r="T18" s="681">
        <v>0.38859207013266178</v>
      </c>
      <c r="V18" s="535">
        <f>(('Exhibit No.__(RMM-3)'!G1039+S20)-O18)/O18</f>
        <v>-0.96077294685990333</v>
      </c>
    </row>
    <row r="19" spans="2:22" ht="15.75" thickBot="1">
      <c r="B19" s="364">
        <v>40000</v>
      </c>
      <c r="C19" s="343">
        <v>300</v>
      </c>
      <c r="E19" s="364">
        <f>ROUND((B$19*C19),0)</f>
        <v>12000000</v>
      </c>
      <c r="F19" s="364"/>
      <c r="G19" s="463">
        <f>ROUND($E19*$P$18*O$18/100+$E19*$P$19*O$19/100+$B$19*O$17+$B$19*P$16+O$16,2)+$S$24</f>
        <v>923403.27</v>
      </c>
      <c r="H19" s="463"/>
      <c r="I19" s="463">
        <f ca="1">ROUND($E19*$T$18*S$18/100+$E19*$T$19*S$19/100+$B$19*S$17+$B$19*T$16+S$16,2)+$S$25</f>
        <v>956163.27</v>
      </c>
      <c r="K19" s="367">
        <f ca="1">(I19-G19)/G19</f>
        <v>3.5477457211083953E-2</v>
      </c>
      <c r="L19" s="367"/>
      <c r="N19" s="680" t="s">
        <v>529</v>
      </c>
      <c r="O19" s="722">
        <f>'Exhibit No.__(RMM-3)'!D1041+S20+S27</f>
        <v>4.242</v>
      </c>
      <c r="P19" s="682">
        <f>1-P18</f>
        <v>0.61140792986733827</v>
      </c>
      <c r="Q19" s="723"/>
      <c r="R19" s="724" t="s">
        <v>529</v>
      </c>
      <c r="S19" s="722">
        <f ca="1">'Exhibit No.__(RMM-3)'!J1041+S21+S28+S30</f>
        <v>4.5150000000000006</v>
      </c>
      <c r="T19" s="682">
        <f>1-T18</f>
        <v>0.61140792986733827</v>
      </c>
    </row>
    <row r="20" spans="2:22">
      <c r="C20" s="343">
        <v>500</v>
      </c>
      <c r="E20" s="364">
        <f>ROUND((B$19*C20),0)</f>
        <v>20000000</v>
      </c>
      <c r="F20" s="364"/>
      <c r="G20" s="463">
        <f t="shared" ref="G20:G21" si="1">ROUND($E20*$P$18*O$18/100+$E20*$P$19*O$19/100+$B$19*O$17+$B$19*P$16+O$16,2)+$S$24</f>
        <v>1291767.78</v>
      </c>
      <c r="H20" s="463"/>
      <c r="I20" s="463">
        <f ca="1">ROUND($E20*$T$18*S$18/100+$E20*$T$19*S$19/100+$B$19*S$17+$B$19*T$16+S$16,2)+$S$25</f>
        <v>1346367.78</v>
      </c>
      <c r="K20" s="367">
        <f ca="1">(I20-G20)/G20</f>
        <v>4.2267658975052004E-2</v>
      </c>
      <c r="L20" s="367"/>
      <c r="P20" s="370" t="s">
        <v>88</v>
      </c>
      <c r="Q20" s="370"/>
      <c r="R20" s="370"/>
      <c r="S20" s="371">
        <v>0.20300000000000001</v>
      </c>
    </row>
    <row r="21" spans="2:22">
      <c r="C21" s="343">
        <v>700</v>
      </c>
      <c r="E21" s="364">
        <f>ROUND((B$19*C21),0)</f>
        <v>28000000</v>
      </c>
      <c r="F21" s="364"/>
      <c r="G21" s="463">
        <f t="shared" si="1"/>
        <v>1660132.29</v>
      </c>
      <c r="H21" s="463"/>
      <c r="I21" s="463">
        <f ca="1">ROUND($E21*$T$18*S$18/100+$E21*$T$19*S$19/100+$B$19*S$17+$B$19*T$16+S$16,2)+$S$25</f>
        <v>1736572.29</v>
      </c>
      <c r="K21" s="367">
        <f ca="1">(I21-G21)/G21</f>
        <v>4.6044523355424888E-2</v>
      </c>
      <c r="L21" s="367"/>
      <c r="P21" s="370"/>
      <c r="Q21" s="370"/>
      <c r="R21" s="370"/>
      <c r="S21" s="371">
        <v>0.20300000000000001</v>
      </c>
    </row>
    <row r="22" spans="2:22">
      <c r="G22" s="463"/>
      <c r="H22" s="463"/>
      <c r="I22" s="463"/>
      <c r="K22" s="367"/>
      <c r="L22" s="367"/>
      <c r="P22" s="370"/>
      <c r="Q22" s="370"/>
      <c r="R22" s="370"/>
      <c r="S22" s="374"/>
    </row>
    <row r="23" spans="2:22">
      <c r="B23" s="364">
        <v>50000</v>
      </c>
      <c r="C23" s="343">
        <v>300</v>
      </c>
      <c r="E23" s="364">
        <f>ROUND((B$23*C23),0)</f>
        <v>15000000</v>
      </c>
      <c r="F23" s="364"/>
      <c r="G23" s="463">
        <f>ROUND($E23*$P$18*O$18/100+$E23*$P$19*O$19/100+$B$23*O$17+$B$23*P$16+O$16,2)+$S$24</f>
        <v>1153439.96</v>
      </c>
      <c r="H23" s="463"/>
      <c r="I23" s="463">
        <f ca="1">ROUND($E23*$T$18*S$18/100+$E23*$T$19*S$19/100+$B$23*S$17+$B$23*T$16+S$16,2)+$S$25</f>
        <v>1194389.96</v>
      </c>
      <c r="K23" s="367">
        <f ca="1">(I23-G23)/G23</f>
        <v>3.5502498110088022E-2</v>
      </c>
      <c r="L23" s="367"/>
      <c r="P23" s="343" t="s">
        <v>13</v>
      </c>
      <c r="Q23" s="343" t="s">
        <v>13</v>
      </c>
      <c r="S23" s="343" t="s">
        <v>13</v>
      </c>
    </row>
    <row r="24" spans="2:22">
      <c r="C24" s="343">
        <v>500</v>
      </c>
      <c r="E24" s="364">
        <f>ROUND((B$23*C24),0)</f>
        <v>25000000</v>
      </c>
      <c r="F24" s="364"/>
      <c r="G24" s="463">
        <f>ROUND($E24*$P$18*O$18/100+$E24*$P$19*O$19/100+$B$23*O$17+$B$23*P$16+O$16,2)+$S$24</f>
        <v>1613895.6</v>
      </c>
      <c r="H24" s="463"/>
      <c r="I24" s="463">
        <f ca="1">ROUND($E24*$T$18*S$18/100+$E24*$T$19*S$19/100+$B$23*S$17+$B$23*T$16+S$16,2)+$S$25</f>
        <v>1682145.6</v>
      </c>
      <c r="K24" s="367">
        <f ca="1">(I24-G24)/G24</f>
        <v>4.228898077422108E-2</v>
      </c>
      <c r="L24" s="367"/>
      <c r="P24" s="343" t="s">
        <v>420</v>
      </c>
      <c r="S24" s="416">
        <v>257.5</v>
      </c>
      <c r="T24" s="343" t="s">
        <v>13</v>
      </c>
    </row>
    <row r="25" spans="2:22">
      <c r="C25" s="343">
        <v>700</v>
      </c>
      <c r="E25" s="364">
        <f>ROUND((B$23*C25),0)</f>
        <v>35000000</v>
      </c>
      <c r="F25" s="364"/>
      <c r="G25" s="463">
        <f>ROUND($E25*$P$18*O$18/100+$E25*$P$19*O$19/100+$B$23*O$17+$B$23*P$16+O$16,2)+$S$24</f>
        <v>2074351.24</v>
      </c>
      <c r="H25" s="463"/>
      <c r="I25" s="463">
        <f ca="1">ROUND($E25*$T$18*S$18/100+$E25*$T$19*S$19/100+$B$23*S$17+$B$23*T$16+S$16,2)+$S$25</f>
        <v>2169901.2400000002</v>
      </c>
      <c r="K25" s="367">
        <f ca="1">(I25-G25)/G25</f>
        <v>4.6062594490989019E-2</v>
      </c>
      <c r="L25" s="367"/>
      <c r="P25" s="343" t="s">
        <v>419</v>
      </c>
      <c r="Q25" s="383"/>
      <c r="R25" s="383"/>
      <c r="S25" s="416">
        <f>S24</f>
        <v>257.5</v>
      </c>
    </row>
    <row r="26" spans="2:22">
      <c r="G26" s="463"/>
      <c r="H26" s="463"/>
      <c r="I26" s="463"/>
      <c r="K26" s="367"/>
      <c r="L26" s="367"/>
    </row>
    <row r="27" spans="2:22">
      <c r="B27" s="364">
        <v>60000</v>
      </c>
      <c r="C27" s="343">
        <v>300</v>
      </c>
      <c r="E27" s="364">
        <f>ROUND((B$27*C27),0)</f>
        <v>18000000</v>
      </c>
      <c r="F27" s="364"/>
      <c r="G27" s="463">
        <f>ROUND($E27*$P$18*O$18/100+$E27*$P$19*O$19/100+$B$27*O$17+$B$27*P$16+O$16,2)+$S$24</f>
        <v>1383476.65</v>
      </c>
      <c r="H27" s="463"/>
      <c r="I27" s="463">
        <f ca="1">ROUND($E27*$T$18*S$18/100+$E27*$T$19*S$19/100+$B$27*S$17+$B$27*T$16+S$16,2)+$S$25</f>
        <v>1432616.65</v>
      </c>
      <c r="K27" s="367">
        <f ca="1">(I27-G27)/G27</f>
        <v>3.5519211690345484E-2</v>
      </c>
      <c r="L27" s="367"/>
      <c r="P27" s="501" t="s">
        <v>534</v>
      </c>
      <c r="S27" s="343">
        <v>-0.20799999999999999</v>
      </c>
    </row>
    <row r="28" spans="2:22">
      <c r="C28" s="343">
        <v>500</v>
      </c>
      <c r="E28" s="364">
        <f>ROUND((B$27*C28),0)</f>
        <v>30000000</v>
      </c>
      <c r="F28" s="364"/>
      <c r="G28" s="463">
        <f>ROUND($E28*$P$18*O$18/100+$E28*$P$19*O$19/100+$B$27*O$17+$B$27*P$16+O$16,2)+$S$24</f>
        <v>1936023.42</v>
      </c>
      <c r="H28" s="463"/>
      <c r="I28" s="463">
        <f ca="1">ROUND($E28*$T$18*S$18/100+$E28*$T$19*S$19/100+$B$27*S$17+$B$27*T$16+S$16,2)+$S$25</f>
        <v>2017923.42</v>
      </c>
      <c r="K28" s="367">
        <f ca="1">(I28-G28)/G28</f>
        <v>4.2303207261821248E-2</v>
      </c>
      <c r="L28" s="367"/>
      <c r="P28" s="501" t="s">
        <v>533</v>
      </c>
      <c r="S28" s="343">
        <v>-0.20799999999999999</v>
      </c>
    </row>
    <row r="29" spans="2:22">
      <c r="C29" s="343">
        <v>700</v>
      </c>
      <c r="E29" s="364">
        <f>ROUND((B$27*C29),0)</f>
        <v>42000000</v>
      </c>
      <c r="F29" s="364"/>
      <c r="G29" s="463">
        <f>ROUND($E29*$P$18*O$18/100+$E29*$P$19*O$19/100+$B$27*O$17+$B$27*P$16+O$16,2)+$S$24</f>
        <v>2488570.19</v>
      </c>
      <c r="H29" s="463"/>
      <c r="I29" s="463">
        <f ca="1">ROUND($E29*$T$18*S$18/100+$E29*$T$19*S$19/100+$B$27*S$17+$B$27*T$16+S$16,2)+$S$25</f>
        <v>2603230.19</v>
      </c>
      <c r="K29" s="367">
        <f ca="1">(I29-G29)/G29</f>
        <v>4.6074649797199413E-2</v>
      </c>
      <c r="L29" s="367"/>
      <c r="P29" s="501"/>
      <c r="S29" s="690"/>
    </row>
    <row r="30" spans="2:22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P30" s="501" t="s">
        <v>1472</v>
      </c>
      <c r="S30" s="343">
        <f ca="1">'Exhibit No.__(RMM-2)pg1'!S28</f>
        <v>-3.9E-2</v>
      </c>
    </row>
    <row r="31" spans="2:22">
      <c r="O31" s="620" t="s">
        <v>13</v>
      </c>
    </row>
    <row r="32" spans="2:22">
      <c r="K32" s="501" t="s">
        <v>13</v>
      </c>
      <c r="L32" s="501"/>
      <c r="N32" s="619" t="s">
        <v>492</v>
      </c>
      <c r="O32" s="469">
        <f ca="1">'Exhibit No.__(RMM-2)pg2'!X30</f>
        <v>4.5266395241174366E-2</v>
      </c>
      <c r="P32" s="501" t="s">
        <v>13</v>
      </c>
      <c r="S32" s="501" t="s">
        <v>13</v>
      </c>
    </row>
    <row r="33" spans="2:20">
      <c r="B33" s="343" t="s">
        <v>333</v>
      </c>
      <c r="T33" s="501" t="s">
        <v>13</v>
      </c>
    </row>
    <row r="34" spans="2:20">
      <c r="B34" s="431" t="s">
        <v>1474</v>
      </c>
    </row>
    <row r="35" spans="2:20">
      <c r="B35" s="431"/>
    </row>
    <row r="36" spans="2:20">
      <c r="B36" s="379"/>
    </row>
    <row r="37" spans="2:20">
      <c r="B37" s="379"/>
    </row>
    <row r="38" spans="2:20">
      <c r="B38" s="379"/>
    </row>
    <row r="39" spans="2:20">
      <c r="B39" s="379"/>
    </row>
    <row r="40" spans="2:20">
      <c r="B40" s="379"/>
    </row>
    <row r="41" spans="2:20">
      <c r="B41" s="379"/>
    </row>
    <row r="42" spans="2:20">
      <c r="B42" s="379"/>
    </row>
    <row r="43" spans="2:20">
      <c r="B43" s="379"/>
      <c r="K43" s="501" t="s">
        <v>13</v>
      </c>
      <c r="L43" s="501"/>
    </row>
    <row r="44" spans="2:20">
      <c r="B44" s="379"/>
    </row>
    <row r="45" spans="2:20">
      <c r="B45" s="379"/>
    </row>
    <row r="46" spans="2:20">
      <c r="B46" s="379"/>
    </row>
    <row r="47" spans="2:20">
      <c r="B47" s="379"/>
    </row>
    <row r="49" spans="17:18">
      <c r="Q49" s="381"/>
      <c r="R49" s="381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FEFD-8DF9-4881-A1A1-19D6F3CD7E77}">
  <sheetPr>
    <tabColor rgb="FFFFFF00"/>
  </sheetPr>
  <dimension ref="A1"/>
  <sheetViews>
    <sheetView topLeftCell="A2" workbookViewId="0">
      <selection activeCell="A2" sqref="A2"/>
    </sheetView>
  </sheetViews>
  <sheetFormatPr defaultRowHeight="15.7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A7D09-47CC-4D5B-BCD3-818B11919760}">
  <sheetPr>
    <tabColor rgb="FFFFFF00"/>
  </sheetPr>
  <dimension ref="A1:V1453"/>
  <sheetViews>
    <sheetView topLeftCell="A9" zoomScale="85" zoomScaleNormal="85" workbookViewId="0">
      <pane xSplit="5" ySplit="2" topLeftCell="F11" activePane="bottomRight" state="frozen"/>
      <selection activeCell="A9" sqref="A9"/>
      <selection pane="topRight" activeCell="F9" sqref="F9"/>
      <selection pane="bottomLeft" activeCell="A11" sqref="A11"/>
      <selection pane="bottomRight" activeCell="H1426" sqref="H1426"/>
    </sheetView>
  </sheetViews>
  <sheetFormatPr defaultColWidth="7" defaultRowHeight="12.75"/>
  <cols>
    <col min="1" max="1" width="6.125" style="763" customWidth="1"/>
    <col min="2" max="2" width="2.25" style="763" customWidth="1"/>
    <col min="3" max="3" width="11.5" style="763" customWidth="1"/>
    <col min="4" max="4" width="2.5" style="763" customWidth="1"/>
    <col min="5" max="5" width="34.875" style="763" customWidth="1"/>
    <col min="6" max="6" width="14.875" style="763" customWidth="1"/>
    <col min="7" max="7" width="9.25" style="765" bestFit="1" customWidth="1"/>
    <col min="8" max="8" width="20.25" style="763" bestFit="1" customWidth="1"/>
    <col min="9" max="9" width="20.5" style="763" bestFit="1" customWidth="1"/>
    <col min="10" max="10" width="19.625" style="763" bestFit="1" customWidth="1"/>
    <col min="11" max="12" width="20.75" style="763" bestFit="1" customWidth="1"/>
    <col min="13" max="13" width="21.75" style="763" bestFit="1" customWidth="1"/>
    <col min="14" max="14" width="19.375" style="763" bestFit="1" customWidth="1"/>
    <col min="15" max="15" width="18.5" style="763" bestFit="1" customWidth="1"/>
    <col min="16" max="16" width="13.25" style="813" bestFit="1" customWidth="1"/>
    <col min="17" max="18" width="7" style="763" customWidth="1"/>
    <col min="19" max="19" width="12.25" style="763" bestFit="1" customWidth="1"/>
    <col min="20" max="20" width="12.125" style="763" customWidth="1"/>
    <col min="21" max="21" width="12.25" style="763" bestFit="1" customWidth="1"/>
    <col min="22" max="22" width="12.625" style="763" customWidth="1"/>
    <col min="23" max="16384" width="7" style="763"/>
  </cols>
  <sheetData>
    <row r="1" spans="1:22">
      <c r="A1" s="762" t="s">
        <v>571</v>
      </c>
      <c r="D1" s="763" t="s">
        <v>572</v>
      </c>
      <c r="E1" s="764" t="s">
        <v>573</v>
      </c>
      <c r="P1" s="766"/>
    </row>
    <row r="2" spans="1:22">
      <c r="A2" s="767"/>
      <c r="B2" s="768" t="s">
        <v>443</v>
      </c>
      <c r="C2" s="769"/>
      <c r="D2" s="768"/>
      <c r="E2" s="768"/>
      <c r="F2" s="769"/>
      <c r="G2" s="770"/>
      <c r="H2" s="769"/>
      <c r="I2" s="771"/>
      <c r="J2" s="769"/>
      <c r="K2" s="769"/>
      <c r="L2" s="769"/>
      <c r="M2" s="769"/>
      <c r="N2" s="771"/>
      <c r="O2" s="771"/>
      <c r="P2" s="772"/>
    </row>
    <row r="3" spans="1:22">
      <c r="A3" s="773">
        <v>3</v>
      </c>
      <c r="B3" s="768" t="s">
        <v>574</v>
      </c>
      <c r="C3" s="769"/>
      <c r="D3" s="769"/>
      <c r="E3" s="769"/>
      <c r="F3" s="769"/>
      <c r="G3" s="770"/>
      <c r="H3" s="769"/>
      <c r="I3" s="771"/>
      <c r="J3" s="769"/>
      <c r="K3" s="769"/>
      <c r="L3" s="771"/>
      <c r="M3" s="771"/>
      <c r="N3" s="771"/>
      <c r="O3" s="771"/>
      <c r="P3" s="772"/>
    </row>
    <row r="4" spans="1:22">
      <c r="A4" s="773">
        <v>4</v>
      </c>
      <c r="B4" s="768" t="s">
        <v>1387</v>
      </c>
      <c r="C4" s="769"/>
      <c r="D4" s="769"/>
      <c r="E4" s="769"/>
      <c r="F4" s="769"/>
      <c r="G4" s="770"/>
      <c r="H4" s="769"/>
      <c r="I4" s="771"/>
      <c r="J4" s="769"/>
      <c r="K4" s="769"/>
      <c r="L4" s="771"/>
      <c r="M4" s="771"/>
      <c r="N4" s="771"/>
      <c r="O4" s="771"/>
      <c r="P4" s="772"/>
    </row>
    <row r="5" spans="1:22">
      <c r="A5" s="773">
        <v>5</v>
      </c>
      <c r="B5" s="768" t="s">
        <v>1388</v>
      </c>
      <c r="C5" s="769"/>
      <c r="D5" s="769"/>
      <c r="E5" s="769"/>
      <c r="F5" s="769"/>
      <c r="G5" s="770"/>
      <c r="H5" s="769"/>
      <c r="I5" s="771"/>
      <c r="J5" s="769"/>
      <c r="K5" s="769"/>
      <c r="L5" s="771"/>
      <c r="M5" s="771"/>
      <c r="N5" s="771"/>
      <c r="O5" s="771"/>
      <c r="P5" s="772"/>
      <c r="Q5" s="774"/>
      <c r="R5" s="774"/>
      <c r="S5" s="774"/>
      <c r="T5" s="774"/>
      <c r="U5" s="774"/>
      <c r="V5" s="774"/>
    </row>
    <row r="6" spans="1:22">
      <c r="A6" s="773">
        <v>6</v>
      </c>
      <c r="B6" s="768" t="s">
        <v>1389</v>
      </c>
      <c r="C6" s="769"/>
      <c r="D6" s="769"/>
      <c r="E6" s="768"/>
      <c r="F6" s="769"/>
      <c r="G6" s="770"/>
      <c r="H6" s="769"/>
      <c r="I6" s="771"/>
      <c r="J6" s="769"/>
      <c r="K6" s="769"/>
      <c r="L6" s="771"/>
      <c r="M6" s="771"/>
      <c r="N6" s="771"/>
      <c r="O6" s="771"/>
      <c r="P6" s="772"/>
      <c r="Q6" s="774"/>
      <c r="R6" s="774"/>
      <c r="S6" s="774"/>
      <c r="T6" s="774"/>
      <c r="U6" s="774"/>
      <c r="V6" s="774"/>
    </row>
    <row r="7" spans="1:22">
      <c r="A7" s="773">
        <v>7</v>
      </c>
      <c r="B7" s="775"/>
      <c r="H7" s="776"/>
      <c r="I7" s="776"/>
      <c r="J7" s="776"/>
      <c r="K7" s="776"/>
      <c r="L7" s="776"/>
      <c r="M7" s="776"/>
      <c r="N7" s="776"/>
      <c r="O7" s="776"/>
      <c r="P7" s="772"/>
    </row>
    <row r="8" spans="1:22">
      <c r="A8" s="773">
        <v>8</v>
      </c>
      <c r="H8" s="776"/>
      <c r="I8" s="776"/>
      <c r="J8" s="776"/>
      <c r="K8" s="776"/>
      <c r="L8" s="776"/>
      <c r="M8" s="776"/>
      <c r="N8" s="776"/>
      <c r="O8" s="776"/>
      <c r="P8" s="772"/>
    </row>
    <row r="9" spans="1:22">
      <c r="A9" s="773">
        <v>9</v>
      </c>
      <c r="C9" s="777" t="s">
        <v>575</v>
      </c>
      <c r="D9" s="767"/>
      <c r="E9" s="777" t="s">
        <v>576</v>
      </c>
      <c r="F9" s="777" t="s">
        <v>577</v>
      </c>
      <c r="G9" s="778"/>
      <c r="H9" s="777" t="s">
        <v>578</v>
      </c>
      <c r="I9" s="779" t="s">
        <v>579</v>
      </c>
      <c r="J9" s="777" t="s">
        <v>580</v>
      </c>
      <c r="K9" s="779" t="s">
        <v>581</v>
      </c>
      <c r="L9" s="777" t="s">
        <v>582</v>
      </c>
      <c r="M9" s="779" t="s">
        <v>583</v>
      </c>
      <c r="N9" s="777" t="s">
        <v>584</v>
      </c>
      <c r="O9" s="779" t="s">
        <v>585</v>
      </c>
      <c r="P9" s="780" t="s">
        <v>586</v>
      </c>
    </row>
    <row r="10" spans="1:22" ht="38.25">
      <c r="A10" s="773">
        <v>12</v>
      </c>
      <c r="B10" s="781"/>
      <c r="D10" s="781"/>
      <c r="E10" s="782" t="s">
        <v>587</v>
      </c>
      <c r="F10" s="782"/>
      <c r="G10" s="783"/>
      <c r="H10" s="784" t="s">
        <v>588</v>
      </c>
      <c r="I10" s="784" t="s">
        <v>589</v>
      </c>
      <c r="J10" s="784" t="s">
        <v>590</v>
      </c>
      <c r="K10" s="784" t="s">
        <v>591</v>
      </c>
      <c r="L10" s="784" t="s">
        <v>592</v>
      </c>
      <c r="M10" s="784" t="s">
        <v>593</v>
      </c>
      <c r="N10" s="784" t="s">
        <v>594</v>
      </c>
      <c r="O10" s="784" t="s">
        <v>595</v>
      </c>
      <c r="P10" s="785">
        <v>0</v>
      </c>
    </row>
    <row r="11" spans="1:22">
      <c r="A11" s="773">
        <v>13</v>
      </c>
      <c r="C11" s="767"/>
      <c r="D11" s="767"/>
      <c r="E11" s="767"/>
      <c r="F11" s="767"/>
      <c r="G11" s="778"/>
      <c r="H11" s="775"/>
      <c r="I11" s="775"/>
      <c r="J11" s="775"/>
      <c r="K11" s="775"/>
      <c r="L11" s="775"/>
      <c r="M11" s="775"/>
      <c r="N11" s="775"/>
      <c r="O11" s="775"/>
      <c r="P11" s="772"/>
    </row>
    <row r="12" spans="1:22" hidden="1">
      <c r="A12" s="786">
        <v>12</v>
      </c>
      <c r="C12" s="767"/>
      <c r="D12" s="767"/>
      <c r="E12" s="767" t="s">
        <v>596</v>
      </c>
      <c r="F12" s="767"/>
      <c r="G12" s="778"/>
      <c r="H12" s="787">
        <v>382591356.44323879</v>
      </c>
      <c r="I12" s="788">
        <v>163537832.47862095</v>
      </c>
      <c r="J12" s="788">
        <v>57175679.305342674</v>
      </c>
      <c r="K12" s="788">
        <v>83491539.997424841</v>
      </c>
      <c r="L12" s="788">
        <v>32052657.495718129</v>
      </c>
      <c r="M12" s="788">
        <v>27770699.798476037</v>
      </c>
      <c r="N12" s="788">
        <v>16676662.981543552</v>
      </c>
      <c r="O12" s="788">
        <v>1886284.3861126152</v>
      </c>
      <c r="P12" s="772">
        <v>0</v>
      </c>
      <c r="Q12" s="774"/>
      <c r="R12" s="774"/>
      <c r="S12" s="774"/>
      <c r="T12" s="774"/>
      <c r="U12" s="774"/>
      <c r="V12" s="774"/>
    </row>
    <row r="13" spans="1:22" hidden="1">
      <c r="A13" s="786">
        <v>13</v>
      </c>
      <c r="C13" s="767"/>
      <c r="D13" s="767"/>
      <c r="E13" s="767"/>
      <c r="F13" s="767"/>
      <c r="G13" s="778"/>
      <c r="H13" s="775"/>
      <c r="I13" s="775"/>
      <c r="J13" s="775"/>
      <c r="K13" s="775"/>
      <c r="L13" s="775"/>
      <c r="M13" s="775"/>
      <c r="N13" s="775"/>
      <c r="O13" s="775"/>
      <c r="P13" s="772"/>
    </row>
    <row r="14" spans="1:22" hidden="1">
      <c r="A14" s="786">
        <v>14</v>
      </c>
      <c r="C14" s="767"/>
      <c r="D14" s="767"/>
      <c r="E14" s="767" t="s">
        <v>597</v>
      </c>
      <c r="F14" s="767"/>
      <c r="G14" s="778"/>
      <c r="H14" s="775"/>
      <c r="I14" s="775"/>
      <c r="J14" s="775"/>
      <c r="K14" s="775"/>
      <c r="L14" s="775"/>
      <c r="M14" s="775"/>
      <c r="N14" s="775"/>
      <c r="O14" s="775"/>
      <c r="P14" s="772"/>
    </row>
    <row r="15" spans="1:22" hidden="1">
      <c r="A15" s="786">
        <v>15</v>
      </c>
      <c r="C15" s="767"/>
      <c r="D15" s="767"/>
      <c r="E15" s="767" t="s">
        <v>598</v>
      </c>
      <c r="F15" s="767"/>
      <c r="G15" s="778"/>
      <c r="H15" s="787">
        <v>167580764.75903344</v>
      </c>
      <c r="I15" s="788">
        <v>75285956.901894167</v>
      </c>
      <c r="J15" s="788">
        <v>22620147.642693497</v>
      </c>
      <c r="K15" s="788">
        <v>35193817.722888887</v>
      </c>
      <c r="L15" s="788">
        <v>14335647.268913005</v>
      </c>
      <c r="M15" s="788">
        <v>13044391.894951452</v>
      </c>
      <c r="N15" s="788">
        <v>6529809.0947091198</v>
      </c>
      <c r="O15" s="788">
        <v>570994.23298328172</v>
      </c>
      <c r="P15" s="772">
        <v>0</v>
      </c>
      <c r="Q15" s="774"/>
      <c r="R15" s="774"/>
      <c r="S15" s="774"/>
      <c r="T15" s="774"/>
      <c r="U15" s="774"/>
      <c r="V15" s="774"/>
    </row>
    <row r="16" spans="1:22" hidden="1">
      <c r="A16" s="786">
        <v>16</v>
      </c>
      <c r="C16" s="767"/>
      <c r="D16" s="767"/>
      <c r="E16" s="767" t="s">
        <v>599</v>
      </c>
      <c r="F16" s="767"/>
      <c r="G16" s="778"/>
      <c r="H16" s="787">
        <v>117309607.36845623</v>
      </c>
      <c r="I16" s="788">
        <v>51339764.967835687</v>
      </c>
      <c r="J16" s="788">
        <v>16178312.501946941</v>
      </c>
      <c r="K16" s="788">
        <v>25244963.592537418</v>
      </c>
      <c r="L16" s="788">
        <v>10213863.316718927</v>
      </c>
      <c r="M16" s="788">
        <v>9063817.9489638619</v>
      </c>
      <c r="N16" s="788">
        <v>4936626.4918527426</v>
      </c>
      <c r="O16" s="788">
        <v>332258.54860065493</v>
      </c>
      <c r="P16" s="772">
        <v>0</v>
      </c>
      <c r="Q16" s="774"/>
      <c r="R16" s="774"/>
      <c r="S16" s="774"/>
      <c r="T16" s="774"/>
      <c r="U16" s="774"/>
      <c r="V16" s="774"/>
    </row>
    <row r="17" spans="1:22" hidden="1">
      <c r="A17" s="786">
        <v>17</v>
      </c>
      <c r="C17" s="767"/>
      <c r="D17" s="767"/>
      <c r="E17" s="767" t="s">
        <v>600</v>
      </c>
      <c r="F17" s="767"/>
      <c r="G17" s="778"/>
      <c r="H17" s="787">
        <v>7134745.3027785588</v>
      </c>
      <c r="I17" s="788">
        <v>3647044.4418289089</v>
      </c>
      <c r="J17" s="788">
        <v>987591.54259629198</v>
      </c>
      <c r="K17" s="788">
        <v>1247398.3067816189</v>
      </c>
      <c r="L17" s="788">
        <v>502860.48551732342</v>
      </c>
      <c r="M17" s="788">
        <v>449284.32138792309</v>
      </c>
      <c r="N17" s="788">
        <v>258935.37608399632</v>
      </c>
      <c r="O17" s="788">
        <v>41630.828582496426</v>
      </c>
      <c r="P17" s="772">
        <v>0</v>
      </c>
      <c r="Q17" s="774"/>
      <c r="R17" s="774"/>
      <c r="S17" s="774"/>
      <c r="T17" s="774"/>
      <c r="U17" s="774"/>
      <c r="V17" s="774"/>
    </row>
    <row r="18" spans="1:22" hidden="1">
      <c r="A18" s="786">
        <v>18</v>
      </c>
      <c r="C18" s="767"/>
      <c r="D18" s="767"/>
      <c r="E18" s="767" t="s">
        <v>601</v>
      </c>
      <c r="F18" s="767"/>
      <c r="G18" s="778"/>
      <c r="H18" s="787">
        <v>24634547.458652236</v>
      </c>
      <c r="I18" s="788">
        <v>11462723.525937947</v>
      </c>
      <c r="J18" s="788">
        <v>3480165.3976608487</v>
      </c>
      <c r="K18" s="788">
        <v>4906632.285933746</v>
      </c>
      <c r="L18" s="788">
        <v>1962287.4728191437</v>
      </c>
      <c r="M18" s="788">
        <v>1634344.14362378</v>
      </c>
      <c r="N18" s="788">
        <v>1084056.0841745278</v>
      </c>
      <c r="O18" s="788">
        <v>104338.54850223867</v>
      </c>
      <c r="P18" s="772">
        <v>0</v>
      </c>
      <c r="Q18" s="774"/>
      <c r="R18" s="774"/>
      <c r="S18" s="774"/>
      <c r="T18" s="774"/>
      <c r="U18" s="774"/>
      <c r="V18" s="774"/>
    </row>
    <row r="19" spans="1:22" hidden="1">
      <c r="A19" s="786">
        <v>19</v>
      </c>
      <c r="C19" s="767"/>
      <c r="D19" s="767"/>
      <c r="E19" s="767" t="s">
        <v>602</v>
      </c>
      <c r="F19" s="767"/>
      <c r="G19" s="778"/>
      <c r="H19" s="787">
        <v>3728126.51344821</v>
      </c>
      <c r="I19" s="788">
        <v>1517203.6165807017</v>
      </c>
      <c r="J19" s="788">
        <v>493380.9529268216</v>
      </c>
      <c r="K19" s="788">
        <v>864568.03298505128</v>
      </c>
      <c r="L19" s="788">
        <v>356167.87343910942</v>
      </c>
      <c r="M19" s="788">
        <v>364210.331526978</v>
      </c>
      <c r="N19" s="788">
        <v>129589.22637265443</v>
      </c>
      <c r="O19" s="788">
        <v>3006.4796168935641</v>
      </c>
      <c r="P19" s="772">
        <v>0</v>
      </c>
      <c r="Q19" s="774"/>
      <c r="R19" s="774"/>
      <c r="S19" s="774"/>
      <c r="T19" s="774"/>
      <c r="U19" s="774"/>
      <c r="V19" s="774"/>
    </row>
    <row r="20" spans="1:22" hidden="1">
      <c r="A20" s="786">
        <v>20</v>
      </c>
      <c r="C20" s="767"/>
      <c r="D20" s="767"/>
      <c r="E20" s="767" t="s">
        <v>603</v>
      </c>
      <c r="F20" s="767"/>
      <c r="G20" s="778"/>
      <c r="H20" s="787">
        <v>0</v>
      </c>
      <c r="I20" s="788">
        <v>0</v>
      </c>
      <c r="J20" s="788">
        <v>0</v>
      </c>
      <c r="K20" s="788">
        <v>0</v>
      </c>
      <c r="L20" s="788">
        <v>0</v>
      </c>
      <c r="M20" s="788">
        <v>0</v>
      </c>
      <c r="N20" s="788">
        <v>0</v>
      </c>
      <c r="O20" s="788">
        <v>0</v>
      </c>
      <c r="P20" s="772">
        <v>0</v>
      </c>
      <c r="Q20" s="774"/>
      <c r="R20" s="774"/>
      <c r="S20" s="774"/>
      <c r="T20" s="774"/>
      <c r="U20" s="774"/>
      <c r="V20" s="774"/>
    </row>
    <row r="21" spans="1:22" hidden="1">
      <c r="A21" s="786">
        <v>21</v>
      </c>
      <c r="C21" s="767"/>
      <c r="D21" s="767"/>
      <c r="E21" s="767" t="s">
        <v>604</v>
      </c>
      <c r="F21" s="767"/>
      <c r="G21" s="778"/>
      <c r="H21" s="787">
        <v>-15956248.941915475</v>
      </c>
      <c r="I21" s="788">
        <v>-7160897.0307019483</v>
      </c>
      <c r="J21" s="788">
        <v>-2236611.5531025366</v>
      </c>
      <c r="K21" s="788">
        <v>-3321425.4831965645</v>
      </c>
      <c r="L21" s="788">
        <v>-1337296.7517992675</v>
      </c>
      <c r="M21" s="788">
        <v>-1138613.9060988259</v>
      </c>
      <c r="N21" s="788">
        <v>-699524.78786223417</v>
      </c>
      <c r="O21" s="788">
        <v>-61879.42915410018</v>
      </c>
      <c r="P21" s="772">
        <v>0</v>
      </c>
      <c r="Q21" s="774"/>
      <c r="R21" s="774"/>
      <c r="S21" s="774"/>
      <c r="T21" s="774"/>
      <c r="U21" s="774"/>
      <c r="V21" s="774"/>
    </row>
    <row r="22" spans="1:22" hidden="1">
      <c r="A22" s="786">
        <v>22</v>
      </c>
      <c r="C22" s="767"/>
      <c r="D22" s="767"/>
      <c r="E22" s="767" t="s">
        <v>605</v>
      </c>
      <c r="G22" s="778"/>
      <c r="H22" s="787">
        <v>0</v>
      </c>
      <c r="I22" s="788">
        <v>0</v>
      </c>
      <c r="J22" s="788">
        <v>0</v>
      </c>
      <c r="K22" s="788">
        <v>0</v>
      </c>
      <c r="L22" s="788">
        <v>0</v>
      </c>
      <c r="M22" s="788">
        <v>0</v>
      </c>
      <c r="N22" s="788">
        <v>0</v>
      </c>
      <c r="O22" s="788">
        <v>0</v>
      </c>
      <c r="P22" s="772">
        <v>0</v>
      </c>
      <c r="Q22" s="774"/>
      <c r="R22" s="774"/>
      <c r="S22" s="774"/>
      <c r="T22" s="774"/>
      <c r="U22" s="774"/>
      <c r="V22" s="774"/>
    </row>
    <row r="23" spans="1:22" hidden="1">
      <c r="A23" s="786">
        <v>23</v>
      </c>
      <c r="C23" s="767"/>
      <c r="D23" s="767"/>
      <c r="E23" s="767" t="s">
        <v>606</v>
      </c>
      <c r="G23" s="778"/>
      <c r="H23" s="787">
        <v>65435.101564292781</v>
      </c>
      <c r="I23" s="788">
        <v>48615.29560010432</v>
      </c>
      <c r="J23" s="788">
        <v>4979.5429207386069</v>
      </c>
      <c r="K23" s="788">
        <v>6442.1313847481179</v>
      </c>
      <c r="L23" s="788">
        <v>2491.2862998084847</v>
      </c>
      <c r="M23" s="788">
        <v>2198.1241011285088</v>
      </c>
      <c r="N23" s="788">
        <v>702.88730182467475</v>
      </c>
      <c r="O23" s="788">
        <v>5.8339559400683569</v>
      </c>
      <c r="P23" s="772">
        <v>0</v>
      </c>
      <c r="Q23" s="774"/>
      <c r="R23" s="774"/>
      <c r="S23" s="774"/>
      <c r="T23" s="774"/>
      <c r="U23" s="774"/>
      <c r="V23" s="774"/>
    </row>
    <row r="24" spans="1:22" hidden="1">
      <c r="A24" s="786">
        <v>24</v>
      </c>
      <c r="C24" s="767"/>
      <c r="D24" s="767"/>
      <c r="F24" s="767"/>
      <c r="G24" s="778"/>
      <c r="H24" s="775"/>
      <c r="I24" s="775"/>
      <c r="J24" s="775"/>
      <c r="K24" s="775"/>
      <c r="L24" s="775"/>
      <c r="M24" s="775"/>
      <c r="N24" s="775"/>
      <c r="O24" s="775"/>
      <c r="P24" s="772"/>
    </row>
    <row r="25" spans="1:22" hidden="1">
      <c r="A25" s="786">
        <v>25</v>
      </c>
      <c r="C25" s="767"/>
      <c r="D25" s="767"/>
      <c r="E25" s="767" t="s">
        <v>607</v>
      </c>
      <c r="F25" s="767"/>
      <c r="G25" s="778"/>
      <c r="H25" s="789">
        <v>304496977.56201756</v>
      </c>
      <c r="I25" s="789">
        <v>136140411.71897557</v>
      </c>
      <c r="J25" s="789">
        <v>41527966.0276426</v>
      </c>
      <c r="K25" s="789">
        <v>64142396.5893149</v>
      </c>
      <c r="L25" s="789">
        <v>26036020.951908052</v>
      </c>
      <c r="M25" s="789">
        <v>23419632.858456295</v>
      </c>
      <c r="N25" s="789">
        <v>12240194.37263263</v>
      </c>
      <c r="O25" s="789">
        <v>990355.04308740527</v>
      </c>
      <c r="P25" s="772">
        <v>0</v>
      </c>
      <c r="Q25" s="774"/>
      <c r="R25" s="774"/>
      <c r="S25" s="774"/>
      <c r="T25" s="774"/>
      <c r="U25" s="774"/>
      <c r="V25" s="774"/>
    </row>
    <row r="26" spans="1:22" hidden="1">
      <c r="A26" s="786">
        <v>26</v>
      </c>
      <c r="C26" s="767"/>
      <c r="D26" s="767"/>
      <c r="E26" s="767"/>
      <c r="F26" s="767"/>
      <c r="G26" s="778"/>
      <c r="H26" s="775"/>
      <c r="I26" s="775"/>
      <c r="J26" s="775"/>
      <c r="K26" s="775"/>
      <c r="L26" s="775"/>
      <c r="M26" s="775"/>
      <c r="N26" s="775"/>
      <c r="O26" s="775"/>
      <c r="P26" s="772"/>
    </row>
    <row r="27" spans="1:22" ht="13.5" hidden="1" thickBot="1">
      <c r="A27" s="786">
        <v>27</v>
      </c>
      <c r="C27" s="767"/>
      <c r="D27" s="767"/>
      <c r="E27" s="767" t="s">
        <v>608</v>
      </c>
      <c r="F27" s="767"/>
      <c r="G27" s="778"/>
      <c r="H27" s="790">
        <v>78094378.881221235</v>
      </c>
      <c r="I27" s="790">
        <v>27397420.759645373</v>
      </c>
      <c r="J27" s="790">
        <v>15647713.277700074</v>
      </c>
      <c r="K27" s="790">
        <v>19349143.408109941</v>
      </c>
      <c r="L27" s="790">
        <v>6016636.543810077</v>
      </c>
      <c r="M27" s="790">
        <v>4351066.9400197417</v>
      </c>
      <c r="N27" s="790">
        <v>4436468.608910922</v>
      </c>
      <c r="O27" s="790">
        <v>895929.34302520996</v>
      </c>
      <c r="P27" s="772">
        <v>0</v>
      </c>
      <c r="Q27" s="774"/>
      <c r="R27" s="774"/>
      <c r="S27" s="774"/>
      <c r="T27" s="774"/>
      <c r="U27" s="774"/>
      <c r="V27" s="774"/>
    </row>
    <row r="28" spans="1:22" ht="13.5" hidden="1" thickTop="1">
      <c r="A28" s="786">
        <v>28</v>
      </c>
      <c r="C28" s="767"/>
      <c r="D28" s="767"/>
      <c r="E28" s="767"/>
      <c r="F28" s="767"/>
      <c r="G28" s="778"/>
      <c r="H28" s="775"/>
      <c r="I28" s="775"/>
      <c r="J28" s="775"/>
      <c r="K28" s="775"/>
      <c r="L28" s="775"/>
      <c r="M28" s="775"/>
      <c r="N28" s="775"/>
      <c r="O28" s="775"/>
      <c r="P28" s="772"/>
    </row>
    <row r="29" spans="1:22" hidden="1">
      <c r="A29" s="786">
        <v>29</v>
      </c>
      <c r="C29" s="767"/>
      <c r="D29" s="767"/>
      <c r="E29" s="767"/>
      <c r="F29" s="767"/>
      <c r="G29" s="778"/>
      <c r="H29" s="775"/>
      <c r="I29" s="775"/>
      <c r="J29" s="775"/>
      <c r="K29" s="775"/>
      <c r="L29" s="775"/>
      <c r="M29" s="775"/>
      <c r="N29" s="775"/>
      <c r="O29" s="775"/>
      <c r="P29" s="772"/>
    </row>
    <row r="30" spans="1:22" hidden="1">
      <c r="A30" s="786">
        <v>30</v>
      </c>
      <c r="C30" s="767"/>
      <c r="D30" s="767"/>
      <c r="E30" s="767" t="s">
        <v>609</v>
      </c>
      <c r="F30" s="767"/>
      <c r="G30" s="778"/>
      <c r="H30" s="775"/>
      <c r="I30" s="775"/>
      <c r="J30" s="775"/>
      <c r="K30" s="775"/>
      <c r="L30" s="775"/>
      <c r="M30" s="775"/>
      <c r="N30" s="775"/>
      <c r="O30" s="775"/>
      <c r="P30" s="772"/>
    </row>
    <row r="31" spans="1:22" hidden="1">
      <c r="A31" s="786">
        <v>31</v>
      </c>
      <c r="C31" s="767"/>
      <c r="D31" s="767"/>
      <c r="E31" s="767" t="s">
        <v>610</v>
      </c>
      <c r="F31" s="767"/>
      <c r="G31" s="778"/>
      <c r="H31" s="787">
        <v>2182560253.9609895</v>
      </c>
      <c r="I31" s="788">
        <v>1017357406.1314496</v>
      </c>
      <c r="J31" s="788">
        <v>312575306.70041984</v>
      </c>
      <c r="K31" s="788">
        <v>432074335.87809575</v>
      </c>
      <c r="L31" s="788">
        <v>172767738.06052732</v>
      </c>
      <c r="M31" s="788">
        <v>141860864.53772703</v>
      </c>
      <c r="N31" s="788">
        <v>96326750.190390944</v>
      </c>
      <c r="O31" s="788">
        <v>9597852.4623791091</v>
      </c>
      <c r="P31" s="772">
        <v>0</v>
      </c>
      <c r="Q31" s="774"/>
      <c r="R31" s="774"/>
      <c r="S31" s="774"/>
      <c r="T31" s="774"/>
      <c r="U31" s="774"/>
      <c r="V31" s="774"/>
    </row>
    <row r="32" spans="1:22" hidden="1">
      <c r="A32" s="786">
        <v>32</v>
      </c>
      <c r="C32" s="767"/>
      <c r="D32" s="767"/>
      <c r="E32" s="767" t="s">
        <v>611</v>
      </c>
      <c r="F32" s="767"/>
      <c r="G32" s="778"/>
      <c r="H32" s="787">
        <v>34942.962564657762</v>
      </c>
      <c r="I32" s="788">
        <v>14614.884502933528</v>
      </c>
      <c r="J32" s="788">
        <v>4669.6590696189296</v>
      </c>
      <c r="K32" s="788">
        <v>7924.4946364219568</v>
      </c>
      <c r="L32" s="788">
        <v>3230.4585077964093</v>
      </c>
      <c r="M32" s="788">
        <v>3055.1338947901627</v>
      </c>
      <c r="N32" s="788">
        <v>1392.099580626249</v>
      </c>
      <c r="O32" s="788">
        <v>56.232372470524027</v>
      </c>
      <c r="P32" s="772">
        <v>0</v>
      </c>
      <c r="Q32" s="774"/>
      <c r="R32" s="774"/>
      <c r="S32" s="774"/>
      <c r="T32" s="774"/>
      <c r="U32" s="774"/>
      <c r="V32" s="774"/>
    </row>
    <row r="33" spans="1:22" hidden="1">
      <c r="A33" s="786">
        <v>33</v>
      </c>
      <c r="C33" s="767"/>
      <c r="D33" s="767"/>
      <c r="E33" s="767" t="s">
        <v>612</v>
      </c>
      <c r="F33" s="767"/>
      <c r="G33" s="778"/>
      <c r="H33" s="787">
        <v>0</v>
      </c>
      <c r="I33" s="788">
        <v>0</v>
      </c>
      <c r="J33" s="788">
        <v>0</v>
      </c>
      <c r="K33" s="788">
        <v>0</v>
      </c>
      <c r="L33" s="788">
        <v>0</v>
      </c>
      <c r="M33" s="788">
        <v>0</v>
      </c>
      <c r="N33" s="788">
        <v>0</v>
      </c>
      <c r="O33" s="788">
        <v>0</v>
      </c>
      <c r="P33" s="772">
        <v>0</v>
      </c>
      <c r="Q33" s="774"/>
      <c r="R33" s="774"/>
      <c r="S33" s="774"/>
      <c r="T33" s="774"/>
      <c r="U33" s="774"/>
      <c r="V33" s="774"/>
    </row>
    <row r="34" spans="1:22" hidden="1">
      <c r="A34" s="786">
        <v>34</v>
      </c>
      <c r="C34" s="767"/>
      <c r="D34" s="767"/>
      <c r="E34" s="767" t="s">
        <v>613</v>
      </c>
      <c r="F34" s="767"/>
      <c r="G34" s="778"/>
      <c r="H34" s="787">
        <v>0</v>
      </c>
      <c r="I34" s="788">
        <v>0</v>
      </c>
      <c r="J34" s="788">
        <v>0</v>
      </c>
      <c r="K34" s="788">
        <v>0</v>
      </c>
      <c r="L34" s="788">
        <v>0</v>
      </c>
      <c r="M34" s="788">
        <v>0</v>
      </c>
      <c r="N34" s="788">
        <v>0</v>
      </c>
      <c r="O34" s="788">
        <v>0</v>
      </c>
      <c r="P34" s="772">
        <v>0</v>
      </c>
      <c r="Q34" s="774"/>
      <c r="R34" s="774"/>
      <c r="S34" s="774"/>
      <c r="T34" s="774"/>
      <c r="U34" s="774"/>
      <c r="V34" s="774"/>
    </row>
    <row r="35" spans="1:22" hidden="1">
      <c r="A35" s="786">
        <v>35</v>
      </c>
      <c r="C35" s="767"/>
      <c r="D35" s="767"/>
      <c r="E35" s="767" t="s">
        <v>614</v>
      </c>
      <c r="F35" s="767"/>
      <c r="G35" s="778"/>
      <c r="H35" s="787">
        <v>-3.0559021979570384E-10</v>
      </c>
      <c r="I35" s="788">
        <v>-1.3032351997902491E-10</v>
      </c>
      <c r="J35" s="788">
        <v>-4.0756952388866674E-11</v>
      </c>
      <c r="K35" s="788">
        <v>-6.8022889964883096E-11</v>
      </c>
      <c r="L35" s="788">
        <v>-2.7677708935626411E-11</v>
      </c>
      <c r="M35" s="788">
        <v>-2.6449091693918806E-11</v>
      </c>
      <c r="N35" s="788">
        <v>-1.1908289870213309E-11</v>
      </c>
      <c r="O35" s="788">
        <v>-4.51766963170699E-13</v>
      </c>
      <c r="P35" s="772">
        <v>0</v>
      </c>
      <c r="Q35" s="774"/>
      <c r="R35" s="774"/>
      <c r="S35" s="774"/>
      <c r="T35" s="774"/>
      <c r="U35" s="774"/>
      <c r="V35" s="774"/>
    </row>
    <row r="36" spans="1:22" hidden="1">
      <c r="A36" s="786">
        <v>36</v>
      </c>
      <c r="C36" s="767"/>
      <c r="D36" s="767"/>
      <c r="E36" s="767" t="s">
        <v>615</v>
      </c>
      <c r="F36" s="767"/>
      <c r="G36" s="778"/>
      <c r="H36" s="787">
        <v>0</v>
      </c>
      <c r="I36" s="788">
        <v>0</v>
      </c>
      <c r="J36" s="788">
        <v>0</v>
      </c>
      <c r="K36" s="788">
        <v>0</v>
      </c>
      <c r="L36" s="788">
        <v>0</v>
      </c>
      <c r="M36" s="788">
        <v>0</v>
      </c>
      <c r="N36" s="788">
        <v>0</v>
      </c>
      <c r="O36" s="788">
        <v>0</v>
      </c>
      <c r="P36" s="772">
        <v>0</v>
      </c>
      <c r="Q36" s="774"/>
      <c r="R36" s="774"/>
      <c r="S36" s="774"/>
      <c r="T36" s="774"/>
      <c r="U36" s="774"/>
      <c r="V36" s="774"/>
    </row>
    <row r="37" spans="1:22" hidden="1">
      <c r="A37" s="786">
        <v>37</v>
      </c>
      <c r="C37" s="767"/>
      <c r="D37" s="767"/>
      <c r="E37" s="767" t="s">
        <v>616</v>
      </c>
      <c r="F37" s="767"/>
      <c r="G37" s="778"/>
      <c r="H37" s="787">
        <v>-2.1827872842550278E-11</v>
      </c>
      <c r="I37" s="788">
        <v>-9.5111634538394598E-12</v>
      </c>
      <c r="J37" s="788">
        <v>-3.0162725053409419E-12</v>
      </c>
      <c r="K37" s="788">
        <v>-4.7119095341773867E-12</v>
      </c>
      <c r="L37" s="788">
        <v>-1.9069040053550212E-12</v>
      </c>
      <c r="M37" s="788">
        <v>-1.6947587424747575E-12</v>
      </c>
      <c r="N37" s="788">
        <v>-9.2323543148047219E-13</v>
      </c>
      <c r="O37" s="788">
        <v>-6.3629169882235727E-14</v>
      </c>
      <c r="P37" s="772">
        <v>0</v>
      </c>
      <c r="Q37" s="774"/>
      <c r="R37" s="774"/>
      <c r="S37" s="774"/>
      <c r="T37" s="774"/>
      <c r="U37" s="774"/>
      <c r="V37" s="774"/>
    </row>
    <row r="38" spans="1:22" hidden="1">
      <c r="A38" s="786">
        <v>38</v>
      </c>
      <c r="C38" s="767"/>
      <c r="D38" s="767"/>
      <c r="E38" s="767" t="s">
        <v>617</v>
      </c>
      <c r="F38" s="767"/>
      <c r="G38" s="778"/>
      <c r="H38" s="787">
        <v>680572.05631388363</v>
      </c>
      <c r="I38" s="788">
        <v>284649.0757773217</v>
      </c>
      <c r="J38" s="788">
        <v>90949.34264416623</v>
      </c>
      <c r="K38" s="788">
        <v>154342.65483296051</v>
      </c>
      <c r="L38" s="788">
        <v>62918.528599843572</v>
      </c>
      <c r="M38" s="788">
        <v>59503.791449972312</v>
      </c>
      <c r="N38" s="788">
        <v>27113.444443281158</v>
      </c>
      <c r="O38" s="788">
        <v>1095.2185663381688</v>
      </c>
      <c r="P38" s="772">
        <v>0</v>
      </c>
      <c r="Q38" s="774"/>
      <c r="R38" s="774"/>
      <c r="S38" s="774"/>
      <c r="T38" s="774"/>
      <c r="U38" s="774"/>
      <c r="V38" s="774"/>
    </row>
    <row r="39" spans="1:22" hidden="1">
      <c r="A39" s="786">
        <v>39</v>
      </c>
      <c r="C39" s="767"/>
      <c r="D39" s="767"/>
      <c r="E39" s="767" t="s">
        <v>618</v>
      </c>
      <c r="G39" s="778"/>
      <c r="H39" s="787">
        <v>23459504.952025536</v>
      </c>
      <c r="I39" s="788">
        <v>10808173.72926438</v>
      </c>
      <c r="J39" s="788">
        <v>3391080.2854290367</v>
      </c>
      <c r="K39" s="788">
        <v>4707936.33746746</v>
      </c>
      <c r="L39" s="788">
        <v>1867259.7340414857</v>
      </c>
      <c r="M39" s="788">
        <v>1543324.9439017831</v>
      </c>
      <c r="N39" s="788">
        <v>1033810.2613386221</v>
      </c>
      <c r="O39" s="788">
        <v>107919.66058276601</v>
      </c>
      <c r="P39" s="772">
        <v>0</v>
      </c>
      <c r="Q39" s="774"/>
      <c r="R39" s="774"/>
      <c r="S39" s="774"/>
      <c r="T39" s="774"/>
      <c r="U39" s="774"/>
      <c r="V39" s="774"/>
    </row>
    <row r="40" spans="1:22" hidden="1">
      <c r="A40" s="786">
        <v>40</v>
      </c>
      <c r="C40" s="767"/>
      <c r="D40" s="767"/>
      <c r="E40" s="767" t="s">
        <v>619</v>
      </c>
      <c r="F40" s="767"/>
      <c r="G40" s="778"/>
      <c r="H40" s="787">
        <v>5092.6441051398042</v>
      </c>
      <c r="I40" s="788">
        <v>2129.9969993512332</v>
      </c>
      <c r="J40" s="788">
        <v>680.56369547669976</v>
      </c>
      <c r="K40" s="788">
        <v>1154.9287162389614</v>
      </c>
      <c r="L40" s="788">
        <v>470.81226859876131</v>
      </c>
      <c r="M40" s="788">
        <v>445.26017480419432</v>
      </c>
      <c r="N40" s="788">
        <v>202.88685339503343</v>
      </c>
      <c r="O40" s="788">
        <v>8.1953972749203494</v>
      </c>
      <c r="P40" s="772">
        <v>0</v>
      </c>
      <c r="Q40" s="774"/>
      <c r="R40" s="774"/>
      <c r="S40" s="774"/>
      <c r="T40" s="774"/>
      <c r="U40" s="774"/>
      <c r="V40" s="774"/>
    </row>
    <row r="41" spans="1:22" hidden="1">
      <c r="A41" s="786">
        <v>41</v>
      </c>
      <c r="C41" s="767"/>
      <c r="D41" s="767"/>
      <c r="E41" s="767" t="s">
        <v>620</v>
      </c>
      <c r="F41" s="767"/>
      <c r="G41" s="778"/>
      <c r="H41" s="787">
        <v>0</v>
      </c>
      <c r="I41" s="788">
        <v>0</v>
      </c>
      <c r="J41" s="788">
        <v>0</v>
      </c>
      <c r="K41" s="788">
        <v>0</v>
      </c>
      <c r="L41" s="788">
        <v>0</v>
      </c>
      <c r="M41" s="788">
        <v>0</v>
      </c>
      <c r="N41" s="788">
        <v>0</v>
      </c>
      <c r="O41" s="788">
        <v>0</v>
      </c>
      <c r="P41" s="772">
        <v>0</v>
      </c>
      <c r="Q41" s="774"/>
      <c r="R41" s="774"/>
      <c r="S41" s="774"/>
      <c r="T41" s="774"/>
      <c r="U41" s="774"/>
      <c r="V41" s="774"/>
    </row>
    <row r="42" spans="1:22" hidden="1">
      <c r="A42" s="786">
        <v>42</v>
      </c>
      <c r="C42" s="767"/>
      <c r="D42" s="767"/>
      <c r="E42" s="767"/>
      <c r="F42" s="767"/>
      <c r="G42" s="778"/>
      <c r="H42" s="775"/>
      <c r="I42" s="775"/>
      <c r="J42" s="775"/>
      <c r="K42" s="775"/>
      <c r="L42" s="775"/>
      <c r="M42" s="775"/>
      <c r="N42" s="775"/>
      <c r="O42" s="775"/>
      <c r="P42" s="772"/>
    </row>
    <row r="43" spans="1:22" hidden="1">
      <c r="A43" s="786">
        <v>43</v>
      </c>
      <c r="C43" s="767"/>
      <c r="D43" s="767"/>
      <c r="E43" s="767" t="s">
        <v>621</v>
      </c>
      <c r="F43" s="767"/>
      <c r="G43" s="778"/>
      <c r="H43" s="789">
        <v>2206740366.5759988</v>
      </c>
      <c r="I43" s="789">
        <v>1028466973.8179935</v>
      </c>
      <c r="J43" s="789">
        <v>316062686.55125815</v>
      </c>
      <c r="K43" s="789">
        <v>436945694.2937488</v>
      </c>
      <c r="L43" s="789">
        <v>174701617.59394506</v>
      </c>
      <c r="M43" s="789">
        <v>143467193.66714838</v>
      </c>
      <c r="N43" s="789">
        <v>97389268.882606864</v>
      </c>
      <c r="O43" s="789">
        <v>9706931.7692979574</v>
      </c>
      <c r="P43" s="772">
        <v>0</v>
      </c>
      <c r="Q43" s="774"/>
      <c r="R43" s="774"/>
      <c r="S43" s="774"/>
      <c r="T43" s="774"/>
      <c r="U43" s="774"/>
      <c r="V43" s="774"/>
    </row>
    <row r="44" spans="1:22" hidden="1">
      <c r="A44" s="786">
        <v>44</v>
      </c>
      <c r="C44" s="767"/>
      <c r="D44" s="767"/>
      <c r="E44" s="767"/>
      <c r="F44" s="767"/>
      <c r="G44" s="778"/>
      <c r="H44" s="775"/>
      <c r="I44" s="775"/>
      <c r="J44" s="775"/>
      <c r="K44" s="775"/>
      <c r="L44" s="775"/>
      <c r="M44" s="775"/>
      <c r="N44" s="775"/>
      <c r="O44" s="775"/>
      <c r="P44" s="772"/>
    </row>
    <row r="45" spans="1:22" hidden="1">
      <c r="A45" s="786">
        <v>45</v>
      </c>
      <c r="C45" s="767"/>
      <c r="D45" s="767"/>
      <c r="E45" s="767" t="s">
        <v>622</v>
      </c>
      <c r="F45" s="767"/>
      <c r="G45" s="778"/>
      <c r="H45" s="775"/>
      <c r="I45" s="775"/>
      <c r="J45" s="775"/>
      <c r="K45" s="775"/>
      <c r="L45" s="775"/>
      <c r="M45" s="775"/>
      <c r="N45" s="775"/>
      <c r="O45" s="775"/>
      <c r="P45" s="772"/>
    </row>
    <row r="46" spans="1:22" hidden="1">
      <c r="A46" s="786">
        <v>46</v>
      </c>
      <c r="C46" s="767"/>
      <c r="D46" s="767"/>
      <c r="E46" s="767" t="s">
        <v>623</v>
      </c>
      <c r="F46" s="778"/>
      <c r="G46" s="778"/>
      <c r="H46" s="791">
        <v>-764511699.83147633</v>
      </c>
      <c r="I46" s="791">
        <v>-363278266.01523256</v>
      </c>
      <c r="J46" s="791">
        <v>-112815856.58103614</v>
      </c>
      <c r="K46" s="791">
        <v>-146823592.01539832</v>
      </c>
      <c r="L46" s="791">
        <v>-58234090.530791335</v>
      </c>
      <c r="M46" s="791">
        <v>-42972027.1423309</v>
      </c>
      <c r="N46" s="791">
        <v>-36243918.005090669</v>
      </c>
      <c r="O46" s="791">
        <v>-4143949.5415964555</v>
      </c>
      <c r="P46" s="772">
        <v>0</v>
      </c>
      <c r="Q46" s="774"/>
      <c r="R46" s="774"/>
      <c r="S46" s="774"/>
      <c r="T46" s="774"/>
      <c r="U46" s="774"/>
      <c r="V46" s="774"/>
    </row>
    <row r="47" spans="1:22" hidden="1">
      <c r="A47" s="786">
        <v>47</v>
      </c>
      <c r="C47" s="767"/>
      <c r="D47" s="767"/>
      <c r="E47" s="767" t="s">
        <v>624</v>
      </c>
      <c r="F47" s="778"/>
      <c r="G47" s="778"/>
      <c r="H47" s="791">
        <v>-61873796.61360047</v>
      </c>
      <c r="I47" s="791">
        <v>-31236367.659644533</v>
      </c>
      <c r="J47" s="791">
        <v>-8578574.1190555152</v>
      </c>
      <c r="K47" s="791">
        <v>-11026966.741413103</v>
      </c>
      <c r="L47" s="791">
        <v>-4443824.7051907945</v>
      </c>
      <c r="M47" s="791">
        <v>-3952563.7317766347</v>
      </c>
      <c r="N47" s="791">
        <v>-2289924.7477948512</v>
      </c>
      <c r="O47" s="791">
        <v>-345574.90872504323</v>
      </c>
      <c r="P47" s="772">
        <v>0</v>
      </c>
      <c r="Q47" s="774"/>
      <c r="R47" s="774"/>
      <c r="S47" s="774"/>
      <c r="T47" s="774"/>
      <c r="U47" s="774"/>
      <c r="V47" s="774"/>
    </row>
    <row r="48" spans="1:22" hidden="1">
      <c r="A48" s="786">
        <v>48</v>
      </c>
      <c r="C48" s="767"/>
      <c r="D48" s="767"/>
      <c r="E48" s="767" t="s">
        <v>625</v>
      </c>
      <c r="F48" s="778"/>
      <c r="G48" s="778"/>
      <c r="H48" s="791">
        <v>-235998947.53391173</v>
      </c>
      <c r="I48" s="791">
        <v>-110396860.69519579</v>
      </c>
      <c r="J48" s="791">
        <v>-33823745.236109339</v>
      </c>
      <c r="K48" s="791">
        <v>-46424484.666610472</v>
      </c>
      <c r="L48" s="791">
        <v>-18564985.342234373</v>
      </c>
      <c r="M48" s="791">
        <v>-15367671.826462163</v>
      </c>
      <c r="N48" s="791">
        <v>-10351421.776273519</v>
      </c>
      <c r="O48" s="791">
        <v>-1069777.991026083</v>
      </c>
      <c r="P48" s="772">
        <v>0</v>
      </c>
      <c r="Q48" s="774"/>
      <c r="R48" s="774"/>
      <c r="S48" s="774"/>
      <c r="T48" s="774"/>
      <c r="U48" s="774"/>
      <c r="V48" s="774"/>
    </row>
    <row r="49" spans="1:22" hidden="1">
      <c r="A49" s="786">
        <v>49</v>
      </c>
      <c r="C49" s="767"/>
      <c r="D49" s="767"/>
      <c r="E49" s="767" t="s">
        <v>626</v>
      </c>
      <c r="F49" s="778"/>
      <c r="G49" s="778"/>
      <c r="H49" s="791">
        <v>-19597.460327859608</v>
      </c>
      <c r="I49" s="791">
        <v>-9145.8388786992164</v>
      </c>
      <c r="J49" s="791">
        <v>-2821.8351662939917</v>
      </c>
      <c r="K49" s="791">
        <v>-3861.8139525449733</v>
      </c>
      <c r="L49" s="791">
        <v>-1543.401130874531</v>
      </c>
      <c r="M49" s="791">
        <v>-1260.7927167349692</v>
      </c>
      <c r="N49" s="791">
        <v>-872.3088448825464</v>
      </c>
      <c r="O49" s="791">
        <v>-91.46963782937749</v>
      </c>
      <c r="P49" s="772">
        <v>0</v>
      </c>
      <c r="Q49" s="774"/>
      <c r="R49" s="774"/>
      <c r="S49" s="774"/>
      <c r="T49" s="774"/>
      <c r="U49" s="774"/>
      <c r="V49" s="774"/>
    </row>
    <row r="50" spans="1:22" hidden="1">
      <c r="A50" s="786">
        <v>50</v>
      </c>
      <c r="C50" s="767"/>
      <c r="D50" s="767"/>
      <c r="E50" s="767" t="s">
        <v>627</v>
      </c>
      <c r="F50" s="778"/>
      <c r="G50" s="778"/>
      <c r="H50" s="791">
        <v>-2479813.3255259153</v>
      </c>
      <c r="I50" s="791">
        <v>-1008690.5233405686</v>
      </c>
      <c r="J50" s="791">
        <v>-1401465.3432780139</v>
      </c>
      <c r="K50" s="791">
        <v>-50326.843745292994</v>
      </c>
      <c r="L50" s="791">
        <v>0</v>
      </c>
      <c r="M50" s="791">
        <v>0</v>
      </c>
      <c r="N50" s="791">
        <v>-19330.615162039812</v>
      </c>
      <c r="O50" s="791">
        <v>0</v>
      </c>
      <c r="P50" s="772">
        <v>0</v>
      </c>
      <c r="Q50" s="774"/>
      <c r="R50" s="774"/>
      <c r="S50" s="774"/>
      <c r="T50" s="774"/>
      <c r="U50" s="774"/>
      <c r="V50" s="774"/>
    </row>
    <row r="51" spans="1:22" hidden="1">
      <c r="A51" s="786">
        <v>51</v>
      </c>
      <c r="C51" s="767"/>
      <c r="D51" s="767"/>
      <c r="E51" s="767" t="s">
        <v>628</v>
      </c>
      <c r="F51" s="778"/>
      <c r="G51" s="778"/>
      <c r="H51" s="791">
        <v>-2829106.1541666668</v>
      </c>
      <c r="I51" s="791">
        <v>-2146221.9351850785</v>
      </c>
      <c r="J51" s="791">
        <v>-312193.1450698041</v>
      </c>
      <c r="K51" s="791">
        <v>-203626.28617497726</v>
      </c>
      <c r="L51" s="791">
        <v>-47613.321431950346</v>
      </c>
      <c r="M51" s="791">
        <v>0</v>
      </c>
      <c r="N51" s="791">
        <v>-118377.18085117653</v>
      </c>
      <c r="O51" s="791">
        <v>-1074.2854536802402</v>
      </c>
      <c r="P51" s="772">
        <v>0</v>
      </c>
      <c r="Q51" s="774"/>
      <c r="R51" s="774"/>
      <c r="S51" s="774"/>
      <c r="T51" s="774"/>
      <c r="U51" s="774"/>
      <c r="V51" s="774"/>
    </row>
    <row r="52" spans="1:22" hidden="1">
      <c r="A52" s="786">
        <v>52</v>
      </c>
      <c r="C52" s="767"/>
      <c r="D52" s="767"/>
      <c r="E52" s="767" t="s">
        <v>629</v>
      </c>
      <c r="F52" s="778"/>
      <c r="G52" s="778"/>
      <c r="H52" s="791">
        <v>-51955666.231506482</v>
      </c>
      <c r="I52" s="791">
        <v>-21730443.142632488</v>
      </c>
      <c r="J52" s="791">
        <v>-6943179.119031989</v>
      </c>
      <c r="K52" s="791">
        <v>-11782698.665617136</v>
      </c>
      <c r="L52" s="791">
        <v>-4803274.0124776717</v>
      </c>
      <c r="M52" s="791">
        <v>-4542588.9873122955</v>
      </c>
      <c r="N52" s="791">
        <v>-2069872.0389893749</v>
      </c>
      <c r="O52" s="791">
        <v>-83610.265445531346</v>
      </c>
      <c r="P52" s="772">
        <v>0</v>
      </c>
      <c r="Q52" s="774"/>
      <c r="R52" s="774"/>
      <c r="S52" s="774"/>
      <c r="T52" s="774"/>
      <c r="U52" s="774"/>
      <c r="V52" s="774"/>
    </row>
    <row r="53" spans="1:22" hidden="1">
      <c r="A53" s="786">
        <v>53</v>
      </c>
      <c r="C53" s="767"/>
      <c r="D53" s="767"/>
      <c r="E53" s="767"/>
      <c r="F53" s="767"/>
      <c r="G53" s="778"/>
      <c r="H53" s="791">
        <v>0</v>
      </c>
      <c r="I53" s="791">
        <v>0</v>
      </c>
      <c r="J53" s="791">
        <v>0</v>
      </c>
      <c r="K53" s="791">
        <v>0</v>
      </c>
      <c r="L53" s="791">
        <v>0</v>
      </c>
      <c r="M53" s="791">
        <v>0</v>
      </c>
      <c r="N53" s="791">
        <v>0</v>
      </c>
      <c r="O53" s="791">
        <v>0</v>
      </c>
      <c r="P53" s="772">
        <v>0</v>
      </c>
    </row>
    <row r="54" spans="1:22" hidden="1">
      <c r="A54" s="786">
        <v>54</v>
      </c>
      <c r="C54" s="767"/>
      <c r="D54" s="767"/>
      <c r="E54" s="767" t="s">
        <v>630</v>
      </c>
      <c r="F54" s="767"/>
      <c r="G54" s="778"/>
      <c r="H54" s="789">
        <v>-1119668627.1505156</v>
      </c>
      <c r="I54" s="789">
        <v>-529805995.81010973</v>
      </c>
      <c r="J54" s="789">
        <v>-163877835.37874711</v>
      </c>
      <c r="K54" s="789">
        <v>-216315557.03291181</v>
      </c>
      <c r="L54" s="789">
        <v>-86095331.313256994</v>
      </c>
      <c r="M54" s="789">
        <v>-66836112.480598733</v>
      </c>
      <c r="N54" s="789">
        <v>-51093716.673006512</v>
      </c>
      <c r="O54" s="789">
        <v>-5644078.4618846225</v>
      </c>
      <c r="P54" s="772">
        <v>0</v>
      </c>
      <c r="Q54" s="774"/>
      <c r="R54" s="774"/>
      <c r="S54" s="774"/>
      <c r="T54" s="774"/>
      <c r="U54" s="774"/>
      <c r="V54" s="774"/>
    </row>
    <row r="55" spans="1:22" hidden="1">
      <c r="A55" s="786">
        <v>55</v>
      </c>
      <c r="C55" s="767"/>
      <c r="D55" s="767"/>
      <c r="E55" s="767"/>
      <c r="F55" s="767"/>
      <c r="G55" s="778"/>
      <c r="H55" s="775"/>
      <c r="I55" s="775"/>
      <c r="J55" s="775"/>
      <c r="K55" s="775"/>
      <c r="L55" s="775"/>
      <c r="M55" s="775"/>
      <c r="N55" s="775"/>
      <c r="O55" s="775"/>
      <c r="P55" s="772">
        <v>0</v>
      </c>
    </row>
    <row r="56" spans="1:22" ht="13.5" hidden="1" thickBot="1">
      <c r="A56" s="786">
        <v>56</v>
      </c>
      <c r="C56" s="767"/>
      <c r="D56" s="767"/>
      <c r="E56" s="767" t="s">
        <v>631</v>
      </c>
      <c r="F56" s="767"/>
      <c r="G56" s="778"/>
      <c r="H56" s="790">
        <v>1087071739.4254832</v>
      </c>
      <c r="I56" s="790">
        <v>498660978.00788391</v>
      </c>
      <c r="J56" s="790">
        <v>152184851.17251104</v>
      </c>
      <c r="K56" s="790">
        <v>220630137.26083696</v>
      </c>
      <c r="L56" s="790">
        <v>88606286.280688047</v>
      </c>
      <c r="M56" s="790">
        <v>76631081.186549634</v>
      </c>
      <c r="N56" s="790">
        <v>46295552.209600359</v>
      </c>
      <c r="O56" s="790">
        <v>4062853.3074133359</v>
      </c>
      <c r="P56" s="772">
        <v>0</v>
      </c>
      <c r="Q56" s="774"/>
      <c r="R56" s="774"/>
      <c r="S56" s="774"/>
      <c r="T56" s="774"/>
      <c r="U56" s="774"/>
      <c r="V56" s="774"/>
    </row>
    <row r="57" spans="1:22" ht="13.5" hidden="1" thickTop="1">
      <c r="A57" s="786">
        <v>57</v>
      </c>
      <c r="C57" s="767"/>
      <c r="D57" s="767"/>
      <c r="E57" s="767"/>
      <c r="F57" s="767"/>
      <c r="G57" s="778"/>
      <c r="H57" s="775"/>
      <c r="I57" s="792"/>
      <c r="J57" s="775"/>
      <c r="K57" s="775"/>
      <c r="L57" s="775"/>
      <c r="M57" s="775"/>
      <c r="N57" s="775"/>
      <c r="O57" s="775"/>
      <c r="P57" s="772"/>
    </row>
    <row r="58" spans="1:22" hidden="1">
      <c r="A58" s="786">
        <v>58</v>
      </c>
      <c r="C58" s="767"/>
      <c r="D58" s="767"/>
      <c r="H58" s="793"/>
      <c r="P58" s="772"/>
    </row>
    <row r="59" spans="1:22" hidden="1">
      <c r="A59" s="786">
        <v>59</v>
      </c>
      <c r="C59" s="767"/>
      <c r="D59" s="767"/>
      <c r="E59" s="767" t="s">
        <v>632</v>
      </c>
      <c r="F59" s="767"/>
      <c r="G59" s="778"/>
      <c r="H59" s="794">
        <v>7.1839213594582146E-2</v>
      </c>
      <c r="I59" s="794">
        <v>5.4941978554440281E-2</v>
      </c>
      <c r="J59" s="794">
        <v>0.10282043946649073</v>
      </c>
      <c r="K59" s="794">
        <v>8.7699457781847276E-2</v>
      </c>
      <c r="L59" s="794">
        <v>6.7903043862491921E-2</v>
      </c>
      <c r="M59" s="794">
        <v>5.6779401682035061E-2</v>
      </c>
      <c r="N59" s="794">
        <v>9.582926214650328E-2</v>
      </c>
      <c r="O59" s="794">
        <v>0.22051727572601287</v>
      </c>
      <c r="P59" s="772"/>
      <c r="R59" s="774"/>
      <c r="S59" s="774"/>
      <c r="T59" s="774"/>
      <c r="U59" s="774"/>
      <c r="V59" s="774"/>
    </row>
    <row r="60" spans="1:22" hidden="1">
      <c r="A60" s="786">
        <v>60</v>
      </c>
      <c r="C60" s="767"/>
      <c r="D60" s="767"/>
      <c r="E60" s="767"/>
      <c r="F60" s="767"/>
      <c r="G60" s="778"/>
      <c r="P60" s="772"/>
    </row>
    <row r="61" spans="1:22" hidden="1">
      <c r="A61" s="786">
        <v>61</v>
      </c>
      <c r="C61" s="767"/>
      <c r="D61" s="767"/>
      <c r="E61" s="767" t="s">
        <v>633</v>
      </c>
      <c r="F61" s="767"/>
      <c r="G61" s="778"/>
      <c r="H61" s="794">
        <v>9.5300923817886227E-2</v>
      </c>
      <c r="I61" s="794">
        <v>6.0887003165866149E-2</v>
      </c>
      <c r="J61" s="794">
        <v>0.1583991435162744</v>
      </c>
      <c r="K61" s="794">
        <v>0.12760284680620626</v>
      </c>
      <c r="L61" s="794">
        <v>8.72842848523257E-2</v>
      </c>
      <c r="M61" s="794">
        <v>6.4629209128380966E-2</v>
      </c>
      <c r="N61" s="794">
        <v>0.14416049317006777</v>
      </c>
      <c r="O61" s="794">
        <v>0.39810756767008731</v>
      </c>
      <c r="P61" s="772"/>
      <c r="R61" s="774"/>
      <c r="S61" s="774"/>
      <c r="T61" s="774"/>
      <c r="U61" s="774"/>
      <c r="V61" s="774"/>
    </row>
    <row r="62" spans="1:22" hidden="1">
      <c r="A62" s="786"/>
      <c r="H62" s="775"/>
      <c r="J62" s="775"/>
      <c r="K62" s="775"/>
      <c r="L62" s="775"/>
      <c r="M62" s="775"/>
      <c r="N62" s="775"/>
      <c r="O62" s="775"/>
      <c r="P62" s="772"/>
    </row>
    <row r="63" spans="1:22" hidden="1">
      <c r="A63" s="786"/>
      <c r="E63" s="767"/>
      <c r="H63" s="794"/>
      <c r="I63" s="793"/>
      <c r="J63" s="775"/>
      <c r="K63" s="775"/>
      <c r="L63" s="775"/>
      <c r="M63" s="775"/>
      <c r="N63" s="775"/>
      <c r="O63" s="775"/>
      <c r="P63" s="772"/>
    </row>
    <row r="64" spans="1:22" hidden="1">
      <c r="A64" s="786"/>
      <c r="H64" s="775"/>
      <c r="J64" s="775"/>
      <c r="K64" s="775"/>
      <c r="L64" s="775"/>
      <c r="M64" s="775"/>
      <c r="N64" s="775"/>
      <c r="O64" s="775"/>
      <c r="P64" s="772"/>
    </row>
    <row r="65" spans="1:22" hidden="1">
      <c r="A65" s="786"/>
      <c r="H65" s="775"/>
      <c r="J65" s="775"/>
      <c r="K65" s="775"/>
      <c r="L65" s="775"/>
      <c r="M65" s="775"/>
      <c r="N65" s="775"/>
      <c r="O65" s="775"/>
      <c r="P65" s="772"/>
    </row>
    <row r="66" spans="1:22" hidden="1">
      <c r="A66" s="786"/>
      <c r="H66" s="775"/>
      <c r="J66" s="775"/>
      <c r="K66" s="775"/>
      <c r="L66" s="775"/>
      <c r="M66" s="775"/>
      <c r="N66" s="775"/>
      <c r="O66" s="775"/>
      <c r="P66" s="772"/>
    </row>
    <row r="67" spans="1:22" hidden="1">
      <c r="A67" s="786"/>
      <c r="H67" s="775"/>
      <c r="J67" s="775"/>
      <c r="K67" s="775"/>
      <c r="L67" s="775"/>
      <c r="M67" s="775"/>
      <c r="N67" s="775"/>
      <c r="O67" s="775"/>
      <c r="P67" s="772"/>
    </row>
    <row r="68" spans="1:22" hidden="1">
      <c r="A68" s="786"/>
      <c r="H68" s="767"/>
      <c r="J68" s="767"/>
      <c r="K68" s="767"/>
      <c r="L68" s="767"/>
      <c r="M68" s="767"/>
      <c r="N68" s="767"/>
      <c r="O68" s="767"/>
      <c r="P68" s="772"/>
    </row>
    <row r="69" spans="1:22" hidden="1">
      <c r="A69" s="786"/>
      <c r="B69" s="768" t="s">
        <v>443</v>
      </c>
      <c r="C69" s="795"/>
      <c r="D69" s="795"/>
      <c r="E69" s="795"/>
      <c r="F69" s="795"/>
      <c r="G69" s="796"/>
      <c r="H69" s="769"/>
      <c r="I69" s="795"/>
      <c r="J69" s="769"/>
      <c r="K69" s="769"/>
      <c r="L69" s="771"/>
      <c r="M69" s="771"/>
      <c r="N69" s="771"/>
      <c r="O69" s="771"/>
      <c r="P69" s="772"/>
    </row>
    <row r="70" spans="1:22" hidden="1">
      <c r="A70" s="786"/>
      <c r="B70" s="768" t="s">
        <v>574</v>
      </c>
      <c r="C70" s="795"/>
      <c r="D70" s="795"/>
      <c r="E70" s="795"/>
      <c r="F70" s="795"/>
      <c r="G70" s="796"/>
      <c r="H70" s="769"/>
      <c r="I70" s="795"/>
      <c r="J70" s="769"/>
      <c r="K70" s="769"/>
      <c r="L70" s="771"/>
      <c r="M70" s="771"/>
      <c r="N70" s="771"/>
      <c r="O70" s="771"/>
      <c r="P70" s="772"/>
    </row>
    <row r="71" spans="1:22" hidden="1">
      <c r="A71" s="786"/>
      <c r="B71" s="768" t="s">
        <v>1387</v>
      </c>
      <c r="C71" s="795"/>
      <c r="D71" s="795"/>
      <c r="E71" s="769"/>
      <c r="F71" s="795"/>
      <c r="G71" s="796"/>
      <c r="H71" s="769"/>
      <c r="I71" s="795"/>
      <c r="J71" s="769"/>
      <c r="K71" s="769"/>
      <c r="L71" s="771"/>
      <c r="M71" s="771"/>
      <c r="N71" s="771"/>
      <c r="O71" s="771"/>
      <c r="P71" s="772"/>
    </row>
    <row r="72" spans="1:22" hidden="1">
      <c r="A72" s="786"/>
      <c r="B72" s="768" t="s">
        <v>1388</v>
      </c>
      <c r="C72" s="795"/>
      <c r="D72" s="795"/>
      <c r="E72" s="795"/>
      <c r="F72" s="795"/>
      <c r="G72" s="796"/>
      <c r="H72" s="769"/>
      <c r="I72" s="795"/>
      <c r="J72" s="769"/>
      <c r="K72" s="769"/>
      <c r="L72" s="771"/>
      <c r="M72" s="771"/>
      <c r="N72" s="771"/>
      <c r="O72" s="771"/>
      <c r="P72" s="772"/>
    </row>
    <row r="73" spans="1:22" hidden="1">
      <c r="A73" s="786"/>
      <c r="B73" s="768" t="s">
        <v>1389</v>
      </c>
      <c r="C73" s="795"/>
      <c r="D73" s="795"/>
      <c r="E73" s="795"/>
      <c r="F73" s="795"/>
      <c r="G73" s="796"/>
      <c r="H73" s="769"/>
      <c r="I73" s="795"/>
      <c r="J73" s="769"/>
      <c r="K73" s="769"/>
      <c r="L73" s="771"/>
      <c r="M73" s="771"/>
      <c r="N73" s="771"/>
      <c r="O73" s="771"/>
      <c r="P73" s="772"/>
    </row>
    <row r="74" spans="1:22" hidden="1">
      <c r="A74" s="786"/>
      <c r="B74" s="769"/>
      <c r="C74" s="795"/>
      <c r="D74" s="795"/>
      <c r="E74" s="795"/>
      <c r="F74" s="795"/>
      <c r="G74" s="796"/>
      <c r="H74" s="795"/>
      <c r="I74" s="795"/>
      <c r="J74" s="795"/>
      <c r="K74" s="795"/>
      <c r="L74" s="795"/>
      <c r="M74" s="795"/>
      <c r="N74" s="795"/>
      <c r="O74" s="795"/>
      <c r="P74" s="772"/>
    </row>
    <row r="75" spans="1:22" hidden="1">
      <c r="A75" s="786"/>
      <c r="C75" s="767"/>
      <c r="D75" s="767"/>
      <c r="E75" s="767"/>
      <c r="F75" s="767"/>
      <c r="G75" s="778"/>
      <c r="H75" s="767"/>
      <c r="I75" s="767"/>
      <c r="J75" s="767"/>
      <c r="K75" s="767"/>
      <c r="L75" s="767"/>
      <c r="M75" s="767"/>
      <c r="N75" s="767"/>
      <c r="O75" s="767"/>
      <c r="P75" s="772"/>
    </row>
    <row r="76" spans="1:22" hidden="1">
      <c r="A76" s="786"/>
      <c r="C76" s="777" t="s">
        <v>575</v>
      </c>
      <c r="D76" s="767"/>
      <c r="E76" s="777" t="s">
        <v>576</v>
      </c>
      <c r="F76" s="777" t="s">
        <v>577</v>
      </c>
      <c r="G76" s="778"/>
      <c r="H76" s="777" t="s">
        <v>578</v>
      </c>
      <c r="I76" s="777" t="s">
        <v>579</v>
      </c>
      <c r="J76" s="777" t="s">
        <v>580</v>
      </c>
      <c r="K76" s="777" t="s">
        <v>581</v>
      </c>
      <c r="L76" s="777" t="s">
        <v>582</v>
      </c>
      <c r="M76" s="777" t="s">
        <v>583</v>
      </c>
      <c r="N76" s="777" t="s">
        <v>584</v>
      </c>
      <c r="O76" s="777" t="s">
        <v>585</v>
      </c>
      <c r="P76" s="772"/>
    </row>
    <row r="77" spans="1:22" ht="38.25" hidden="1">
      <c r="A77" s="786"/>
      <c r="D77" s="781"/>
      <c r="E77" s="782" t="s">
        <v>587</v>
      </c>
      <c r="F77" s="797" t="s">
        <v>634</v>
      </c>
      <c r="G77" s="783"/>
      <c r="H77" s="784" t="s">
        <v>588</v>
      </c>
      <c r="I77" s="784" t="s">
        <v>589</v>
      </c>
      <c r="J77" s="784" t="s">
        <v>590</v>
      </c>
      <c r="K77" s="784" t="s">
        <v>591</v>
      </c>
      <c r="L77" s="784" t="s">
        <v>592</v>
      </c>
      <c r="M77" s="784" t="s">
        <v>593</v>
      </c>
      <c r="N77" s="784" t="s">
        <v>594</v>
      </c>
      <c r="O77" s="784" t="s">
        <v>595</v>
      </c>
      <c r="P77" s="772"/>
    </row>
    <row r="78" spans="1:22" hidden="1">
      <c r="A78" s="786"/>
      <c r="C78" s="767"/>
      <c r="D78" s="767"/>
      <c r="E78" s="767"/>
      <c r="F78" s="767"/>
      <c r="G78" s="778"/>
      <c r="H78" s="775"/>
      <c r="I78" s="775"/>
      <c r="J78" s="775"/>
      <c r="K78" s="775"/>
      <c r="L78" s="775"/>
      <c r="M78" s="775"/>
      <c r="N78" s="775"/>
      <c r="O78" s="775"/>
      <c r="P78" s="772"/>
    </row>
    <row r="79" spans="1:22" hidden="1">
      <c r="A79" s="786">
        <v>79</v>
      </c>
      <c r="C79" s="767"/>
      <c r="D79" s="767"/>
      <c r="E79" s="767" t="s">
        <v>631</v>
      </c>
      <c r="F79" s="767"/>
      <c r="G79" s="778"/>
      <c r="H79" s="787">
        <v>1087071739.4254832</v>
      </c>
      <c r="I79" s="787">
        <v>498660978.00788391</v>
      </c>
      <c r="J79" s="787">
        <v>152184851.17251104</v>
      </c>
      <c r="K79" s="787">
        <v>220630137.26083696</v>
      </c>
      <c r="L79" s="787">
        <v>88606286.280688047</v>
      </c>
      <c r="M79" s="787">
        <v>76631081.186549634</v>
      </c>
      <c r="N79" s="787">
        <v>46295552.209600359</v>
      </c>
      <c r="O79" s="787">
        <v>4062853.3074133359</v>
      </c>
      <c r="P79" s="772">
        <v>0</v>
      </c>
      <c r="R79" s="774"/>
      <c r="S79" s="774"/>
      <c r="T79" s="774"/>
      <c r="U79" s="774"/>
      <c r="V79" s="774"/>
    </row>
    <row r="80" spans="1:22" hidden="1">
      <c r="A80" s="786">
        <v>80</v>
      </c>
      <c r="C80" s="767"/>
      <c r="D80" s="767"/>
      <c r="E80" s="767"/>
      <c r="F80" s="767"/>
      <c r="G80" s="778"/>
      <c r="H80" s="787"/>
      <c r="I80" s="787"/>
      <c r="J80" s="787"/>
      <c r="K80" s="787"/>
      <c r="L80" s="787"/>
      <c r="M80" s="787"/>
      <c r="N80" s="787"/>
      <c r="O80" s="787"/>
      <c r="P80" s="772"/>
    </row>
    <row r="81" spans="1:22" hidden="1">
      <c r="A81" s="786">
        <v>81</v>
      </c>
      <c r="C81" s="767"/>
      <c r="D81" s="767"/>
      <c r="F81" s="767"/>
      <c r="G81" s="778"/>
      <c r="H81" s="775"/>
      <c r="I81" s="775"/>
      <c r="J81" s="775"/>
      <c r="K81" s="775"/>
      <c r="L81" s="775"/>
      <c r="M81" s="775"/>
      <c r="N81" s="775"/>
      <c r="O81" s="775"/>
      <c r="P81" s="772"/>
    </row>
    <row r="82" spans="1:22" hidden="1">
      <c r="A82" s="786">
        <v>82</v>
      </c>
      <c r="C82" s="767"/>
      <c r="D82" s="767"/>
      <c r="E82" s="767" t="s">
        <v>635</v>
      </c>
      <c r="F82" s="798">
        <v>7.1839213594582146E-2</v>
      </c>
      <c r="G82" s="778"/>
      <c r="H82" s="787">
        <v>78094378.881221235</v>
      </c>
      <c r="I82" s="787">
        <v>35823412.5103916</v>
      </c>
      <c r="J82" s="787">
        <v>10932840.029241716</v>
      </c>
      <c r="K82" s="787">
        <v>15849895.556083247</v>
      </c>
      <c r="L82" s="787">
        <v>6365405.9259410426</v>
      </c>
      <c r="M82" s="787">
        <v>5505116.6093443045</v>
      </c>
      <c r="N82" s="787">
        <v>3325836.0636646096</v>
      </c>
      <c r="O82" s="787">
        <v>291872.18655472115</v>
      </c>
      <c r="P82" s="772">
        <v>0</v>
      </c>
      <c r="R82" s="774"/>
      <c r="S82" s="774"/>
      <c r="T82" s="774"/>
      <c r="U82" s="774"/>
      <c r="V82" s="774"/>
    </row>
    <row r="83" spans="1:22" hidden="1">
      <c r="A83" s="786">
        <v>83</v>
      </c>
      <c r="C83" s="767"/>
      <c r="D83" s="767"/>
      <c r="E83" s="767" t="s">
        <v>636</v>
      </c>
      <c r="F83" s="767"/>
      <c r="G83" s="778"/>
      <c r="H83" s="787">
        <v>167580764.75903341</v>
      </c>
      <c r="I83" s="787">
        <v>75285956.901894167</v>
      </c>
      <c r="J83" s="787">
        <v>22620147.642693497</v>
      </c>
      <c r="K83" s="787">
        <v>35193817.722888887</v>
      </c>
      <c r="L83" s="787">
        <v>14335647.268913005</v>
      </c>
      <c r="M83" s="787">
        <v>13044391.894951452</v>
      </c>
      <c r="N83" s="787">
        <v>6529809.0947091198</v>
      </c>
      <c r="O83" s="787">
        <v>570994.23298328172</v>
      </c>
      <c r="P83" s="772">
        <v>0</v>
      </c>
      <c r="R83" s="774"/>
      <c r="S83" s="774"/>
      <c r="T83" s="774"/>
      <c r="U83" s="774"/>
      <c r="V83" s="774"/>
    </row>
    <row r="84" spans="1:22" hidden="1">
      <c r="A84" s="786">
        <v>84</v>
      </c>
      <c r="C84" s="767"/>
      <c r="D84" s="767"/>
      <c r="E84" s="767" t="s">
        <v>637</v>
      </c>
      <c r="F84" s="777" t="s">
        <v>638</v>
      </c>
      <c r="G84" s="778"/>
      <c r="H84" s="787">
        <v>0</v>
      </c>
      <c r="I84" s="787">
        <v>0</v>
      </c>
      <c r="J84" s="787">
        <v>0</v>
      </c>
      <c r="K84" s="787">
        <v>0</v>
      </c>
      <c r="L84" s="787">
        <v>0</v>
      </c>
      <c r="M84" s="787">
        <v>0</v>
      </c>
      <c r="N84" s="787">
        <v>0</v>
      </c>
      <c r="O84" s="787">
        <v>0</v>
      </c>
      <c r="P84" s="772">
        <v>0</v>
      </c>
      <c r="R84" s="774"/>
      <c r="S84" s="774"/>
      <c r="T84" s="774"/>
      <c r="U84" s="774"/>
      <c r="V84" s="774"/>
    </row>
    <row r="85" spans="1:22" hidden="1">
      <c r="A85" s="786">
        <v>85</v>
      </c>
      <c r="C85" s="767"/>
      <c r="D85" s="767"/>
      <c r="E85" s="767" t="s">
        <v>599</v>
      </c>
      <c r="F85" s="767"/>
      <c r="G85" s="778"/>
      <c r="H85" s="787">
        <v>117309607.36845624</v>
      </c>
      <c r="I85" s="787">
        <v>51339764.967835687</v>
      </c>
      <c r="J85" s="787">
        <v>16178312.501946941</v>
      </c>
      <c r="K85" s="787">
        <v>25244963.592537418</v>
      </c>
      <c r="L85" s="787">
        <v>10213863.316718927</v>
      </c>
      <c r="M85" s="787">
        <v>9063817.9489638619</v>
      </c>
      <c r="N85" s="787">
        <v>4936626.4918527426</v>
      </c>
      <c r="O85" s="787">
        <v>332258.54860065493</v>
      </c>
      <c r="P85" s="772">
        <v>0</v>
      </c>
      <c r="R85" s="774"/>
      <c r="S85" s="774"/>
      <c r="T85" s="774"/>
      <c r="U85" s="774"/>
      <c r="V85" s="774"/>
    </row>
    <row r="86" spans="1:22" hidden="1">
      <c r="A86" s="786">
        <v>86</v>
      </c>
      <c r="C86" s="767"/>
      <c r="D86" s="767"/>
      <c r="E86" s="767" t="s">
        <v>600</v>
      </c>
      <c r="F86" s="767"/>
      <c r="G86" s="778"/>
      <c r="H86" s="787">
        <v>7134745.3027785588</v>
      </c>
      <c r="I86" s="787">
        <v>3647044.4418289089</v>
      </c>
      <c r="J86" s="787">
        <v>987591.54259629198</v>
      </c>
      <c r="K86" s="787">
        <v>1247398.3067816189</v>
      </c>
      <c r="L86" s="787">
        <v>502860.48551732342</v>
      </c>
      <c r="M86" s="787">
        <v>449284.32138792309</v>
      </c>
      <c r="N86" s="787">
        <v>258935.37608399632</v>
      </c>
      <c r="O86" s="787">
        <v>41630.828582496426</v>
      </c>
      <c r="P86" s="772">
        <v>0</v>
      </c>
      <c r="R86" s="774"/>
      <c r="S86" s="774"/>
      <c r="T86" s="774"/>
      <c r="U86" s="774"/>
      <c r="V86" s="774"/>
    </row>
    <row r="87" spans="1:22" hidden="1">
      <c r="A87" s="786">
        <v>87</v>
      </c>
      <c r="C87" s="767"/>
      <c r="D87" s="767"/>
      <c r="E87" s="767" t="s">
        <v>601</v>
      </c>
      <c r="F87" s="767"/>
      <c r="G87" s="778"/>
      <c r="H87" s="787">
        <v>24634547.458652236</v>
      </c>
      <c r="I87" s="787">
        <v>11462723.525937947</v>
      </c>
      <c r="J87" s="787">
        <v>3480165.3976608487</v>
      </c>
      <c r="K87" s="787">
        <v>4906632.285933746</v>
      </c>
      <c r="L87" s="787">
        <v>1962287.4728191437</v>
      </c>
      <c r="M87" s="787">
        <v>1634344.14362378</v>
      </c>
      <c r="N87" s="787">
        <v>1084056.0841745278</v>
      </c>
      <c r="O87" s="787">
        <v>104338.54850223867</v>
      </c>
      <c r="P87" s="772">
        <v>0</v>
      </c>
      <c r="R87" s="774"/>
      <c r="S87" s="774"/>
      <c r="T87" s="774"/>
      <c r="U87" s="774"/>
      <c r="V87" s="774"/>
    </row>
    <row r="88" spans="1:22" hidden="1">
      <c r="A88" s="786">
        <v>88</v>
      </c>
      <c r="C88" s="767"/>
      <c r="D88" s="767"/>
      <c r="E88" s="767" t="s">
        <v>639</v>
      </c>
      <c r="F88" s="767"/>
      <c r="G88" s="778"/>
      <c r="H88" s="787">
        <v>3728126.5134482095</v>
      </c>
      <c r="I88" s="787">
        <v>1517203.6165807017</v>
      </c>
      <c r="J88" s="787">
        <v>493380.9529268216</v>
      </c>
      <c r="K88" s="787">
        <v>864568.03298505128</v>
      </c>
      <c r="L88" s="787">
        <v>356167.87343910942</v>
      </c>
      <c r="M88" s="787">
        <v>364210.331526978</v>
      </c>
      <c r="N88" s="787">
        <v>129589.22637265443</v>
      </c>
      <c r="O88" s="787">
        <v>3006.4796168935641</v>
      </c>
      <c r="P88" s="772">
        <v>0</v>
      </c>
      <c r="R88" s="774"/>
      <c r="S88" s="774"/>
      <c r="T88" s="774"/>
      <c r="U88" s="774"/>
      <c r="V88" s="774"/>
    </row>
    <row r="89" spans="1:22" hidden="1">
      <c r="A89" s="786">
        <v>89</v>
      </c>
      <c r="C89" s="767"/>
      <c r="D89" s="767"/>
      <c r="E89" s="767" t="s">
        <v>640</v>
      </c>
      <c r="F89" s="799" t="s">
        <v>641</v>
      </c>
      <c r="G89" s="778"/>
      <c r="H89" s="787">
        <v>0</v>
      </c>
      <c r="I89" s="787">
        <v>0</v>
      </c>
      <c r="J89" s="787">
        <v>0</v>
      </c>
      <c r="K89" s="787">
        <v>0</v>
      </c>
      <c r="L89" s="787">
        <v>0</v>
      </c>
      <c r="M89" s="787">
        <v>0</v>
      </c>
      <c r="N89" s="787">
        <v>0</v>
      </c>
      <c r="O89" s="787">
        <v>0</v>
      </c>
      <c r="P89" s="772">
        <v>0</v>
      </c>
      <c r="R89" s="774"/>
      <c r="S89" s="774"/>
      <c r="T89" s="774"/>
      <c r="U89" s="774"/>
      <c r="V89" s="774"/>
    </row>
    <row r="90" spans="1:22" hidden="1">
      <c r="A90" s="786">
        <v>90</v>
      </c>
      <c r="C90" s="767"/>
      <c r="D90" s="767"/>
      <c r="E90" s="767" t="s">
        <v>642</v>
      </c>
      <c r="F90" s="767"/>
      <c r="G90" s="778"/>
      <c r="H90" s="787">
        <v>0</v>
      </c>
      <c r="I90" s="787">
        <v>0</v>
      </c>
      <c r="J90" s="787">
        <v>0</v>
      </c>
      <c r="K90" s="787">
        <v>0</v>
      </c>
      <c r="L90" s="787">
        <v>0</v>
      </c>
      <c r="M90" s="787">
        <v>0</v>
      </c>
      <c r="N90" s="787">
        <v>0</v>
      </c>
      <c r="O90" s="787">
        <v>0</v>
      </c>
      <c r="P90" s="772">
        <v>0</v>
      </c>
      <c r="R90" s="774"/>
      <c r="S90" s="774"/>
      <c r="T90" s="774"/>
      <c r="U90" s="774"/>
      <c r="V90" s="774"/>
    </row>
    <row r="91" spans="1:22" hidden="1">
      <c r="A91" s="786">
        <v>91</v>
      </c>
      <c r="C91" s="767"/>
      <c r="D91" s="767"/>
      <c r="E91" s="767" t="s">
        <v>643</v>
      </c>
      <c r="F91" s="799" t="s">
        <v>641</v>
      </c>
      <c r="G91" s="778"/>
      <c r="H91" s="787">
        <v>0</v>
      </c>
      <c r="I91" s="787">
        <v>0</v>
      </c>
      <c r="J91" s="787">
        <v>0</v>
      </c>
      <c r="K91" s="787">
        <v>0</v>
      </c>
      <c r="L91" s="787">
        <v>0</v>
      </c>
      <c r="M91" s="787">
        <v>0</v>
      </c>
      <c r="N91" s="787">
        <v>0</v>
      </c>
      <c r="O91" s="787">
        <v>0</v>
      </c>
      <c r="P91" s="772">
        <v>0</v>
      </c>
      <c r="R91" s="774"/>
      <c r="S91" s="774"/>
      <c r="T91" s="774"/>
      <c r="U91" s="774"/>
      <c r="V91" s="774"/>
    </row>
    <row r="92" spans="1:22" hidden="1">
      <c r="A92" s="786">
        <v>92</v>
      </c>
      <c r="C92" s="767"/>
      <c r="D92" s="767"/>
      <c r="E92" s="767" t="s">
        <v>644</v>
      </c>
      <c r="F92" s="767"/>
      <c r="G92" s="778"/>
      <c r="H92" s="787">
        <v>-15956248.941915479</v>
      </c>
      <c r="I92" s="787">
        <v>-7160897.0307019483</v>
      </c>
      <c r="J92" s="787">
        <v>-2236611.5531025366</v>
      </c>
      <c r="K92" s="787">
        <v>-3321425.4831965645</v>
      </c>
      <c r="L92" s="787">
        <v>-1337296.7517992675</v>
      </c>
      <c r="M92" s="787">
        <v>-1138613.9060988259</v>
      </c>
      <c r="N92" s="787">
        <v>-699524.78786223417</v>
      </c>
      <c r="O92" s="787">
        <v>-61879.42915410018</v>
      </c>
      <c r="P92" s="772">
        <v>0</v>
      </c>
      <c r="R92" s="774"/>
      <c r="S92" s="774"/>
      <c r="T92" s="774"/>
      <c r="U92" s="774"/>
      <c r="V92" s="774"/>
    </row>
    <row r="93" spans="1:22" hidden="1">
      <c r="A93" s="786">
        <v>93</v>
      </c>
      <c r="C93" s="767"/>
      <c r="D93" s="767"/>
      <c r="E93" s="767" t="s">
        <v>645</v>
      </c>
      <c r="F93" s="767"/>
      <c r="G93" s="778"/>
      <c r="H93" s="787">
        <v>0</v>
      </c>
      <c r="I93" s="787">
        <v>0</v>
      </c>
      <c r="J93" s="787">
        <v>0</v>
      </c>
      <c r="K93" s="787">
        <v>0</v>
      </c>
      <c r="L93" s="787">
        <v>0</v>
      </c>
      <c r="M93" s="787">
        <v>0</v>
      </c>
      <c r="N93" s="787">
        <v>0</v>
      </c>
      <c r="O93" s="787">
        <v>0</v>
      </c>
      <c r="P93" s="772">
        <v>0</v>
      </c>
      <c r="R93" s="774"/>
      <c r="S93" s="774"/>
      <c r="T93" s="774"/>
      <c r="U93" s="774"/>
      <c r="V93" s="774"/>
    </row>
    <row r="94" spans="1:22" hidden="1">
      <c r="A94" s="786">
        <v>94</v>
      </c>
      <c r="C94" s="767"/>
      <c r="D94" s="767"/>
      <c r="E94" s="767" t="s">
        <v>646</v>
      </c>
      <c r="F94" s="767"/>
      <c r="G94" s="778"/>
      <c r="H94" s="787">
        <v>65435.101564292774</v>
      </c>
      <c r="I94" s="787">
        <v>48615.29560010432</v>
      </c>
      <c r="J94" s="787">
        <v>4979.5429207386069</v>
      </c>
      <c r="K94" s="787">
        <v>6442.1313847481179</v>
      </c>
      <c r="L94" s="787">
        <v>2491.2862998084847</v>
      </c>
      <c r="M94" s="787">
        <v>2198.1241011285088</v>
      </c>
      <c r="N94" s="787">
        <v>702.88730182467475</v>
      </c>
      <c r="O94" s="787">
        <v>5.8339559400683569</v>
      </c>
      <c r="P94" s="772">
        <v>0</v>
      </c>
      <c r="R94" s="774"/>
      <c r="S94" s="774"/>
      <c r="T94" s="774"/>
      <c r="U94" s="774"/>
      <c r="V94" s="774"/>
    </row>
    <row r="95" spans="1:22" hidden="1">
      <c r="A95" s="786">
        <v>95</v>
      </c>
      <c r="C95" s="767"/>
      <c r="D95" s="767"/>
      <c r="E95" s="767" t="s">
        <v>647</v>
      </c>
      <c r="F95" s="767"/>
      <c r="G95" s="778"/>
      <c r="H95" s="787">
        <v>-34297556.288450368</v>
      </c>
      <c r="I95" s="787">
        <v>-15252867.178620964</v>
      </c>
      <c r="J95" s="787">
        <v>-4674615.1897633011</v>
      </c>
      <c r="K95" s="787">
        <v>-7243909.5652797325</v>
      </c>
      <c r="L95" s="787">
        <v>-2887140.8992778189</v>
      </c>
      <c r="M95" s="787">
        <v>-2641293.0578732444</v>
      </c>
      <c r="N95" s="787">
        <v>-1511813.9815435519</v>
      </c>
      <c r="O95" s="787">
        <v>-85916.416091754436</v>
      </c>
      <c r="P95" s="772">
        <v>0</v>
      </c>
      <c r="R95" s="774"/>
      <c r="S95" s="774"/>
      <c r="T95" s="774"/>
      <c r="U95" s="774"/>
      <c r="V95" s="774"/>
    </row>
    <row r="96" spans="1:22" hidden="1">
      <c r="A96" s="786">
        <v>96</v>
      </c>
      <c r="C96" s="767"/>
      <c r="D96" s="767"/>
      <c r="E96" s="767"/>
      <c r="F96" s="767"/>
      <c r="G96" s="778"/>
      <c r="H96" s="787"/>
      <c r="I96" s="787"/>
      <c r="J96" s="787"/>
      <c r="K96" s="787"/>
      <c r="L96" s="787"/>
      <c r="M96" s="787"/>
      <c r="N96" s="787"/>
      <c r="O96" s="787"/>
      <c r="P96" s="772"/>
    </row>
    <row r="97" spans="1:22" hidden="1">
      <c r="A97" s="786">
        <v>97</v>
      </c>
      <c r="C97" s="767"/>
      <c r="D97" s="767"/>
      <c r="E97" s="767" t="s">
        <v>648</v>
      </c>
      <c r="F97" s="767"/>
      <c r="G97" s="778"/>
      <c r="H97" s="787">
        <v>348293800.15478837</v>
      </c>
      <c r="I97" s="787">
        <v>156710957.05074617</v>
      </c>
      <c r="J97" s="787">
        <v>47786190.867121011</v>
      </c>
      <c r="K97" s="787">
        <v>72748382.580118418</v>
      </c>
      <c r="L97" s="787">
        <v>29514285.978571277</v>
      </c>
      <c r="M97" s="787">
        <v>26283456.409927353</v>
      </c>
      <c r="N97" s="787">
        <v>14054216.454753688</v>
      </c>
      <c r="O97" s="787">
        <v>1196310.8135503721</v>
      </c>
      <c r="P97" s="772">
        <v>0</v>
      </c>
      <c r="R97" s="774"/>
      <c r="S97" s="774"/>
      <c r="T97" s="774"/>
      <c r="U97" s="774"/>
      <c r="V97" s="774"/>
    </row>
    <row r="98" spans="1:22" hidden="1">
      <c r="A98" s="786">
        <v>98</v>
      </c>
      <c r="C98" s="767"/>
      <c r="D98" s="767"/>
      <c r="E98" s="767" t="s">
        <v>596</v>
      </c>
      <c r="F98" s="767"/>
      <c r="G98" s="778"/>
      <c r="H98" s="800">
        <v>348293800.15478849</v>
      </c>
      <c r="I98" s="800">
        <v>148284965.30000001</v>
      </c>
      <c r="J98" s="800">
        <v>52501064.115579374</v>
      </c>
      <c r="K98" s="800">
        <v>76247630.432145104</v>
      </c>
      <c r="L98" s="800">
        <v>29165516.596440308</v>
      </c>
      <c r="M98" s="800">
        <v>25129406.740602795</v>
      </c>
      <c r="N98" s="800">
        <v>15164849</v>
      </c>
      <c r="O98" s="800">
        <v>1800367.9700208607</v>
      </c>
      <c r="P98" s="772">
        <v>0</v>
      </c>
      <c r="R98" s="774"/>
      <c r="S98" s="774"/>
      <c r="T98" s="774"/>
      <c r="U98" s="774"/>
      <c r="V98" s="774"/>
    </row>
    <row r="99" spans="1:22" hidden="1">
      <c r="A99" s="786">
        <v>99</v>
      </c>
      <c r="C99" s="767"/>
      <c r="D99" s="767"/>
      <c r="E99" s="767"/>
      <c r="F99" s="767"/>
      <c r="G99" s="778"/>
      <c r="H99" s="775"/>
      <c r="I99" s="775"/>
      <c r="J99" s="775"/>
      <c r="K99" s="775"/>
      <c r="L99" s="775"/>
      <c r="M99" s="775"/>
      <c r="N99" s="775"/>
      <c r="O99" s="775"/>
      <c r="P99" s="772"/>
    </row>
    <row r="100" spans="1:22" hidden="1">
      <c r="A100" s="786">
        <v>100</v>
      </c>
      <c r="C100" s="767"/>
      <c r="D100" s="767"/>
      <c r="E100" s="767" t="s">
        <v>649</v>
      </c>
      <c r="F100" s="767"/>
      <c r="G100" s="778"/>
      <c r="H100" s="774"/>
      <c r="I100" s="774"/>
      <c r="J100" s="774"/>
      <c r="K100" s="774"/>
      <c r="L100" s="774"/>
      <c r="M100" s="774"/>
      <c r="N100" s="774"/>
      <c r="O100" s="774"/>
      <c r="P100" s="772"/>
      <c r="R100" s="774"/>
      <c r="S100" s="774"/>
      <c r="T100" s="774"/>
      <c r="U100" s="774"/>
      <c r="V100" s="774"/>
    </row>
    <row r="101" spans="1:22" hidden="1">
      <c r="A101" s="786">
        <v>101</v>
      </c>
      <c r="C101" s="767"/>
      <c r="D101" s="767"/>
      <c r="E101" s="767" t="s">
        <v>650</v>
      </c>
      <c r="F101" s="767"/>
      <c r="G101" s="778"/>
      <c r="H101" s="787">
        <v>0</v>
      </c>
      <c r="I101" s="787">
        <v>8425991.7507461607</v>
      </c>
      <c r="J101" s="787">
        <v>-4714873.2484583631</v>
      </c>
      <c r="K101" s="787">
        <v>-3499247.8520266861</v>
      </c>
      <c r="L101" s="787">
        <v>348769.38213096932</v>
      </c>
      <c r="M101" s="787">
        <v>1154049.6693245582</v>
      </c>
      <c r="N101" s="787">
        <v>-1110632.5452463124</v>
      </c>
      <c r="O101" s="787">
        <v>-604057.15647048852</v>
      </c>
      <c r="P101" s="772">
        <v>0</v>
      </c>
      <c r="R101" s="774"/>
      <c r="S101" s="774"/>
      <c r="T101" s="774"/>
      <c r="U101" s="774"/>
      <c r="V101" s="774"/>
    </row>
    <row r="102" spans="1:22" hidden="1">
      <c r="A102" s="786">
        <v>102</v>
      </c>
      <c r="C102" s="767"/>
      <c r="D102" s="767"/>
      <c r="E102" s="767"/>
      <c r="F102" s="767"/>
      <c r="G102" s="778"/>
      <c r="H102" s="775"/>
      <c r="I102" s="775"/>
      <c r="J102" s="775"/>
      <c r="K102" s="775"/>
      <c r="L102" s="775"/>
      <c r="M102" s="775"/>
      <c r="N102" s="775"/>
      <c r="O102" s="775"/>
      <c r="P102" s="772"/>
    </row>
    <row r="103" spans="1:22" hidden="1">
      <c r="A103" s="786">
        <v>103</v>
      </c>
      <c r="C103" s="767"/>
      <c r="D103" s="767"/>
      <c r="E103" s="767" t="s">
        <v>651</v>
      </c>
      <c r="F103" s="767"/>
      <c r="G103" s="778"/>
      <c r="H103" s="787">
        <v>348293800.15478843</v>
      </c>
      <c r="I103" s="787">
        <v>148284965.29999998</v>
      </c>
      <c r="J103" s="787">
        <v>52501064.115579374</v>
      </c>
      <c r="K103" s="787">
        <v>76247630.432145104</v>
      </c>
      <c r="L103" s="787">
        <v>29165516.596440312</v>
      </c>
      <c r="M103" s="787">
        <v>25129406.740602791</v>
      </c>
      <c r="N103" s="787">
        <v>15164849</v>
      </c>
      <c r="O103" s="787">
        <v>1800367.9700208609</v>
      </c>
      <c r="P103" s="772">
        <v>0</v>
      </c>
      <c r="R103" s="774"/>
      <c r="S103" s="774"/>
      <c r="T103" s="774"/>
      <c r="U103" s="774"/>
      <c r="V103" s="774"/>
    </row>
    <row r="104" spans="1:22" hidden="1">
      <c r="A104" s="786">
        <v>104</v>
      </c>
      <c r="C104" s="767"/>
      <c r="D104" s="767"/>
      <c r="E104" s="801"/>
      <c r="F104" s="802"/>
      <c r="G104" s="803"/>
      <c r="H104" s="804"/>
      <c r="I104" s="804"/>
      <c r="J104" s="804"/>
      <c r="K104" s="804"/>
      <c r="L104" s="804"/>
      <c r="M104" s="804"/>
      <c r="N104" s="804"/>
      <c r="O104" s="804"/>
      <c r="P104" s="772"/>
    </row>
    <row r="105" spans="1:22" hidden="1">
      <c r="A105" s="786">
        <v>105</v>
      </c>
      <c r="C105" s="767"/>
      <c r="D105" s="767"/>
      <c r="E105" s="767" t="s">
        <v>652</v>
      </c>
      <c r="F105" s="767"/>
      <c r="G105" s="778"/>
      <c r="H105" s="775"/>
      <c r="I105" s="775"/>
      <c r="J105" s="775"/>
      <c r="K105" s="775"/>
      <c r="L105" s="775"/>
      <c r="M105" s="775"/>
      <c r="N105" s="775"/>
      <c r="O105" s="775"/>
      <c r="P105" s="772"/>
    </row>
    <row r="106" spans="1:22" hidden="1">
      <c r="A106" s="786">
        <v>106</v>
      </c>
      <c r="C106" s="767"/>
      <c r="D106" s="767"/>
      <c r="E106" s="767" t="s">
        <v>653</v>
      </c>
      <c r="F106" s="767"/>
      <c r="G106" s="778"/>
      <c r="H106" s="767"/>
      <c r="I106" s="767"/>
      <c r="J106" s="767"/>
      <c r="K106" s="767"/>
      <c r="L106" s="767"/>
      <c r="M106" s="767"/>
      <c r="N106" s="767"/>
      <c r="O106" s="767"/>
      <c r="P106" s="772"/>
    </row>
    <row r="107" spans="1:22" hidden="1">
      <c r="A107" s="786">
        <v>107</v>
      </c>
      <c r="C107" s="767"/>
      <c r="D107" s="767"/>
      <c r="E107" s="767" t="s">
        <v>654</v>
      </c>
      <c r="F107" s="767"/>
      <c r="G107" s="778"/>
      <c r="H107" s="794">
        <v>0</v>
      </c>
      <c r="I107" s="794">
        <v>5.682296741075045E-2</v>
      </c>
      <c r="J107" s="794">
        <v>-8.9805289242875605E-2</v>
      </c>
      <c r="K107" s="794">
        <v>-4.5893201299426145E-2</v>
      </c>
      <c r="L107" s="794">
        <v>1.1958278913994516E-2</v>
      </c>
      <c r="M107" s="794">
        <v>4.5924270367270738E-2</v>
      </c>
      <c r="N107" s="794">
        <v>-7.323729667511443E-2</v>
      </c>
      <c r="O107" s="794">
        <v>-0.33551871980009135</v>
      </c>
      <c r="P107" s="772"/>
      <c r="R107" s="774"/>
      <c r="S107" s="774"/>
      <c r="T107" s="774"/>
      <c r="U107" s="774"/>
      <c r="V107" s="774"/>
    </row>
    <row r="108" spans="1:22" hidden="1">
      <c r="A108" s="786"/>
      <c r="C108" s="767"/>
      <c r="D108" s="767"/>
      <c r="F108" s="767"/>
      <c r="G108" s="778"/>
      <c r="I108" s="775"/>
      <c r="M108" s="775"/>
      <c r="N108" s="775"/>
      <c r="O108" s="775"/>
      <c r="P108" s="772"/>
    </row>
    <row r="109" spans="1:22" hidden="1">
      <c r="A109" s="786"/>
      <c r="C109" s="767"/>
      <c r="D109" s="767"/>
      <c r="F109" s="767"/>
      <c r="G109" s="778"/>
      <c r="I109" s="775"/>
      <c r="M109" s="775"/>
      <c r="N109" s="775"/>
      <c r="O109" s="775"/>
      <c r="P109" s="772"/>
    </row>
    <row r="110" spans="1:22" hidden="1">
      <c r="A110" s="786"/>
      <c r="C110" s="767"/>
      <c r="D110" s="767"/>
      <c r="F110" s="767"/>
      <c r="G110" s="778"/>
      <c r="H110" s="793"/>
      <c r="I110" s="794"/>
      <c r="J110" s="793"/>
      <c r="K110" s="793"/>
      <c r="L110" s="793"/>
      <c r="M110" s="793"/>
      <c r="N110" s="794"/>
      <c r="O110" s="794"/>
      <c r="P110" s="772"/>
      <c r="R110" s="774"/>
      <c r="S110" s="774"/>
      <c r="T110" s="774"/>
      <c r="U110" s="774"/>
      <c r="V110" s="774"/>
    </row>
    <row r="111" spans="1:22" hidden="1">
      <c r="A111" s="786"/>
      <c r="C111" s="767"/>
      <c r="D111" s="767"/>
      <c r="F111" s="767"/>
      <c r="G111" s="778"/>
      <c r="I111" s="775"/>
      <c r="N111" s="775"/>
      <c r="O111" s="775"/>
      <c r="P111" s="772"/>
    </row>
    <row r="112" spans="1:22" hidden="1">
      <c r="A112" s="786"/>
      <c r="C112" s="767"/>
      <c r="D112" s="767"/>
      <c r="E112" s="767"/>
      <c r="F112" s="767"/>
      <c r="G112" s="778"/>
      <c r="I112" s="775"/>
      <c r="N112" s="775"/>
      <c r="O112" s="775"/>
      <c r="P112" s="772"/>
    </row>
    <row r="113" spans="1:22" hidden="1">
      <c r="A113" s="786"/>
      <c r="C113" s="767"/>
      <c r="D113" s="767"/>
      <c r="E113" s="767"/>
      <c r="F113" s="767"/>
      <c r="G113" s="778"/>
      <c r="I113" s="775"/>
      <c r="N113" s="775"/>
      <c r="O113" s="775"/>
      <c r="P113" s="772"/>
    </row>
    <row r="114" spans="1:22" hidden="1">
      <c r="A114" s="786"/>
      <c r="C114" s="767"/>
      <c r="D114" s="767"/>
      <c r="E114" s="767"/>
      <c r="F114" s="767"/>
      <c r="G114" s="778"/>
      <c r="H114" s="775"/>
      <c r="I114" s="775"/>
      <c r="J114" s="775"/>
      <c r="K114" s="775"/>
      <c r="L114" s="775"/>
      <c r="M114" s="775"/>
      <c r="N114" s="775"/>
      <c r="O114" s="775"/>
      <c r="P114" s="772"/>
    </row>
    <row r="115" spans="1:22" hidden="1">
      <c r="A115" s="786"/>
      <c r="C115" s="767"/>
      <c r="D115" s="767"/>
      <c r="E115" s="767"/>
      <c r="F115" s="767"/>
      <c r="G115" s="778"/>
      <c r="H115" s="775"/>
      <c r="I115" s="775"/>
      <c r="J115" s="775"/>
      <c r="K115" s="775"/>
      <c r="L115" s="775"/>
      <c r="M115" s="775"/>
      <c r="N115" s="775"/>
      <c r="O115" s="775"/>
      <c r="P115" s="772"/>
    </row>
    <row r="116" spans="1:22" hidden="1">
      <c r="A116" s="786"/>
      <c r="C116" s="764"/>
      <c r="D116" s="767"/>
      <c r="E116" s="767"/>
      <c r="F116" s="805" t="s">
        <v>1388</v>
      </c>
      <c r="H116" s="768"/>
      <c r="I116" s="768" t="s">
        <v>655</v>
      </c>
      <c r="J116" s="768"/>
      <c r="K116" s="768"/>
      <c r="L116" s="769"/>
      <c r="M116" s="769"/>
      <c r="N116" s="768"/>
      <c r="O116" s="768"/>
      <c r="P116" s="772"/>
    </row>
    <row r="117" spans="1:22" hidden="1">
      <c r="A117" s="786"/>
      <c r="B117" s="767"/>
      <c r="C117" s="781" t="s">
        <v>573</v>
      </c>
      <c r="D117" s="767"/>
      <c r="E117" s="767"/>
      <c r="F117" s="806" t="s">
        <v>1390</v>
      </c>
      <c r="G117" s="778"/>
      <c r="H117" s="775"/>
      <c r="I117" s="781"/>
      <c r="J117" s="775"/>
      <c r="K117" s="775"/>
      <c r="L117" s="775"/>
      <c r="M117" s="775"/>
      <c r="N117" s="775"/>
      <c r="O117" s="775"/>
      <c r="P117" s="772"/>
    </row>
    <row r="118" spans="1:22" hidden="1">
      <c r="A118" s="786"/>
      <c r="B118" s="767"/>
      <c r="C118" s="777" t="s">
        <v>575</v>
      </c>
      <c r="D118" s="767"/>
      <c r="E118" s="777" t="s">
        <v>576</v>
      </c>
      <c r="F118" s="806">
        <v>0</v>
      </c>
      <c r="G118" s="778"/>
      <c r="H118" s="777" t="s">
        <v>578</v>
      </c>
      <c r="I118" s="777" t="s">
        <v>579</v>
      </c>
      <c r="J118" s="777" t="s">
        <v>580</v>
      </c>
      <c r="K118" s="777" t="s">
        <v>581</v>
      </c>
      <c r="L118" s="777" t="s">
        <v>582</v>
      </c>
      <c r="M118" s="777" t="s">
        <v>583</v>
      </c>
      <c r="N118" s="777" t="s">
        <v>584</v>
      </c>
      <c r="O118" s="777" t="s">
        <v>585</v>
      </c>
      <c r="P118" s="772"/>
    </row>
    <row r="119" spans="1:22" ht="38.25" hidden="1">
      <c r="A119" s="786"/>
      <c r="B119" s="767"/>
      <c r="C119" s="797" t="s">
        <v>656</v>
      </c>
      <c r="D119" s="781"/>
      <c r="E119" s="782" t="s">
        <v>587</v>
      </c>
      <c r="F119" s="807" t="s">
        <v>1391</v>
      </c>
      <c r="G119" s="783"/>
      <c r="H119" s="784" t="s">
        <v>588</v>
      </c>
      <c r="I119" s="784" t="s">
        <v>589</v>
      </c>
      <c r="J119" s="784" t="s">
        <v>590</v>
      </c>
      <c r="K119" s="784" t="s">
        <v>591</v>
      </c>
      <c r="L119" s="784" t="s">
        <v>592</v>
      </c>
      <c r="M119" s="784" t="s">
        <v>593</v>
      </c>
      <c r="N119" s="784" t="s">
        <v>594</v>
      </c>
      <c r="O119" s="784" t="s">
        <v>595</v>
      </c>
      <c r="P119" s="772"/>
      <c r="R119" s="781" t="s">
        <v>657</v>
      </c>
    </row>
    <row r="120" spans="1:22" hidden="1">
      <c r="A120" s="786">
        <v>120</v>
      </c>
      <c r="B120" s="767"/>
      <c r="C120" s="767" t="s">
        <v>658</v>
      </c>
      <c r="D120" s="775" t="s">
        <v>659</v>
      </c>
      <c r="E120" s="767"/>
      <c r="F120" s="806" t="s">
        <v>575</v>
      </c>
      <c r="G120" s="778"/>
      <c r="H120" s="788">
        <v>148284965.30000001</v>
      </c>
      <c r="I120" s="788">
        <v>148284965.30000001</v>
      </c>
      <c r="J120" s="788">
        <v>0</v>
      </c>
      <c r="K120" s="788">
        <v>0</v>
      </c>
      <c r="L120" s="788">
        <v>0</v>
      </c>
      <c r="M120" s="788">
        <v>0</v>
      </c>
      <c r="N120" s="788">
        <v>0</v>
      </c>
      <c r="O120" s="788">
        <v>0</v>
      </c>
      <c r="P120" s="772">
        <v>0</v>
      </c>
      <c r="Q120" s="774"/>
      <c r="R120" s="774"/>
      <c r="S120" s="774"/>
      <c r="T120" s="774"/>
      <c r="U120" s="774"/>
      <c r="V120" s="774"/>
    </row>
    <row r="121" spans="1:22" hidden="1">
      <c r="A121" s="786">
        <v>121</v>
      </c>
      <c r="B121" s="767"/>
      <c r="C121" s="767"/>
      <c r="D121" s="767"/>
      <c r="E121" s="767"/>
      <c r="F121" s="806"/>
      <c r="G121" s="778"/>
      <c r="H121" s="788"/>
      <c r="I121" s="788"/>
      <c r="J121" s="788"/>
      <c r="K121" s="788"/>
      <c r="L121" s="788"/>
      <c r="M121" s="788"/>
      <c r="N121" s="788"/>
      <c r="O121" s="788"/>
      <c r="P121" s="772"/>
    </row>
    <row r="122" spans="1:22" hidden="1">
      <c r="A122" s="786">
        <v>122</v>
      </c>
      <c r="B122" s="767"/>
      <c r="C122" s="767" t="s">
        <v>660</v>
      </c>
      <c r="D122" s="775" t="s">
        <v>661</v>
      </c>
      <c r="E122" s="767"/>
      <c r="F122" s="806" t="s">
        <v>575</v>
      </c>
      <c r="G122" s="778"/>
      <c r="H122" s="788">
        <v>198208466.88476759</v>
      </c>
      <c r="I122" s="788">
        <v>0</v>
      </c>
      <c r="J122" s="788">
        <v>52501064.115579374</v>
      </c>
      <c r="K122" s="788">
        <v>76247630.432145104</v>
      </c>
      <c r="L122" s="788">
        <v>29165516.596440308</v>
      </c>
      <c r="M122" s="788">
        <v>25129406.740602795</v>
      </c>
      <c r="N122" s="788">
        <v>15164849</v>
      </c>
      <c r="O122" s="788">
        <v>0</v>
      </c>
      <c r="P122" s="772">
        <v>0</v>
      </c>
      <c r="Q122" s="774"/>
      <c r="R122" s="774"/>
      <c r="S122" s="774"/>
      <c r="T122" s="774"/>
      <c r="U122" s="774"/>
      <c r="V122" s="774"/>
    </row>
    <row r="123" spans="1:22" hidden="1">
      <c r="A123" s="786">
        <v>123</v>
      </c>
      <c r="B123" s="767"/>
      <c r="C123" s="767"/>
      <c r="D123" s="767"/>
      <c r="E123" s="767" t="s">
        <v>662</v>
      </c>
      <c r="F123" s="806" t="s">
        <v>1392</v>
      </c>
      <c r="G123" s="778"/>
      <c r="H123" s="788">
        <v>0</v>
      </c>
      <c r="I123" s="788">
        <v>0</v>
      </c>
      <c r="J123" s="788">
        <v>0</v>
      </c>
      <c r="K123" s="788">
        <v>0</v>
      </c>
      <c r="L123" s="788">
        <v>0</v>
      </c>
      <c r="M123" s="788">
        <v>0</v>
      </c>
      <c r="N123" s="788">
        <v>0</v>
      </c>
      <c r="O123" s="788">
        <v>0</v>
      </c>
      <c r="P123" s="772">
        <v>0</v>
      </c>
      <c r="Q123" s="774"/>
      <c r="R123" s="774">
        <v>100</v>
      </c>
      <c r="S123" s="774"/>
      <c r="T123" s="774"/>
      <c r="U123" s="774"/>
      <c r="V123" s="774"/>
    </row>
    <row r="124" spans="1:22" hidden="1">
      <c r="A124" s="786">
        <v>124</v>
      </c>
      <c r="B124" s="767"/>
      <c r="C124" s="767"/>
      <c r="D124" s="767"/>
      <c r="E124" s="767" t="s">
        <v>663</v>
      </c>
      <c r="F124" s="806" t="s">
        <v>1392</v>
      </c>
      <c r="G124" s="778"/>
      <c r="H124" s="808">
        <v>0</v>
      </c>
      <c r="I124" s="808">
        <v>0</v>
      </c>
      <c r="J124" s="808">
        <v>0</v>
      </c>
      <c r="K124" s="808">
        <v>0</v>
      </c>
      <c r="L124" s="808">
        <v>0</v>
      </c>
      <c r="M124" s="808">
        <v>0</v>
      </c>
      <c r="N124" s="808">
        <v>0</v>
      </c>
      <c r="O124" s="808">
        <v>0</v>
      </c>
      <c r="P124" s="772">
        <v>0</v>
      </c>
      <c r="Q124" s="774"/>
      <c r="R124" s="774">
        <v>101</v>
      </c>
      <c r="S124" s="774"/>
      <c r="T124" s="774"/>
      <c r="U124" s="774"/>
      <c r="V124" s="774"/>
    </row>
    <row r="125" spans="1:22" hidden="1">
      <c r="A125" s="786">
        <v>125</v>
      </c>
      <c r="B125" s="767"/>
      <c r="C125" s="767"/>
      <c r="D125" s="767"/>
      <c r="E125" s="767"/>
      <c r="F125" s="806"/>
      <c r="G125" s="778"/>
      <c r="H125" s="788">
        <v>198208466.88476759</v>
      </c>
      <c r="I125" s="788">
        <v>0</v>
      </c>
      <c r="J125" s="788">
        <v>52501064.115579374</v>
      </c>
      <c r="K125" s="788">
        <v>76247630.432145104</v>
      </c>
      <c r="L125" s="788">
        <v>29165516.596440308</v>
      </c>
      <c r="M125" s="788">
        <v>25129406.740602795</v>
      </c>
      <c r="N125" s="788">
        <v>15164849</v>
      </c>
      <c r="O125" s="788">
        <v>0</v>
      </c>
      <c r="P125" s="772">
        <v>0</v>
      </c>
      <c r="Q125" s="774"/>
      <c r="R125" s="774"/>
      <c r="S125" s="774"/>
      <c r="T125" s="774"/>
      <c r="U125" s="774"/>
      <c r="V125" s="774"/>
    </row>
    <row r="126" spans="1:22" hidden="1">
      <c r="A126" s="786">
        <v>126</v>
      </c>
      <c r="B126" s="767"/>
      <c r="C126" s="767"/>
      <c r="D126" s="767"/>
      <c r="E126" s="767"/>
      <c r="F126" s="806"/>
      <c r="G126" s="778"/>
      <c r="H126" s="788"/>
      <c r="I126" s="809"/>
      <c r="J126" s="788"/>
      <c r="K126" s="788"/>
      <c r="L126" s="788"/>
      <c r="M126" s="788"/>
      <c r="N126" s="788"/>
      <c r="O126" s="788"/>
      <c r="P126" s="772"/>
    </row>
    <row r="127" spans="1:22" hidden="1">
      <c r="A127" s="786">
        <v>127</v>
      </c>
      <c r="B127" s="767"/>
      <c r="C127" s="767" t="s">
        <v>664</v>
      </c>
      <c r="D127" s="775" t="s">
        <v>665</v>
      </c>
      <c r="E127" s="767"/>
      <c r="F127" s="806" t="s">
        <v>575</v>
      </c>
      <c r="G127" s="778"/>
      <c r="H127" s="788">
        <v>1800367.9700208607</v>
      </c>
      <c r="I127" s="788">
        <v>0</v>
      </c>
      <c r="J127" s="788">
        <v>0</v>
      </c>
      <c r="K127" s="788">
        <v>0</v>
      </c>
      <c r="L127" s="788">
        <v>0</v>
      </c>
      <c r="M127" s="788">
        <v>0</v>
      </c>
      <c r="N127" s="788">
        <v>0</v>
      </c>
      <c r="O127" s="788">
        <v>1800367.9700208607</v>
      </c>
      <c r="P127" s="772">
        <v>0</v>
      </c>
      <c r="Q127" s="774"/>
      <c r="R127" s="774"/>
      <c r="S127" s="774"/>
      <c r="T127" s="774"/>
      <c r="U127" s="774"/>
      <c r="V127" s="774"/>
    </row>
    <row r="128" spans="1:22" hidden="1">
      <c r="A128" s="786">
        <v>128</v>
      </c>
      <c r="B128" s="767"/>
      <c r="C128" s="767"/>
      <c r="D128" s="767"/>
      <c r="E128" s="767"/>
      <c r="F128" s="806"/>
      <c r="G128" s="778"/>
      <c r="H128" s="788"/>
      <c r="I128" s="788"/>
      <c r="J128" s="788"/>
      <c r="K128" s="788"/>
      <c r="L128" s="788"/>
      <c r="M128" s="788"/>
      <c r="N128" s="788"/>
      <c r="O128" s="788"/>
      <c r="P128" s="772"/>
    </row>
    <row r="129" spans="1:22" hidden="1">
      <c r="A129" s="786">
        <v>129</v>
      </c>
      <c r="B129" s="767"/>
      <c r="C129" s="767" t="s">
        <v>666</v>
      </c>
      <c r="D129" s="775" t="s">
        <v>667</v>
      </c>
      <c r="E129" s="767"/>
      <c r="F129" s="806" t="s">
        <v>575</v>
      </c>
      <c r="G129" s="778"/>
      <c r="H129" s="788">
        <v>0</v>
      </c>
      <c r="I129" s="788">
        <v>0</v>
      </c>
      <c r="J129" s="788">
        <v>0</v>
      </c>
      <c r="K129" s="788">
        <v>0</v>
      </c>
      <c r="L129" s="788">
        <v>0</v>
      </c>
      <c r="M129" s="788">
        <v>0</v>
      </c>
      <c r="N129" s="788">
        <v>0</v>
      </c>
      <c r="O129" s="788">
        <v>0</v>
      </c>
      <c r="P129" s="772">
        <v>0</v>
      </c>
      <c r="Q129" s="774"/>
      <c r="R129" s="774"/>
      <c r="S129" s="774"/>
      <c r="T129" s="774"/>
      <c r="U129" s="774"/>
      <c r="V129" s="774"/>
    </row>
    <row r="130" spans="1:22" hidden="1">
      <c r="A130" s="786">
        <v>130</v>
      </c>
      <c r="B130" s="767"/>
      <c r="C130" s="767"/>
      <c r="D130" s="767"/>
      <c r="E130" s="767"/>
      <c r="F130" s="806"/>
      <c r="G130" s="778"/>
      <c r="H130" s="788"/>
      <c r="I130" s="788"/>
      <c r="J130" s="788"/>
      <c r="K130" s="788"/>
      <c r="L130" s="788"/>
      <c r="M130" s="788"/>
      <c r="N130" s="788"/>
      <c r="O130" s="788"/>
      <c r="P130" s="772"/>
    </row>
    <row r="131" spans="1:22" hidden="1">
      <c r="A131" s="786">
        <v>131</v>
      </c>
      <c r="B131" s="767"/>
      <c r="C131" s="767" t="s">
        <v>668</v>
      </c>
      <c r="D131" s="775" t="s">
        <v>669</v>
      </c>
      <c r="E131" s="767"/>
      <c r="F131" s="806" t="s">
        <v>575</v>
      </c>
      <c r="G131" s="778"/>
      <c r="H131" s="788">
        <v>0</v>
      </c>
      <c r="I131" s="788">
        <v>0</v>
      </c>
      <c r="J131" s="788">
        <v>0</v>
      </c>
      <c r="K131" s="788">
        <v>0</v>
      </c>
      <c r="L131" s="788">
        <v>0</v>
      </c>
      <c r="M131" s="788">
        <v>0</v>
      </c>
      <c r="N131" s="788">
        <v>0</v>
      </c>
      <c r="O131" s="788">
        <v>0</v>
      </c>
      <c r="P131" s="772">
        <v>0</v>
      </c>
      <c r="Q131" s="774"/>
      <c r="R131" s="774">
        <v>114</v>
      </c>
      <c r="S131" s="774"/>
      <c r="T131" s="774"/>
      <c r="U131" s="774"/>
      <c r="V131" s="774"/>
    </row>
    <row r="132" spans="1:22" hidden="1">
      <c r="A132" s="786">
        <v>132</v>
      </c>
      <c r="B132" s="767"/>
      <c r="C132" s="767"/>
      <c r="D132" s="767"/>
      <c r="E132" s="767" t="s">
        <v>210</v>
      </c>
      <c r="F132" s="806" t="s">
        <v>1392</v>
      </c>
      <c r="G132" s="778"/>
      <c r="H132" s="788">
        <v>0</v>
      </c>
      <c r="I132" s="788">
        <v>0</v>
      </c>
      <c r="J132" s="788">
        <v>0</v>
      </c>
      <c r="K132" s="788">
        <v>0</v>
      </c>
      <c r="L132" s="788">
        <v>0</v>
      </c>
      <c r="M132" s="788">
        <v>0</v>
      </c>
      <c r="N132" s="788">
        <v>0</v>
      </c>
      <c r="O132" s="788">
        <v>0</v>
      </c>
      <c r="P132" s="772">
        <v>0</v>
      </c>
      <c r="Q132" s="774"/>
      <c r="R132" s="774">
        <v>115</v>
      </c>
      <c r="S132" s="774"/>
      <c r="T132" s="774"/>
      <c r="U132" s="774"/>
      <c r="V132" s="774"/>
    </row>
    <row r="133" spans="1:22" hidden="1">
      <c r="A133" s="786">
        <v>133</v>
      </c>
      <c r="B133" s="767"/>
      <c r="C133" s="767"/>
      <c r="D133" s="767"/>
      <c r="E133" s="767"/>
      <c r="F133" s="806"/>
      <c r="G133" s="778"/>
      <c r="H133" s="788">
        <v>0</v>
      </c>
      <c r="I133" s="788">
        <v>0</v>
      </c>
      <c r="J133" s="788">
        <v>0</v>
      </c>
      <c r="K133" s="788">
        <v>0</v>
      </c>
      <c r="L133" s="788">
        <v>0</v>
      </c>
      <c r="M133" s="788">
        <v>0</v>
      </c>
      <c r="N133" s="788">
        <v>0</v>
      </c>
      <c r="O133" s="788">
        <v>0</v>
      </c>
      <c r="P133" s="772">
        <v>0</v>
      </c>
      <c r="Q133" s="774"/>
      <c r="R133" s="774"/>
      <c r="S133" s="774"/>
      <c r="T133" s="774"/>
      <c r="U133" s="774"/>
      <c r="V133" s="774"/>
    </row>
    <row r="134" spans="1:22" hidden="1">
      <c r="A134" s="786">
        <v>134</v>
      </c>
      <c r="B134" s="767"/>
      <c r="C134" s="767"/>
      <c r="D134" s="767"/>
      <c r="E134" s="767"/>
      <c r="F134" s="806"/>
      <c r="G134" s="778"/>
      <c r="H134" s="788"/>
      <c r="I134" s="788"/>
      <c r="J134" s="788"/>
      <c r="K134" s="788"/>
      <c r="L134" s="788"/>
      <c r="M134" s="788"/>
      <c r="N134" s="788"/>
      <c r="O134" s="788"/>
      <c r="P134" s="772"/>
    </row>
    <row r="135" spans="1:22" hidden="1">
      <c r="A135" s="786">
        <v>135</v>
      </c>
      <c r="B135" s="767"/>
      <c r="C135" s="767" t="s">
        <v>670</v>
      </c>
      <c r="D135" s="767"/>
      <c r="E135" s="767"/>
      <c r="F135" s="806"/>
      <c r="G135" s="778"/>
      <c r="H135" s="788">
        <v>348293800.15478849</v>
      </c>
      <c r="I135" s="788">
        <v>148284965.30000001</v>
      </c>
      <c r="J135" s="788">
        <v>52501064.115579374</v>
      </c>
      <c r="K135" s="788">
        <v>76247630.432145104</v>
      </c>
      <c r="L135" s="788">
        <v>29165516.596440308</v>
      </c>
      <c r="M135" s="788">
        <v>25129406.740602795</v>
      </c>
      <c r="N135" s="788">
        <v>15164849</v>
      </c>
      <c r="O135" s="788">
        <v>1800367.9700208607</v>
      </c>
      <c r="P135" s="772">
        <v>0</v>
      </c>
      <c r="Q135" s="774"/>
      <c r="R135" s="774"/>
      <c r="S135" s="774"/>
      <c r="T135" s="774"/>
      <c r="U135" s="774"/>
      <c r="V135" s="774"/>
    </row>
    <row r="136" spans="1:22" hidden="1">
      <c r="A136" s="786">
        <v>136</v>
      </c>
      <c r="B136" s="767"/>
      <c r="C136" s="767"/>
      <c r="D136" s="767"/>
      <c r="E136" s="767"/>
      <c r="F136" s="806"/>
      <c r="G136" s="778"/>
      <c r="H136" s="788"/>
      <c r="I136" s="788"/>
      <c r="J136" s="788"/>
      <c r="K136" s="788"/>
      <c r="L136" s="788"/>
      <c r="M136" s="788"/>
      <c r="N136" s="788"/>
      <c r="O136" s="788"/>
      <c r="P136" s="772"/>
      <c r="Q136" s="774"/>
      <c r="R136" s="774"/>
      <c r="S136" s="774"/>
      <c r="T136" s="774"/>
      <c r="U136" s="774"/>
      <c r="V136" s="774"/>
    </row>
    <row r="137" spans="1:22" hidden="1">
      <c r="A137" s="786">
        <v>137</v>
      </c>
      <c r="B137" s="767"/>
      <c r="C137" s="767" t="s">
        <v>671</v>
      </c>
      <c r="D137" s="767" t="s">
        <v>672</v>
      </c>
      <c r="E137" s="767"/>
      <c r="F137" s="806" t="s">
        <v>1392</v>
      </c>
      <c r="G137" s="778"/>
      <c r="H137" s="788">
        <v>0</v>
      </c>
      <c r="I137" s="788">
        <v>0</v>
      </c>
      <c r="J137" s="788">
        <v>0</v>
      </c>
      <c r="K137" s="788">
        <v>0</v>
      </c>
      <c r="L137" s="788">
        <v>0</v>
      </c>
      <c r="M137" s="788">
        <v>0</v>
      </c>
      <c r="N137" s="788">
        <v>0</v>
      </c>
      <c r="O137" s="788">
        <v>0</v>
      </c>
      <c r="P137" s="772">
        <v>0</v>
      </c>
      <c r="Q137" s="774"/>
      <c r="R137" s="774">
        <v>121</v>
      </c>
      <c r="S137" s="774"/>
      <c r="T137" s="774"/>
      <c r="U137" s="774"/>
      <c r="V137" s="774"/>
    </row>
    <row r="138" spans="1:22" hidden="1">
      <c r="A138" s="786">
        <v>138</v>
      </c>
      <c r="B138" s="767"/>
      <c r="C138" s="767"/>
      <c r="D138" s="767"/>
      <c r="E138" s="767"/>
      <c r="F138" s="806"/>
      <c r="G138" s="778"/>
      <c r="H138" s="788">
        <v>0</v>
      </c>
      <c r="I138" s="788">
        <v>0</v>
      </c>
      <c r="J138" s="788">
        <v>0</v>
      </c>
      <c r="K138" s="788">
        <v>0</v>
      </c>
      <c r="L138" s="788">
        <v>0</v>
      </c>
      <c r="M138" s="788">
        <v>0</v>
      </c>
      <c r="N138" s="788">
        <v>0</v>
      </c>
      <c r="O138" s="788">
        <v>0</v>
      </c>
      <c r="P138" s="772">
        <v>0</v>
      </c>
      <c r="Q138" s="774"/>
      <c r="R138" s="774"/>
      <c r="S138" s="774"/>
      <c r="T138" s="774"/>
      <c r="U138" s="774"/>
      <c r="V138" s="774"/>
    </row>
    <row r="139" spans="1:22" hidden="1">
      <c r="A139" s="786">
        <v>139</v>
      </c>
      <c r="B139" s="767"/>
      <c r="C139" s="767"/>
      <c r="D139" s="767"/>
      <c r="E139" s="767"/>
      <c r="F139" s="806"/>
      <c r="G139" s="778"/>
      <c r="H139" s="788"/>
      <c r="I139" s="788"/>
      <c r="J139" s="788"/>
      <c r="K139" s="788"/>
      <c r="L139" s="788"/>
      <c r="M139" s="788"/>
      <c r="N139" s="788"/>
      <c r="O139" s="788"/>
      <c r="P139" s="772"/>
      <c r="Q139" s="774"/>
      <c r="R139" s="774"/>
      <c r="S139" s="774"/>
      <c r="T139" s="774"/>
      <c r="U139" s="774"/>
      <c r="V139" s="774"/>
    </row>
    <row r="140" spans="1:22" hidden="1">
      <c r="A140" s="786">
        <v>140</v>
      </c>
      <c r="B140" s="767"/>
      <c r="C140" s="767" t="s">
        <v>673</v>
      </c>
      <c r="D140" s="767" t="s">
        <v>674</v>
      </c>
      <c r="E140" s="767"/>
      <c r="F140" s="806"/>
      <c r="G140" s="778"/>
      <c r="H140" s="788"/>
      <c r="I140" s="788"/>
      <c r="J140" s="788"/>
      <c r="K140" s="788"/>
      <c r="L140" s="788"/>
      <c r="M140" s="788"/>
      <c r="N140" s="788"/>
      <c r="O140" s="788"/>
      <c r="P140" s="772"/>
      <c r="Q140" s="774"/>
      <c r="R140" s="774"/>
      <c r="S140" s="774"/>
      <c r="T140" s="774"/>
      <c r="U140" s="774"/>
      <c r="V140" s="774"/>
    </row>
    <row r="141" spans="1:22" hidden="1">
      <c r="A141" s="786">
        <v>141</v>
      </c>
      <c r="B141" s="767"/>
      <c r="C141" s="767"/>
      <c r="D141" s="767"/>
      <c r="E141" s="767" t="s">
        <v>210</v>
      </c>
      <c r="F141" s="806" t="s">
        <v>1392</v>
      </c>
      <c r="G141" s="778"/>
      <c r="H141" s="788">
        <v>2169634.9191681296</v>
      </c>
      <c r="I141" s="788">
        <v>907449.20950821228</v>
      </c>
      <c r="J141" s="788">
        <v>289942.65610159264</v>
      </c>
      <c r="K141" s="788">
        <v>492037.85306204547</v>
      </c>
      <c r="L141" s="788">
        <v>200581.60696791814</v>
      </c>
      <c r="M141" s="788">
        <v>189695.56941846522</v>
      </c>
      <c r="N141" s="788">
        <v>86436.51366129097</v>
      </c>
      <c r="O141" s="788">
        <v>3491.5104486050468</v>
      </c>
      <c r="P141" s="772"/>
      <c r="Q141" s="774"/>
      <c r="R141" s="774">
        <v>128</v>
      </c>
      <c r="S141" s="774"/>
      <c r="T141" s="774"/>
      <c r="U141" s="774"/>
      <c r="V141" s="774"/>
    </row>
    <row r="142" spans="1:22" hidden="1">
      <c r="A142" s="786">
        <v>142</v>
      </c>
      <c r="B142" s="767"/>
      <c r="C142" s="767"/>
      <c r="D142" s="767"/>
      <c r="E142" s="767" t="s">
        <v>180</v>
      </c>
      <c r="F142" s="806" t="s">
        <v>1392</v>
      </c>
      <c r="G142" s="778"/>
      <c r="H142" s="788">
        <v>0</v>
      </c>
      <c r="I142" s="788">
        <v>0</v>
      </c>
      <c r="J142" s="788">
        <v>0</v>
      </c>
      <c r="K142" s="788">
        <v>0</v>
      </c>
      <c r="L142" s="788">
        <v>0</v>
      </c>
      <c r="M142" s="788">
        <v>0</v>
      </c>
      <c r="N142" s="788">
        <v>0</v>
      </c>
      <c r="O142" s="788">
        <v>0</v>
      </c>
      <c r="P142" s="772">
        <v>0</v>
      </c>
      <c r="Q142" s="774"/>
      <c r="R142" s="774">
        <v>127</v>
      </c>
      <c r="S142" s="774"/>
      <c r="T142" s="774"/>
      <c r="U142" s="774"/>
      <c r="V142" s="774"/>
    </row>
    <row r="143" spans="1:22" hidden="1">
      <c r="A143" s="786">
        <v>143</v>
      </c>
      <c r="B143" s="767"/>
      <c r="C143" s="767"/>
      <c r="D143" s="767"/>
      <c r="E143" s="767"/>
      <c r="F143" s="806"/>
      <c r="G143" s="778"/>
      <c r="H143" s="788">
        <v>2169634.9191681296</v>
      </c>
      <c r="I143" s="788">
        <v>907449.20950821228</v>
      </c>
      <c r="J143" s="788">
        <v>289942.65610159264</v>
      </c>
      <c r="K143" s="788">
        <v>492037.85306204547</v>
      </c>
      <c r="L143" s="788">
        <v>200581.60696791814</v>
      </c>
      <c r="M143" s="788">
        <v>189695.56941846522</v>
      </c>
      <c r="N143" s="788">
        <v>86436.51366129097</v>
      </c>
      <c r="O143" s="788">
        <v>3491.5104486050468</v>
      </c>
      <c r="P143" s="772">
        <v>0</v>
      </c>
      <c r="Q143" s="774"/>
      <c r="R143" s="774"/>
      <c r="S143" s="774"/>
      <c r="T143" s="774"/>
      <c r="U143" s="774"/>
      <c r="V143" s="774"/>
    </row>
    <row r="144" spans="1:22" hidden="1">
      <c r="A144" s="786">
        <v>144</v>
      </c>
      <c r="B144" s="767"/>
      <c r="C144" s="767"/>
      <c r="D144" s="767"/>
      <c r="E144" s="767"/>
      <c r="F144" s="806"/>
      <c r="G144" s="778"/>
      <c r="H144" s="810"/>
      <c r="I144" s="810"/>
      <c r="J144" s="810"/>
      <c r="K144" s="810"/>
      <c r="L144" s="810"/>
      <c r="M144" s="810"/>
      <c r="N144" s="810"/>
      <c r="O144" s="810"/>
      <c r="P144" s="772"/>
      <c r="R144" s="774"/>
    </row>
    <row r="145" spans="1:22" hidden="1">
      <c r="A145" s="786">
        <v>145</v>
      </c>
      <c r="B145" s="767"/>
      <c r="C145" s="767" t="s">
        <v>675</v>
      </c>
      <c r="D145" s="767" t="s">
        <v>676</v>
      </c>
      <c r="E145" s="767"/>
      <c r="F145" s="806" t="s">
        <v>1393</v>
      </c>
      <c r="G145" s="778"/>
      <c r="H145" s="788">
        <v>0</v>
      </c>
      <c r="I145" s="788">
        <v>0</v>
      </c>
      <c r="J145" s="788">
        <v>0</v>
      </c>
      <c r="K145" s="788">
        <v>0</v>
      </c>
      <c r="L145" s="788">
        <v>0</v>
      </c>
      <c r="M145" s="788">
        <v>0</v>
      </c>
      <c r="N145" s="788">
        <v>0</v>
      </c>
      <c r="O145" s="788">
        <v>0</v>
      </c>
      <c r="P145" s="772">
        <v>0</v>
      </c>
      <c r="Q145" s="774"/>
      <c r="R145" s="774">
        <v>133</v>
      </c>
      <c r="S145" s="774"/>
      <c r="T145" s="774"/>
      <c r="U145" s="774"/>
      <c r="V145" s="774"/>
    </row>
    <row r="146" spans="1:22" hidden="1">
      <c r="A146" s="786">
        <v>146</v>
      </c>
      <c r="B146" s="767"/>
      <c r="C146" s="767"/>
      <c r="D146" s="767"/>
      <c r="E146" s="767"/>
      <c r="F146" s="806" t="s">
        <v>1392</v>
      </c>
      <c r="G146" s="778"/>
      <c r="H146" s="788">
        <v>0</v>
      </c>
      <c r="I146" s="788">
        <v>0</v>
      </c>
      <c r="J146" s="788">
        <v>0</v>
      </c>
      <c r="K146" s="788">
        <v>0</v>
      </c>
      <c r="L146" s="788">
        <v>0</v>
      </c>
      <c r="M146" s="788">
        <v>0</v>
      </c>
      <c r="N146" s="788">
        <v>0</v>
      </c>
      <c r="O146" s="788">
        <v>0</v>
      </c>
      <c r="P146" s="772"/>
      <c r="Q146" s="774"/>
      <c r="R146" s="774">
        <v>134</v>
      </c>
      <c r="S146" s="774"/>
      <c r="T146" s="774"/>
      <c r="U146" s="774"/>
      <c r="V146" s="774"/>
    </row>
    <row r="147" spans="1:22" hidden="1">
      <c r="A147" s="786">
        <v>147</v>
      </c>
      <c r="B147" s="767"/>
      <c r="C147" s="767"/>
      <c r="D147" s="767"/>
      <c r="E147" s="767"/>
      <c r="F147" s="806"/>
      <c r="G147" s="778"/>
      <c r="H147" s="788"/>
      <c r="I147" s="788"/>
      <c r="J147" s="788"/>
      <c r="K147" s="788"/>
      <c r="L147" s="788"/>
      <c r="M147" s="788"/>
      <c r="N147" s="788"/>
      <c r="O147" s="788"/>
      <c r="P147" s="772"/>
      <c r="R147" s="774"/>
    </row>
    <row r="148" spans="1:22" hidden="1">
      <c r="A148" s="786">
        <v>148</v>
      </c>
      <c r="B148" s="767"/>
      <c r="C148" s="767" t="s">
        <v>677</v>
      </c>
      <c r="D148" s="767"/>
      <c r="E148" s="767"/>
      <c r="F148" s="806" t="s">
        <v>1394</v>
      </c>
      <c r="G148" s="778"/>
      <c r="H148" s="788">
        <v>17550906.684273135</v>
      </c>
      <c r="I148" s="788">
        <v>7888628.3792942017</v>
      </c>
      <c r="J148" s="788">
        <v>2406574.7858045236</v>
      </c>
      <c r="K148" s="788">
        <v>3669547.7596842088</v>
      </c>
      <c r="L148" s="788">
        <v>1486375.5022068121</v>
      </c>
      <c r="M148" s="788">
        <v>1326887.2132955729</v>
      </c>
      <c r="N148" s="788">
        <v>714072.45100864279</v>
      </c>
      <c r="O148" s="788">
        <v>58820.592979173991</v>
      </c>
      <c r="P148" s="772">
        <v>0</v>
      </c>
      <c r="R148" s="774">
        <v>136</v>
      </c>
      <c r="S148" s="774"/>
      <c r="T148" s="774"/>
      <c r="U148" s="774"/>
      <c r="V148" s="774"/>
    </row>
    <row r="149" spans="1:22" hidden="1">
      <c r="A149" s="786">
        <v>149</v>
      </c>
      <c r="B149" s="767"/>
      <c r="C149" s="767"/>
      <c r="D149" s="767"/>
      <c r="E149" s="767"/>
      <c r="F149" s="806"/>
      <c r="G149" s="778"/>
      <c r="H149" s="810"/>
      <c r="I149" s="810"/>
      <c r="J149" s="810"/>
      <c r="K149" s="810"/>
      <c r="L149" s="810"/>
      <c r="M149" s="810"/>
      <c r="N149" s="810"/>
      <c r="O149" s="810"/>
      <c r="P149" s="772"/>
      <c r="R149" s="774"/>
    </row>
    <row r="150" spans="1:22" hidden="1">
      <c r="A150" s="786">
        <v>150</v>
      </c>
      <c r="B150" s="767"/>
      <c r="C150" s="767" t="s">
        <v>678</v>
      </c>
      <c r="D150" s="767"/>
      <c r="E150" s="767"/>
      <c r="F150" s="806" t="s">
        <v>575</v>
      </c>
      <c r="G150" s="811"/>
      <c r="H150" s="788">
        <v>727804.67</v>
      </c>
      <c r="I150" s="788">
        <v>1788</v>
      </c>
      <c r="J150" s="788">
        <v>179372</v>
      </c>
      <c r="K150" s="788">
        <v>254560</v>
      </c>
      <c r="L150" s="788">
        <v>62974</v>
      </c>
      <c r="M150" s="788">
        <v>16850</v>
      </c>
      <c r="N150" s="788">
        <v>210968.67</v>
      </c>
      <c r="O150" s="788">
        <v>1292</v>
      </c>
      <c r="P150" s="772">
        <v>0</v>
      </c>
      <c r="R150" s="774">
        <v>137</v>
      </c>
    </row>
    <row r="151" spans="1:22" hidden="1">
      <c r="A151" s="786">
        <v>151</v>
      </c>
      <c r="B151" s="767"/>
      <c r="C151" s="767"/>
      <c r="D151" s="767"/>
      <c r="E151" s="767"/>
      <c r="F151" s="806"/>
      <c r="G151" s="778"/>
      <c r="H151" s="810"/>
      <c r="I151" s="810"/>
      <c r="J151" s="810"/>
      <c r="K151" s="810"/>
      <c r="L151" s="810"/>
      <c r="M151" s="810"/>
      <c r="N151" s="810"/>
      <c r="O151" s="810"/>
      <c r="P151" s="772"/>
      <c r="R151" s="774"/>
    </row>
    <row r="152" spans="1:22" hidden="1">
      <c r="A152" s="786">
        <v>152</v>
      </c>
      <c r="B152" s="767"/>
      <c r="C152" s="767" t="s">
        <v>679</v>
      </c>
      <c r="D152" s="767"/>
      <c r="E152" s="767"/>
      <c r="F152" s="806"/>
      <c r="G152" s="778"/>
      <c r="H152" s="788">
        <v>368742146.42822975</v>
      </c>
      <c r="I152" s="788">
        <v>157082830.88880241</v>
      </c>
      <c r="J152" s="788">
        <v>55376953.557485491</v>
      </c>
      <c r="K152" s="788">
        <v>80663776.044891357</v>
      </c>
      <c r="L152" s="788">
        <v>30915447.70561504</v>
      </c>
      <c r="M152" s="788">
        <v>26662839.52331683</v>
      </c>
      <c r="N152" s="788">
        <v>16176326.634669933</v>
      </c>
      <c r="O152" s="788">
        <v>1863972.0734486398</v>
      </c>
      <c r="P152" s="772">
        <v>0</v>
      </c>
      <c r="R152" s="774"/>
      <c r="S152" s="774"/>
      <c r="T152" s="774"/>
      <c r="U152" s="774"/>
      <c r="V152" s="774"/>
    </row>
    <row r="153" spans="1:22" hidden="1">
      <c r="A153" s="786">
        <v>153</v>
      </c>
      <c r="B153" s="767"/>
      <c r="F153" s="806"/>
      <c r="H153" s="812"/>
      <c r="I153" s="812"/>
      <c r="J153" s="812"/>
      <c r="K153" s="812"/>
      <c r="L153" s="812"/>
      <c r="M153" s="812"/>
      <c r="N153" s="812"/>
      <c r="O153" s="812"/>
      <c r="P153" s="772"/>
      <c r="R153" s="774"/>
    </row>
    <row r="154" spans="1:22" hidden="1">
      <c r="A154" s="786">
        <v>154</v>
      </c>
      <c r="B154" s="767"/>
      <c r="C154" s="767" t="s">
        <v>680</v>
      </c>
      <c r="D154" s="767"/>
      <c r="E154" s="767"/>
      <c r="F154" s="806"/>
      <c r="G154" s="778"/>
      <c r="H154" s="812"/>
      <c r="I154" s="812"/>
      <c r="J154" s="812"/>
      <c r="K154" s="812"/>
      <c r="L154" s="812"/>
      <c r="M154" s="812"/>
      <c r="N154" s="812"/>
      <c r="O154" s="812"/>
      <c r="P154" s="772"/>
      <c r="R154" s="774"/>
    </row>
    <row r="155" spans="1:22" hidden="1">
      <c r="A155" s="786">
        <v>155</v>
      </c>
      <c r="B155" s="767"/>
      <c r="C155" s="767" t="s">
        <v>681</v>
      </c>
      <c r="D155" s="767" t="s">
        <v>682</v>
      </c>
      <c r="E155" s="767"/>
      <c r="F155" s="806" t="s">
        <v>575</v>
      </c>
      <c r="G155" s="811"/>
      <c r="H155" s="788">
        <v>742400.88</v>
      </c>
      <c r="I155" s="788">
        <v>583739.09944320482</v>
      </c>
      <c r="J155" s="788">
        <v>58832.783280378128</v>
      </c>
      <c r="K155" s="788">
        <v>69692.231261188572</v>
      </c>
      <c r="L155" s="788">
        <v>17584.411129177926</v>
      </c>
      <c r="M155" s="788">
        <v>5281.6704036536412</v>
      </c>
      <c r="N155" s="788">
        <v>3187.3308815429364</v>
      </c>
      <c r="O155" s="788">
        <v>4083.3536008539536</v>
      </c>
      <c r="P155" s="772">
        <v>0</v>
      </c>
      <c r="Q155" s="774"/>
      <c r="R155" s="774">
        <v>143</v>
      </c>
      <c r="S155" s="774"/>
      <c r="T155" s="774"/>
      <c r="U155" s="774"/>
      <c r="V155" s="774"/>
    </row>
    <row r="156" spans="1:22" hidden="1">
      <c r="A156" s="786">
        <v>156</v>
      </c>
      <c r="B156" s="767"/>
      <c r="C156" s="767"/>
      <c r="D156" s="767"/>
      <c r="E156" s="767" t="s">
        <v>18</v>
      </c>
      <c r="F156" s="806" t="s">
        <v>1395</v>
      </c>
      <c r="G156" s="778"/>
      <c r="H156" s="788">
        <v>0</v>
      </c>
      <c r="I156" s="788">
        <v>0</v>
      </c>
      <c r="J156" s="788">
        <v>0</v>
      </c>
      <c r="K156" s="788">
        <v>0</v>
      </c>
      <c r="L156" s="788">
        <v>0</v>
      </c>
      <c r="M156" s="788">
        <v>0</v>
      </c>
      <c r="N156" s="788">
        <v>0</v>
      </c>
      <c r="O156" s="788">
        <v>0</v>
      </c>
      <c r="P156" s="772">
        <v>0</v>
      </c>
      <c r="Q156" s="774"/>
      <c r="R156" s="774">
        <v>144</v>
      </c>
      <c r="S156" s="774"/>
      <c r="T156" s="774"/>
      <c r="U156" s="774"/>
      <c r="V156" s="774"/>
    </row>
    <row r="157" spans="1:22" hidden="1">
      <c r="A157" s="786">
        <v>157</v>
      </c>
      <c r="B157" s="767"/>
      <c r="C157" s="767"/>
      <c r="D157" s="767"/>
      <c r="E157" s="767"/>
      <c r="F157" s="806"/>
      <c r="G157" s="778"/>
      <c r="H157" s="788">
        <v>742400.88</v>
      </c>
      <c r="I157" s="788">
        <v>583739.09944320482</v>
      </c>
      <c r="J157" s="788">
        <v>58832.783280378128</v>
      </c>
      <c r="K157" s="788">
        <v>69692.231261188572</v>
      </c>
      <c r="L157" s="788">
        <v>17584.411129177926</v>
      </c>
      <c r="M157" s="788">
        <v>5281.6704036536412</v>
      </c>
      <c r="N157" s="788">
        <v>3187.3308815429364</v>
      </c>
      <c r="O157" s="788">
        <v>4083.3536008539536</v>
      </c>
      <c r="P157" s="772">
        <v>0</v>
      </c>
      <c r="Q157" s="774"/>
      <c r="R157" s="774"/>
      <c r="S157" s="774"/>
      <c r="T157" s="774"/>
      <c r="U157" s="774"/>
      <c r="V157" s="774"/>
    </row>
    <row r="158" spans="1:22" hidden="1">
      <c r="A158" s="786">
        <v>158</v>
      </c>
      <c r="B158" s="767"/>
      <c r="C158" s="767"/>
      <c r="D158" s="767"/>
      <c r="E158" s="767"/>
      <c r="F158" s="806"/>
      <c r="G158" s="778"/>
      <c r="H158" s="812"/>
      <c r="I158" s="812"/>
      <c r="J158" s="812"/>
      <c r="K158" s="812"/>
      <c r="L158" s="812"/>
      <c r="M158" s="812"/>
      <c r="N158" s="812"/>
      <c r="O158" s="812"/>
      <c r="P158" s="772"/>
      <c r="R158" s="774"/>
    </row>
    <row r="159" spans="1:22" hidden="1">
      <c r="A159" s="786">
        <v>159</v>
      </c>
      <c r="B159" s="767"/>
      <c r="C159" s="767" t="s">
        <v>683</v>
      </c>
      <c r="D159" s="767" t="s">
        <v>684</v>
      </c>
      <c r="E159" s="767"/>
      <c r="F159" s="806" t="s">
        <v>575</v>
      </c>
      <c r="G159" s="811"/>
      <c r="H159" s="788">
        <v>-267855.57158807392</v>
      </c>
      <c r="I159" s="788">
        <v>-210946.30427412206</v>
      </c>
      <c r="J159" s="788">
        <v>-39000.692150149713</v>
      </c>
      <c r="K159" s="788">
        <v>-2105.9733794715048</v>
      </c>
      <c r="L159" s="788">
        <v>-126.18313112263968</v>
      </c>
      <c r="M159" s="788">
        <v>-1.9570171904815452</v>
      </c>
      <c r="N159" s="788">
        <v>-10050.646569636974</v>
      </c>
      <c r="O159" s="788">
        <v>-5623.815066380469</v>
      </c>
      <c r="P159" s="772">
        <v>0</v>
      </c>
      <c r="Q159" s="774"/>
      <c r="R159" s="774">
        <v>148</v>
      </c>
      <c r="S159" s="774"/>
      <c r="T159" s="774"/>
      <c r="U159" s="774"/>
      <c r="V159" s="774"/>
    </row>
    <row r="160" spans="1:22" hidden="1">
      <c r="A160" s="786">
        <v>160</v>
      </c>
      <c r="B160" s="767"/>
      <c r="C160" s="767"/>
      <c r="D160" s="767"/>
      <c r="E160" s="767" t="s">
        <v>210</v>
      </c>
      <c r="F160" s="806" t="s">
        <v>1392</v>
      </c>
      <c r="G160" s="778"/>
      <c r="H160" s="788">
        <v>0</v>
      </c>
      <c r="I160" s="788">
        <v>0</v>
      </c>
      <c r="J160" s="788">
        <v>0</v>
      </c>
      <c r="K160" s="788">
        <v>0</v>
      </c>
      <c r="L160" s="788">
        <v>0</v>
      </c>
      <c r="M160" s="788">
        <v>0</v>
      </c>
      <c r="N160" s="788">
        <v>0</v>
      </c>
      <c r="O160" s="788">
        <v>0</v>
      </c>
      <c r="P160" s="772">
        <v>0</v>
      </c>
      <c r="Q160" s="774"/>
      <c r="R160" s="774">
        <v>149</v>
      </c>
      <c r="S160" s="774"/>
      <c r="T160" s="774"/>
      <c r="U160" s="774"/>
      <c r="V160" s="774"/>
    </row>
    <row r="161" spans="1:22" hidden="1">
      <c r="A161" s="786">
        <v>161</v>
      </c>
      <c r="B161" s="767"/>
      <c r="C161" s="767"/>
      <c r="D161" s="767"/>
      <c r="E161" s="767" t="s">
        <v>7</v>
      </c>
      <c r="F161" s="806" t="s">
        <v>1395</v>
      </c>
      <c r="G161" s="778"/>
      <c r="H161" s="788">
        <v>2341.0809808290355</v>
      </c>
      <c r="I161" s="788">
        <v>1843.6890372838152</v>
      </c>
      <c r="J161" s="788">
        <v>340.8694397901001</v>
      </c>
      <c r="K161" s="788">
        <v>18.406390412498354</v>
      </c>
      <c r="L161" s="788">
        <v>1.102851535330247</v>
      </c>
      <c r="M161" s="788">
        <v>1.7104500371706331E-2</v>
      </c>
      <c r="N161" s="788">
        <v>87.843524738760181</v>
      </c>
      <c r="O161" s="788">
        <v>49.152632568160094</v>
      </c>
      <c r="P161" s="772">
        <v>0</v>
      </c>
      <c r="Q161" s="774"/>
      <c r="R161" s="774">
        <v>150</v>
      </c>
      <c r="S161" s="774"/>
      <c r="T161" s="774"/>
      <c r="U161" s="774"/>
      <c r="V161" s="774"/>
    </row>
    <row r="162" spans="1:22" hidden="1">
      <c r="A162" s="786">
        <v>162</v>
      </c>
      <c r="B162" s="767"/>
      <c r="C162" s="767"/>
      <c r="D162" s="767"/>
      <c r="E162" s="767"/>
      <c r="F162" s="806"/>
      <c r="G162" s="778"/>
      <c r="H162" s="788">
        <v>-265514.49060724484</v>
      </c>
      <c r="I162" s="788">
        <v>-209102.61523683823</v>
      </c>
      <c r="J162" s="788">
        <v>-38659.822710359615</v>
      </c>
      <c r="K162" s="788">
        <v>-2087.5669890590061</v>
      </c>
      <c r="L162" s="788">
        <v>-125.08027958730943</v>
      </c>
      <c r="M162" s="788">
        <v>-1.9399126901098389</v>
      </c>
      <c r="N162" s="788">
        <v>-9962.8030448982154</v>
      </c>
      <c r="O162" s="788">
        <v>-5574.6624338123092</v>
      </c>
      <c r="P162" s="772">
        <v>0</v>
      </c>
      <c r="Q162" s="774"/>
      <c r="R162" s="774"/>
      <c r="S162" s="774"/>
      <c r="T162" s="774"/>
      <c r="U162" s="774"/>
      <c r="V162" s="774"/>
    </row>
    <row r="163" spans="1:22" hidden="1">
      <c r="A163" s="786">
        <v>163</v>
      </c>
      <c r="B163" s="767"/>
      <c r="C163" s="767"/>
      <c r="D163" s="767"/>
      <c r="E163" s="767"/>
      <c r="F163" s="806"/>
      <c r="G163" s="778"/>
      <c r="H163" s="812"/>
      <c r="I163" s="812"/>
      <c r="J163" s="812"/>
      <c r="K163" s="812"/>
      <c r="L163" s="812"/>
      <c r="M163" s="812"/>
      <c r="N163" s="812"/>
      <c r="O163" s="812"/>
      <c r="P163" s="772"/>
      <c r="R163" s="774"/>
    </row>
    <row r="164" spans="1:22" hidden="1">
      <c r="A164" s="786">
        <v>164</v>
      </c>
      <c r="B164" s="767"/>
      <c r="C164" s="767" t="s">
        <v>685</v>
      </c>
      <c r="D164" s="767" t="s">
        <v>686</v>
      </c>
      <c r="E164" s="767"/>
      <c r="F164" s="806" t="s">
        <v>1396</v>
      </c>
      <c r="G164" s="778"/>
      <c r="H164" s="788">
        <v>2851.8230431369025</v>
      </c>
      <c r="I164" s="788">
        <v>1272.6008816292565</v>
      </c>
      <c r="J164" s="788">
        <v>378.52957104070384</v>
      </c>
      <c r="K164" s="788">
        <v>606.0468092135801</v>
      </c>
      <c r="L164" s="788">
        <v>245.3996639862886</v>
      </c>
      <c r="M164" s="788">
        <v>240.77833005193949</v>
      </c>
      <c r="N164" s="788">
        <v>105.15058956914419</v>
      </c>
      <c r="O164" s="788">
        <v>3.3171976459902335</v>
      </c>
      <c r="P164" s="772">
        <v>0</v>
      </c>
      <c r="Q164" s="774"/>
      <c r="R164" s="774">
        <v>154</v>
      </c>
      <c r="S164" s="774"/>
      <c r="T164" s="774"/>
      <c r="U164" s="774"/>
      <c r="V164" s="774"/>
    </row>
    <row r="165" spans="1:22" hidden="1">
      <c r="A165" s="786">
        <v>165</v>
      </c>
      <c r="B165" s="767"/>
      <c r="F165" s="806"/>
      <c r="G165" s="778"/>
      <c r="H165" s="812"/>
      <c r="I165" s="812"/>
      <c r="J165" s="812"/>
      <c r="K165" s="812"/>
      <c r="L165" s="812"/>
      <c r="M165" s="812"/>
      <c r="N165" s="812"/>
      <c r="O165" s="812"/>
      <c r="P165" s="772"/>
      <c r="R165" s="774"/>
    </row>
    <row r="166" spans="1:22" hidden="1">
      <c r="A166" s="786">
        <v>166</v>
      </c>
      <c r="B166" s="767"/>
      <c r="C166" s="767" t="s">
        <v>687</v>
      </c>
      <c r="D166" s="767" t="s">
        <v>688</v>
      </c>
      <c r="F166" s="806" t="s">
        <v>575</v>
      </c>
      <c r="G166" s="811"/>
      <c r="H166" s="788">
        <v>728890.5</v>
      </c>
      <c r="I166" s="788">
        <v>311645.99405413185</v>
      </c>
      <c r="J166" s="788">
        <v>95175.936856229353</v>
      </c>
      <c r="K166" s="788">
        <v>149767.37046224208</v>
      </c>
      <c r="L166" s="788">
        <v>63678.866975817946</v>
      </c>
      <c r="M166" s="788">
        <v>67249.522319308919</v>
      </c>
      <c r="N166" s="788">
        <v>40065.96661740014</v>
      </c>
      <c r="O166" s="788">
        <v>1306.8427148699404</v>
      </c>
      <c r="P166" s="772">
        <v>0</v>
      </c>
      <c r="Q166" s="774"/>
      <c r="R166" s="774">
        <v>159</v>
      </c>
      <c r="S166" s="774"/>
      <c r="T166" s="774"/>
      <c r="U166" s="774"/>
      <c r="V166" s="774"/>
    </row>
    <row r="167" spans="1:22" hidden="1">
      <c r="A167" s="786">
        <v>167</v>
      </c>
      <c r="B167" s="767"/>
      <c r="D167" s="767"/>
      <c r="E167" s="767" t="s">
        <v>210</v>
      </c>
      <c r="F167" s="806" t="s">
        <v>1392</v>
      </c>
      <c r="G167" s="778"/>
      <c r="H167" s="788">
        <v>99382.929389914934</v>
      </c>
      <c r="I167" s="788">
        <v>41566.882942715099</v>
      </c>
      <c r="J167" s="788">
        <v>13281.197801479526</v>
      </c>
      <c r="K167" s="788">
        <v>22538.429288730131</v>
      </c>
      <c r="L167" s="788">
        <v>9187.8995429569404</v>
      </c>
      <c r="M167" s="788">
        <v>8689.2505345200516</v>
      </c>
      <c r="N167" s="788">
        <v>3959.3361343963584</v>
      </c>
      <c r="O167" s="788">
        <v>159.9331451168334</v>
      </c>
      <c r="P167" s="772">
        <v>0</v>
      </c>
      <c r="Q167" s="774"/>
      <c r="R167" s="774">
        <v>160</v>
      </c>
      <c r="S167" s="774"/>
      <c r="T167" s="774"/>
      <c r="U167" s="774"/>
      <c r="V167" s="774"/>
    </row>
    <row r="168" spans="1:22" hidden="1">
      <c r="A168" s="786">
        <v>168</v>
      </c>
      <c r="B168" s="767"/>
      <c r="D168" s="767"/>
      <c r="E168" s="767" t="s">
        <v>210</v>
      </c>
      <c r="F168" s="806" t="s">
        <v>1392</v>
      </c>
      <c r="G168" s="778"/>
      <c r="H168" s="788">
        <v>109170.14341943202</v>
      </c>
      <c r="I168" s="788">
        <v>45660.382524560984</v>
      </c>
      <c r="J168" s="788">
        <v>14589.127908283384</v>
      </c>
      <c r="K168" s="788">
        <v>24758.009982236264</v>
      </c>
      <c r="L168" s="788">
        <v>10092.722331544886</v>
      </c>
      <c r="M168" s="788">
        <v>9544.9664533353134</v>
      </c>
      <c r="N168" s="788">
        <v>4349.2508853502613</v>
      </c>
      <c r="O168" s="788">
        <v>175.68333412093318</v>
      </c>
      <c r="P168" s="772">
        <v>0</v>
      </c>
      <c r="Q168" s="774"/>
      <c r="R168" s="774">
        <v>161</v>
      </c>
      <c r="S168" s="774"/>
      <c r="T168" s="774"/>
      <c r="U168" s="774"/>
      <c r="V168" s="774"/>
    </row>
    <row r="169" spans="1:22" hidden="1">
      <c r="A169" s="786">
        <v>169</v>
      </c>
      <c r="B169" s="767"/>
      <c r="D169" s="767"/>
      <c r="E169" s="767" t="s">
        <v>689</v>
      </c>
      <c r="F169" s="806" t="s">
        <v>1392</v>
      </c>
      <c r="G169" s="778"/>
      <c r="H169" s="788">
        <v>2206.0349256848262</v>
      </c>
      <c r="I169" s="788">
        <v>922.67350224421546</v>
      </c>
      <c r="J169" s="788">
        <v>294.80702958596339</v>
      </c>
      <c r="K169" s="788">
        <v>500.29278152935967</v>
      </c>
      <c r="L169" s="788">
        <v>203.94676842262089</v>
      </c>
      <c r="M169" s="788">
        <v>192.87809561308791</v>
      </c>
      <c r="N169" s="788">
        <v>87.886660703429214</v>
      </c>
      <c r="O169" s="788">
        <v>3.5500875861499508</v>
      </c>
      <c r="P169" s="772">
        <v>0</v>
      </c>
      <c r="Q169" s="774"/>
      <c r="R169" s="774">
        <v>162</v>
      </c>
      <c r="S169" s="774"/>
      <c r="T169" s="774"/>
      <c r="U169" s="774"/>
      <c r="V169" s="774"/>
    </row>
    <row r="170" spans="1:22" hidden="1">
      <c r="A170" s="786">
        <v>170</v>
      </c>
      <c r="B170" s="767"/>
      <c r="D170" s="767"/>
      <c r="E170" s="767" t="s">
        <v>7</v>
      </c>
      <c r="F170" s="806" t="s">
        <v>1395</v>
      </c>
      <c r="G170" s="778"/>
      <c r="H170" s="788">
        <v>113926.31388550381</v>
      </c>
      <c r="I170" s="788">
        <v>89721.24317309013</v>
      </c>
      <c r="J170" s="788">
        <v>16588.06299718461</v>
      </c>
      <c r="K170" s="788">
        <v>895.7281823249125</v>
      </c>
      <c r="L170" s="788">
        <v>53.669143106126072</v>
      </c>
      <c r="M170" s="788">
        <v>0.83237303372208205</v>
      </c>
      <c r="N170" s="788">
        <v>4274.8153755249577</v>
      </c>
      <c r="O170" s="788">
        <v>2391.9626412393563</v>
      </c>
      <c r="P170" s="772">
        <v>0</v>
      </c>
      <c r="Q170" s="774"/>
      <c r="R170" s="774">
        <v>163</v>
      </c>
      <c r="S170" s="774"/>
      <c r="T170" s="774"/>
      <c r="U170" s="774"/>
      <c r="V170" s="774"/>
    </row>
    <row r="171" spans="1:22" hidden="1">
      <c r="A171" s="786">
        <v>171</v>
      </c>
      <c r="B171" s="767"/>
      <c r="D171" s="767"/>
      <c r="F171" s="806"/>
      <c r="G171" s="778"/>
      <c r="H171" s="788">
        <v>1053575.9216205359</v>
      </c>
      <c r="I171" s="788">
        <v>489517.17619674222</v>
      </c>
      <c r="J171" s="788">
        <v>139929.13259276285</v>
      </c>
      <c r="K171" s="788">
        <v>198459.83069706275</v>
      </c>
      <c r="L171" s="788">
        <v>83217.104761848532</v>
      </c>
      <c r="M171" s="788">
        <v>85677.449775811081</v>
      </c>
      <c r="N171" s="788">
        <v>52737.255673375148</v>
      </c>
      <c r="O171" s="788">
        <v>4037.9719229332136</v>
      </c>
      <c r="P171" s="772">
        <v>0</v>
      </c>
      <c r="Q171" s="774"/>
      <c r="R171" s="774"/>
      <c r="S171" s="774"/>
      <c r="T171" s="774"/>
      <c r="U171" s="774"/>
      <c r="V171" s="774"/>
    </row>
    <row r="172" spans="1:22" hidden="1">
      <c r="A172" s="786">
        <v>172</v>
      </c>
      <c r="B172" s="767"/>
      <c r="D172" s="767"/>
      <c r="E172" s="767"/>
      <c r="F172" s="806"/>
      <c r="G172" s="778"/>
      <c r="H172" s="812"/>
      <c r="I172" s="812"/>
      <c r="J172" s="812"/>
      <c r="K172" s="812"/>
      <c r="L172" s="812"/>
      <c r="M172" s="812"/>
      <c r="N172" s="812"/>
      <c r="O172" s="812"/>
      <c r="P172" s="772"/>
      <c r="R172" s="774"/>
    </row>
    <row r="173" spans="1:22" hidden="1">
      <c r="A173" s="786">
        <v>173</v>
      </c>
      <c r="B173" s="767"/>
      <c r="C173" s="767" t="s">
        <v>690</v>
      </c>
      <c r="D173" s="767" t="s">
        <v>691</v>
      </c>
      <c r="E173" s="767"/>
      <c r="F173" s="806" t="s">
        <v>575</v>
      </c>
      <c r="G173" s="811"/>
      <c r="H173" s="788">
        <v>-4378.7399999999907</v>
      </c>
      <c r="I173" s="788">
        <v>-1831.5155482287523</v>
      </c>
      <c r="J173" s="788">
        <v>-585.19471633305034</v>
      </c>
      <c r="K173" s="788">
        <v>-993.08585952553528</v>
      </c>
      <c r="L173" s="788">
        <v>-404.83624648209701</v>
      </c>
      <c r="M173" s="788">
        <v>-382.86482723183366</v>
      </c>
      <c r="N173" s="788">
        <v>-174.45584507273591</v>
      </c>
      <c r="O173" s="788">
        <v>-7.0469571259959514</v>
      </c>
      <c r="P173" s="772">
        <v>0</v>
      </c>
      <c r="Q173" s="774"/>
      <c r="R173" s="774">
        <v>167</v>
      </c>
      <c r="S173" s="774"/>
      <c r="T173" s="774"/>
      <c r="U173" s="774"/>
      <c r="V173" s="774"/>
    </row>
    <row r="174" spans="1:22" hidden="1">
      <c r="A174" s="786">
        <v>174</v>
      </c>
      <c r="B174" s="767"/>
      <c r="C174" s="767"/>
      <c r="D174" s="767"/>
      <c r="E174" s="767" t="s">
        <v>692</v>
      </c>
      <c r="F174" s="806" t="s">
        <v>1396</v>
      </c>
      <c r="G174" s="778"/>
      <c r="H174" s="788">
        <v>0</v>
      </c>
      <c r="I174" s="788">
        <v>0</v>
      </c>
      <c r="J174" s="788">
        <v>0</v>
      </c>
      <c r="K174" s="788">
        <v>0</v>
      </c>
      <c r="L174" s="788">
        <v>0</v>
      </c>
      <c r="M174" s="788">
        <v>0</v>
      </c>
      <c r="N174" s="788">
        <v>0</v>
      </c>
      <c r="O174" s="788">
        <v>0</v>
      </c>
      <c r="P174" s="772">
        <v>0</v>
      </c>
      <c r="Q174" s="774"/>
      <c r="R174" s="774">
        <v>168</v>
      </c>
      <c r="S174" s="774"/>
      <c r="T174" s="774"/>
      <c r="U174" s="774"/>
      <c r="V174" s="774"/>
    </row>
    <row r="175" spans="1:22" hidden="1">
      <c r="A175" s="786">
        <v>175</v>
      </c>
      <c r="B175" s="767"/>
      <c r="C175" s="767"/>
      <c r="D175" s="767"/>
      <c r="E175" s="767" t="s">
        <v>210</v>
      </c>
      <c r="F175" s="806" t="s">
        <v>1396</v>
      </c>
      <c r="G175" s="778"/>
      <c r="H175" s="788">
        <v>2314755.6314009451</v>
      </c>
      <c r="I175" s="788">
        <v>1032939.285754876</v>
      </c>
      <c r="J175" s="788">
        <v>307243.27665662632</v>
      </c>
      <c r="K175" s="788">
        <v>491913.5035028765</v>
      </c>
      <c r="L175" s="788">
        <v>199184.95838063554</v>
      </c>
      <c r="M175" s="788">
        <v>195433.93365458789</v>
      </c>
      <c r="N175" s="788">
        <v>85348.184536224624</v>
      </c>
      <c r="O175" s="788">
        <v>2692.4889151185821</v>
      </c>
      <c r="P175" s="772">
        <v>0</v>
      </c>
      <c r="Q175" s="774"/>
      <c r="R175" s="774">
        <v>169</v>
      </c>
      <c r="S175" s="774"/>
      <c r="T175" s="774"/>
      <c r="U175" s="774"/>
      <c r="V175" s="774"/>
    </row>
    <row r="176" spans="1:22" hidden="1">
      <c r="A176" s="786">
        <v>176</v>
      </c>
      <c r="B176" s="767"/>
      <c r="C176" s="767"/>
      <c r="D176" s="767"/>
      <c r="E176" s="767" t="s">
        <v>689</v>
      </c>
      <c r="F176" s="806" t="s">
        <v>1396</v>
      </c>
      <c r="G176" s="778"/>
      <c r="H176" s="788">
        <v>502043.64708063437</v>
      </c>
      <c r="I176" s="788">
        <v>224032.54978556253</v>
      </c>
      <c r="J176" s="788">
        <v>66637.502923080276</v>
      </c>
      <c r="K176" s="788">
        <v>106690.33309461233</v>
      </c>
      <c r="L176" s="788">
        <v>43200.907081710611</v>
      </c>
      <c r="M176" s="788">
        <v>42387.353327608798</v>
      </c>
      <c r="N176" s="788">
        <v>18511.03125315404</v>
      </c>
      <c r="O176" s="788">
        <v>583.96961490583089</v>
      </c>
      <c r="P176" s="772">
        <v>0</v>
      </c>
      <c r="Q176" s="774"/>
      <c r="R176" s="774">
        <v>170</v>
      </c>
      <c r="S176" s="774"/>
      <c r="T176" s="774"/>
      <c r="U176" s="774"/>
      <c r="V176" s="774"/>
    </row>
    <row r="177" spans="1:22" hidden="1">
      <c r="A177" s="786">
        <v>177</v>
      </c>
      <c r="B177" s="767"/>
      <c r="C177" s="767"/>
      <c r="D177" s="767"/>
      <c r="E177" s="767" t="s">
        <v>693</v>
      </c>
      <c r="F177" s="806" t="s">
        <v>1395</v>
      </c>
      <c r="G177" s="778"/>
      <c r="H177" s="788">
        <v>274227.50725612795</v>
      </c>
      <c r="I177" s="788">
        <v>215964.44249047234</v>
      </c>
      <c r="J177" s="788">
        <v>39928.467891072185</v>
      </c>
      <c r="K177" s="788">
        <v>2156.0717470845693</v>
      </c>
      <c r="L177" s="788">
        <v>129.18486369493647</v>
      </c>
      <c r="M177" s="788">
        <v>2.0035720840948898</v>
      </c>
      <c r="N177" s="788">
        <v>10289.738379392433</v>
      </c>
      <c r="O177" s="788">
        <v>5757.59831232735</v>
      </c>
      <c r="P177" s="772">
        <v>0</v>
      </c>
      <c r="Q177" s="774"/>
      <c r="R177" s="774">
        <v>171</v>
      </c>
      <c r="S177" s="774"/>
      <c r="T177" s="774"/>
      <c r="U177" s="774"/>
      <c r="V177" s="774"/>
    </row>
    <row r="178" spans="1:22" hidden="1">
      <c r="A178" s="786">
        <v>178</v>
      </c>
      <c r="B178" s="767"/>
      <c r="C178" s="767"/>
      <c r="D178" s="767"/>
      <c r="E178" s="767" t="s">
        <v>210</v>
      </c>
      <c r="F178" s="806" t="s">
        <v>1396</v>
      </c>
      <c r="G178" s="778"/>
      <c r="H178" s="788">
        <v>9229248.0952149648</v>
      </c>
      <c r="I178" s="788">
        <v>4118470.566051132</v>
      </c>
      <c r="J178" s="788">
        <v>1225021.0723689159</v>
      </c>
      <c r="K178" s="788">
        <v>1961326.5882700249</v>
      </c>
      <c r="L178" s="788">
        <v>794177.74074810359</v>
      </c>
      <c r="M178" s="788">
        <v>779221.89083533024</v>
      </c>
      <c r="N178" s="788">
        <v>340294.91445033095</v>
      </c>
      <c r="O178" s="788">
        <v>10735.322491128787</v>
      </c>
      <c r="P178" s="772">
        <v>0</v>
      </c>
      <c r="Q178" s="774"/>
      <c r="R178" s="774">
        <v>172</v>
      </c>
      <c r="S178" s="774"/>
      <c r="T178" s="774"/>
      <c r="U178" s="774"/>
      <c r="V178" s="774"/>
    </row>
    <row r="179" spans="1:22" hidden="1">
      <c r="A179" s="786">
        <v>179</v>
      </c>
      <c r="B179" s="767"/>
      <c r="C179" s="767"/>
      <c r="D179" s="767"/>
      <c r="E179" s="767" t="s">
        <v>694</v>
      </c>
      <c r="F179" s="806" t="s">
        <v>1396</v>
      </c>
      <c r="G179" s="778"/>
      <c r="H179" s="788">
        <v>0</v>
      </c>
      <c r="I179" s="788">
        <v>0</v>
      </c>
      <c r="J179" s="788">
        <v>0</v>
      </c>
      <c r="K179" s="788">
        <v>0</v>
      </c>
      <c r="L179" s="788">
        <v>0</v>
      </c>
      <c r="M179" s="788">
        <v>0</v>
      </c>
      <c r="N179" s="788">
        <v>0</v>
      </c>
      <c r="O179" s="788">
        <v>0</v>
      </c>
      <c r="P179" s="772">
        <v>0</v>
      </c>
      <c r="Q179" s="774"/>
      <c r="R179" s="774">
        <v>173</v>
      </c>
      <c r="S179" s="774"/>
      <c r="T179" s="774"/>
      <c r="U179" s="774"/>
      <c r="V179" s="774"/>
    </row>
    <row r="180" spans="1:22" hidden="1">
      <c r="A180" s="786">
        <v>180</v>
      </c>
      <c r="B180" s="767"/>
      <c r="C180" s="767"/>
      <c r="D180" s="767"/>
      <c r="E180" s="767"/>
      <c r="F180" s="806"/>
      <c r="G180" s="778"/>
      <c r="H180" s="788">
        <v>12315895.880952675</v>
      </c>
      <c r="I180" s="788">
        <v>5589575.3285338134</v>
      </c>
      <c r="J180" s="788">
        <v>1638245.1251233618</v>
      </c>
      <c r="K180" s="788">
        <v>2561093.4107550727</v>
      </c>
      <c r="L180" s="788">
        <v>1036287.9548276626</v>
      </c>
      <c r="M180" s="788">
        <v>1016662.3165623791</v>
      </c>
      <c r="N180" s="788">
        <v>454269.4127740293</v>
      </c>
      <c r="O180" s="788">
        <v>19762.332376354552</v>
      </c>
      <c r="P180" s="772">
        <v>0</v>
      </c>
      <c r="Q180" s="774"/>
      <c r="R180" s="774"/>
      <c r="S180" s="774"/>
      <c r="T180" s="774"/>
      <c r="U180" s="774"/>
      <c r="V180" s="774"/>
    </row>
    <row r="181" spans="1:22" hidden="1">
      <c r="A181" s="786">
        <v>181</v>
      </c>
      <c r="B181" s="767"/>
      <c r="C181" s="767"/>
      <c r="D181" s="767"/>
      <c r="E181" s="767"/>
      <c r="F181" s="806"/>
      <c r="G181" s="778"/>
      <c r="H181" s="810"/>
      <c r="I181" s="810"/>
      <c r="J181" s="810"/>
      <c r="K181" s="810"/>
      <c r="L181" s="810"/>
      <c r="M181" s="810"/>
      <c r="N181" s="810"/>
      <c r="O181" s="810"/>
      <c r="P181" s="772">
        <v>0</v>
      </c>
      <c r="R181" s="774"/>
    </row>
    <row r="182" spans="1:22" hidden="1">
      <c r="A182" s="786">
        <v>182</v>
      </c>
      <c r="B182" s="767"/>
      <c r="C182" s="767" t="s">
        <v>695</v>
      </c>
      <c r="D182" s="767"/>
      <c r="E182" s="767"/>
      <c r="F182" s="806"/>
      <c r="G182" s="778"/>
      <c r="H182" s="788">
        <v>13849210.0150091</v>
      </c>
      <c r="I182" s="788">
        <v>6455001.5898185512</v>
      </c>
      <c r="J182" s="788">
        <v>1798725.7478571841</v>
      </c>
      <c r="K182" s="788">
        <v>2827763.9525334784</v>
      </c>
      <c r="L182" s="788">
        <v>1137209.7901030881</v>
      </c>
      <c r="M182" s="788">
        <v>1107860.275159206</v>
      </c>
      <c r="N182" s="788">
        <v>500336.34687361831</v>
      </c>
      <c r="O182" s="788">
        <v>22312.312663975405</v>
      </c>
      <c r="P182" s="772">
        <v>0</v>
      </c>
      <c r="Q182" s="774"/>
      <c r="R182" s="774"/>
      <c r="S182" s="774"/>
      <c r="T182" s="774"/>
      <c r="U182" s="774"/>
      <c r="V182" s="774"/>
    </row>
    <row r="183" spans="1:22" hidden="1">
      <c r="A183" s="786">
        <v>183</v>
      </c>
      <c r="B183" s="767"/>
      <c r="F183" s="806"/>
      <c r="H183" s="813"/>
      <c r="I183" s="813"/>
      <c r="J183" s="813"/>
      <c r="K183" s="813"/>
      <c r="L183" s="813"/>
      <c r="M183" s="813"/>
      <c r="N183" s="813"/>
      <c r="O183" s="813"/>
      <c r="P183" s="772">
        <v>0</v>
      </c>
      <c r="R183" s="774"/>
    </row>
    <row r="184" spans="1:22" ht="13.5" hidden="1" thickBot="1">
      <c r="A184" s="786">
        <v>184</v>
      </c>
      <c r="B184" s="767"/>
      <c r="C184" s="767" t="s">
        <v>696</v>
      </c>
      <c r="D184" s="767"/>
      <c r="E184" s="767"/>
      <c r="F184" s="806"/>
      <c r="G184" s="778"/>
      <c r="H184" s="814">
        <v>382591356.44323879</v>
      </c>
      <c r="I184" s="814">
        <v>163537832.47862095</v>
      </c>
      <c r="J184" s="814">
        <v>57175679.305342674</v>
      </c>
      <c r="K184" s="814">
        <v>83491539.997424841</v>
      </c>
      <c r="L184" s="814">
        <v>32052657.495718129</v>
      </c>
      <c r="M184" s="814">
        <v>27770699.798476037</v>
      </c>
      <c r="N184" s="814">
        <v>16676662.981543552</v>
      </c>
      <c r="O184" s="814">
        <v>1886284.3861126152</v>
      </c>
      <c r="P184" s="772">
        <v>0</v>
      </c>
      <c r="Q184" s="774"/>
      <c r="R184" s="774"/>
      <c r="S184" s="774"/>
      <c r="T184" s="774"/>
      <c r="U184" s="774"/>
      <c r="V184" s="774"/>
    </row>
    <row r="185" spans="1:22" ht="13.5" hidden="1" thickTop="1">
      <c r="A185" s="786">
        <v>185</v>
      </c>
      <c r="B185" s="767"/>
      <c r="C185" s="767"/>
      <c r="D185" s="767"/>
      <c r="E185" s="767"/>
      <c r="F185" s="806"/>
      <c r="G185" s="778"/>
      <c r="H185" s="815"/>
      <c r="I185" s="815"/>
      <c r="J185" s="815"/>
      <c r="K185" s="815"/>
      <c r="L185" s="815"/>
      <c r="M185" s="815"/>
      <c r="N185" s="815"/>
      <c r="O185" s="815"/>
      <c r="P185" s="772"/>
      <c r="R185" s="774"/>
    </row>
    <row r="186" spans="1:22" hidden="1">
      <c r="A186" s="786">
        <v>186</v>
      </c>
      <c r="B186" s="767"/>
      <c r="C186" s="767" t="s">
        <v>697</v>
      </c>
      <c r="D186" s="767"/>
      <c r="E186" s="767"/>
      <c r="F186" s="806"/>
      <c r="G186" s="778"/>
      <c r="H186" s="812"/>
      <c r="I186" s="812"/>
      <c r="J186" s="812"/>
      <c r="K186" s="812"/>
      <c r="L186" s="812"/>
      <c r="M186" s="812"/>
      <c r="N186" s="812"/>
      <c r="O186" s="812"/>
      <c r="P186" s="772"/>
      <c r="R186" s="774"/>
    </row>
    <row r="187" spans="1:22" hidden="1">
      <c r="A187" s="786">
        <v>187</v>
      </c>
      <c r="B187" s="767"/>
      <c r="C187" s="767" t="s">
        <v>698</v>
      </c>
      <c r="D187" s="767" t="s">
        <v>699</v>
      </c>
      <c r="E187" s="767"/>
      <c r="F187" s="806" t="s">
        <v>1396</v>
      </c>
      <c r="G187" s="778"/>
      <c r="H187" s="788">
        <v>0</v>
      </c>
      <c r="I187" s="788">
        <v>0</v>
      </c>
      <c r="J187" s="788">
        <v>0</v>
      </c>
      <c r="K187" s="788">
        <v>0</v>
      </c>
      <c r="L187" s="788">
        <v>0</v>
      </c>
      <c r="M187" s="788">
        <v>0</v>
      </c>
      <c r="N187" s="788">
        <v>0</v>
      </c>
      <c r="O187" s="788">
        <v>0</v>
      </c>
      <c r="P187" s="772">
        <v>0</v>
      </c>
      <c r="Q187" s="774"/>
      <c r="R187" s="774">
        <v>187</v>
      </c>
      <c r="S187" s="774"/>
      <c r="T187" s="774"/>
      <c r="U187" s="774"/>
      <c r="V187" s="774"/>
    </row>
    <row r="188" spans="1:22" hidden="1">
      <c r="A188" s="786">
        <v>188</v>
      </c>
      <c r="B188" s="767"/>
      <c r="C188" s="767" t="s">
        <v>700</v>
      </c>
      <c r="D188" s="767" t="s">
        <v>701</v>
      </c>
      <c r="E188" s="767"/>
      <c r="F188" s="806" t="s">
        <v>1396</v>
      </c>
      <c r="G188" s="778"/>
      <c r="H188" s="788">
        <v>0</v>
      </c>
      <c r="I188" s="788">
        <v>0</v>
      </c>
      <c r="J188" s="788">
        <v>0</v>
      </c>
      <c r="K188" s="788">
        <v>0</v>
      </c>
      <c r="L188" s="788">
        <v>0</v>
      </c>
      <c r="M188" s="788">
        <v>0</v>
      </c>
      <c r="N188" s="788">
        <v>0</v>
      </c>
      <c r="O188" s="788">
        <v>0</v>
      </c>
      <c r="P188" s="772">
        <v>0</v>
      </c>
      <c r="Q188" s="774"/>
      <c r="R188" s="774">
        <v>192</v>
      </c>
      <c r="S188" s="774"/>
      <c r="T188" s="774"/>
      <c r="U188" s="774"/>
      <c r="V188" s="774"/>
    </row>
    <row r="189" spans="1:22" hidden="1">
      <c r="A189" s="786">
        <v>189</v>
      </c>
      <c r="B189" s="767"/>
      <c r="C189" s="767" t="s">
        <v>702</v>
      </c>
      <c r="D189" s="767" t="s">
        <v>703</v>
      </c>
      <c r="E189" s="767"/>
      <c r="F189" s="806" t="s">
        <v>1396</v>
      </c>
      <c r="G189" s="778"/>
      <c r="H189" s="788">
        <v>-12.892102979296286</v>
      </c>
      <c r="I189" s="788">
        <v>-5.7529872538869231</v>
      </c>
      <c r="J189" s="788">
        <v>-1.7112009184124315</v>
      </c>
      <c r="K189" s="788">
        <v>-2.7397274502912863</v>
      </c>
      <c r="L189" s="788">
        <v>-1.1093667774407081</v>
      </c>
      <c r="M189" s="788">
        <v>-1.0884753293802385</v>
      </c>
      <c r="N189" s="788">
        <v>-0.47534934971561221</v>
      </c>
      <c r="O189" s="788">
        <v>-1.4995900169087854E-2</v>
      </c>
      <c r="P189" s="772">
        <v>0</v>
      </c>
      <c r="Q189" s="774"/>
      <c r="R189" s="774">
        <v>194</v>
      </c>
      <c r="S189" s="774"/>
      <c r="T189" s="774"/>
      <c r="U189" s="774"/>
      <c r="V189" s="774"/>
    </row>
    <row r="190" spans="1:22" hidden="1">
      <c r="A190" s="786">
        <v>190</v>
      </c>
      <c r="B190" s="767"/>
      <c r="C190" s="816">
        <v>41181</v>
      </c>
      <c r="D190" s="767" t="s">
        <v>704</v>
      </c>
      <c r="E190" s="767"/>
      <c r="F190" s="806" t="s">
        <v>1396</v>
      </c>
      <c r="G190" s="778"/>
      <c r="H190" s="788">
        <v>0</v>
      </c>
      <c r="I190" s="788">
        <v>0</v>
      </c>
      <c r="J190" s="788">
        <v>0</v>
      </c>
      <c r="K190" s="788">
        <v>0</v>
      </c>
      <c r="L190" s="788">
        <v>0</v>
      </c>
      <c r="M190" s="788">
        <v>0</v>
      </c>
      <c r="N190" s="788">
        <v>0</v>
      </c>
      <c r="O190" s="788">
        <v>0</v>
      </c>
      <c r="P190" s="772">
        <v>0</v>
      </c>
      <c r="Q190" s="774"/>
      <c r="R190" s="774">
        <v>199</v>
      </c>
      <c r="S190" s="774"/>
      <c r="T190" s="774"/>
      <c r="U190" s="774"/>
      <c r="V190" s="774"/>
    </row>
    <row r="191" spans="1:22" hidden="1">
      <c r="A191" s="786">
        <v>191</v>
      </c>
      <c r="B191" s="767"/>
      <c r="C191" s="767" t="s">
        <v>705</v>
      </c>
      <c r="D191" s="767" t="s">
        <v>706</v>
      </c>
      <c r="E191" s="767"/>
      <c r="F191" s="806" t="s">
        <v>1396</v>
      </c>
      <c r="G191" s="778"/>
      <c r="H191" s="788">
        <v>0</v>
      </c>
      <c r="I191" s="788">
        <v>0</v>
      </c>
      <c r="J191" s="788">
        <v>0</v>
      </c>
      <c r="K191" s="788">
        <v>0</v>
      </c>
      <c r="L191" s="788">
        <v>0</v>
      </c>
      <c r="M191" s="788">
        <v>0</v>
      </c>
      <c r="N191" s="788">
        <v>0</v>
      </c>
      <c r="O191" s="788">
        <v>0</v>
      </c>
      <c r="P191" s="772">
        <v>0</v>
      </c>
      <c r="Q191" s="774"/>
      <c r="R191" s="774">
        <v>203</v>
      </c>
      <c r="S191" s="774"/>
      <c r="T191" s="774"/>
      <c r="U191" s="774"/>
      <c r="V191" s="774"/>
    </row>
    <row r="192" spans="1:22" hidden="1">
      <c r="A192" s="786">
        <v>192</v>
      </c>
      <c r="B192" s="767"/>
      <c r="C192" s="767" t="s">
        <v>707</v>
      </c>
      <c r="D192" s="767" t="s">
        <v>708</v>
      </c>
      <c r="E192" s="767"/>
      <c r="F192" s="806" t="s">
        <v>1396</v>
      </c>
      <c r="G192" s="778"/>
      <c r="H192" s="788">
        <v>5028.3936672720774</v>
      </c>
      <c r="I192" s="788">
        <v>2243.8763266007541</v>
      </c>
      <c r="J192" s="788">
        <v>667.43120772410361</v>
      </c>
      <c r="K192" s="788">
        <v>1068.5943312134607</v>
      </c>
      <c r="L192" s="788">
        <v>432.69378838528189</v>
      </c>
      <c r="M192" s="788">
        <v>424.54535633380726</v>
      </c>
      <c r="N192" s="788">
        <v>185.4037051744335</v>
      </c>
      <c r="O192" s="788">
        <v>5.8489518402374445</v>
      </c>
      <c r="P192" s="772">
        <v>0</v>
      </c>
      <c r="Q192" s="774"/>
      <c r="R192" s="774">
        <v>212</v>
      </c>
      <c r="S192" s="774"/>
      <c r="T192" s="774"/>
      <c r="U192" s="774"/>
      <c r="V192" s="774"/>
    </row>
    <row r="193" spans="1:22" hidden="1">
      <c r="A193" s="786">
        <v>193</v>
      </c>
      <c r="B193" s="767"/>
      <c r="F193" s="806"/>
      <c r="H193" s="813"/>
      <c r="I193" s="813"/>
      <c r="J193" s="813"/>
      <c r="K193" s="813"/>
      <c r="L193" s="813"/>
      <c r="M193" s="813"/>
      <c r="N193" s="813"/>
      <c r="O193" s="813"/>
      <c r="P193" s="772"/>
      <c r="R193" s="774"/>
    </row>
    <row r="194" spans="1:22" hidden="1">
      <c r="A194" s="786">
        <v>194</v>
      </c>
      <c r="B194" s="767"/>
      <c r="C194" s="767" t="s">
        <v>709</v>
      </c>
      <c r="F194" s="806"/>
      <c r="H194" s="788">
        <v>5015.5015642927829</v>
      </c>
      <c r="I194" s="788">
        <v>2238.1233393468669</v>
      </c>
      <c r="J194" s="788">
        <v>665.72000680569113</v>
      </c>
      <c r="K194" s="788">
        <v>1065.8546037631695</v>
      </c>
      <c r="L194" s="788">
        <v>431.58442160784125</v>
      </c>
      <c r="M194" s="788">
        <v>423.45688100442703</v>
      </c>
      <c r="N194" s="788">
        <v>184.9283558247179</v>
      </c>
      <c r="O194" s="788">
        <v>5.8339559400683569</v>
      </c>
      <c r="P194" s="772">
        <v>0</v>
      </c>
      <c r="Q194" s="774"/>
      <c r="R194" s="774"/>
      <c r="S194" s="774"/>
      <c r="T194" s="774"/>
      <c r="U194" s="774"/>
      <c r="V194" s="774"/>
    </row>
    <row r="195" spans="1:22" hidden="1">
      <c r="A195" s="786">
        <v>195</v>
      </c>
      <c r="B195" s="767"/>
      <c r="F195" s="806"/>
      <c r="H195" s="813"/>
      <c r="I195" s="813"/>
      <c r="J195" s="813"/>
      <c r="K195" s="813"/>
      <c r="L195" s="813"/>
      <c r="M195" s="813"/>
      <c r="N195" s="813"/>
      <c r="O195" s="813"/>
      <c r="P195" s="772"/>
      <c r="R195" s="774"/>
    </row>
    <row r="196" spans="1:22" hidden="1">
      <c r="A196" s="786">
        <v>196</v>
      </c>
      <c r="B196" s="767"/>
      <c r="C196" s="767" t="s">
        <v>710</v>
      </c>
      <c r="F196" s="806"/>
      <c r="G196" s="778"/>
      <c r="H196" s="788"/>
      <c r="I196" s="788"/>
      <c r="J196" s="788"/>
      <c r="K196" s="788"/>
      <c r="L196" s="788"/>
      <c r="M196" s="788"/>
      <c r="N196" s="788"/>
      <c r="O196" s="788"/>
      <c r="P196" s="772"/>
      <c r="R196" s="774"/>
    </row>
    <row r="197" spans="1:22" hidden="1">
      <c r="A197" s="786">
        <v>197</v>
      </c>
      <c r="B197" s="767"/>
      <c r="C197" s="767" t="s">
        <v>711</v>
      </c>
      <c r="D197" s="767" t="s">
        <v>712</v>
      </c>
      <c r="E197" s="767"/>
      <c r="F197" s="806" t="s">
        <v>638</v>
      </c>
      <c r="G197" s="778"/>
      <c r="H197" s="788">
        <v>60419.600000000006</v>
      </c>
      <c r="I197" s="788">
        <v>46377.172260757456</v>
      </c>
      <c r="J197" s="788">
        <v>4313.822913932916</v>
      </c>
      <c r="K197" s="788">
        <v>5376.2767809849483</v>
      </c>
      <c r="L197" s="788">
        <v>2059.7018782006435</v>
      </c>
      <c r="M197" s="788">
        <v>1774.6672201240817</v>
      </c>
      <c r="N197" s="788">
        <v>517.95894599995688</v>
      </c>
      <c r="O197" s="788">
        <v>0</v>
      </c>
      <c r="P197" s="772">
        <v>0</v>
      </c>
      <c r="Q197" s="774"/>
      <c r="R197" s="774">
        <v>218</v>
      </c>
      <c r="S197" s="774"/>
      <c r="T197" s="774"/>
      <c r="U197" s="774"/>
      <c r="V197" s="774"/>
    </row>
    <row r="198" spans="1:22" hidden="1">
      <c r="A198" s="786">
        <v>198</v>
      </c>
      <c r="B198" s="767"/>
      <c r="F198" s="806"/>
      <c r="G198" s="778"/>
      <c r="H198" s="788"/>
      <c r="I198" s="788"/>
      <c r="J198" s="788"/>
      <c r="K198" s="788"/>
      <c r="L198" s="788"/>
      <c r="M198" s="788"/>
      <c r="N198" s="788"/>
      <c r="O198" s="788"/>
      <c r="P198" s="772"/>
      <c r="R198" s="774"/>
    </row>
    <row r="199" spans="1:22" hidden="1">
      <c r="A199" s="786">
        <v>199</v>
      </c>
      <c r="B199" s="767"/>
      <c r="C199" s="767" t="s">
        <v>713</v>
      </c>
      <c r="F199" s="806"/>
      <c r="G199" s="778"/>
      <c r="H199" s="788">
        <v>65435.101564292774</v>
      </c>
      <c r="I199" s="788">
        <v>48615.29560010432</v>
      </c>
      <c r="J199" s="788">
        <v>4979.5429207386069</v>
      </c>
      <c r="K199" s="788">
        <v>6442.1313847481179</v>
      </c>
      <c r="L199" s="788">
        <v>2491.2862998084847</v>
      </c>
      <c r="M199" s="788">
        <v>2198.1241011285088</v>
      </c>
      <c r="N199" s="788">
        <v>702.88730182467475</v>
      </c>
      <c r="O199" s="788">
        <v>5.8339559400683569</v>
      </c>
      <c r="P199" s="772">
        <v>0</v>
      </c>
      <c r="Q199" s="774"/>
      <c r="R199" s="774"/>
      <c r="S199" s="774"/>
      <c r="T199" s="774"/>
      <c r="U199" s="774"/>
      <c r="V199" s="774"/>
    </row>
    <row r="200" spans="1:22" hidden="1">
      <c r="A200" s="786">
        <v>200</v>
      </c>
      <c r="B200" s="767"/>
      <c r="C200" s="767"/>
      <c r="D200" s="767"/>
      <c r="E200" s="767"/>
      <c r="F200" s="806"/>
      <c r="H200" s="817"/>
      <c r="I200" s="818"/>
      <c r="J200" s="817"/>
      <c r="K200" s="817"/>
      <c r="L200" s="819"/>
      <c r="M200" s="817"/>
      <c r="N200" s="817"/>
      <c r="O200" s="817"/>
      <c r="P200" s="772"/>
      <c r="R200" s="774"/>
    </row>
    <row r="201" spans="1:22" hidden="1">
      <c r="A201" s="786">
        <v>201</v>
      </c>
      <c r="B201" s="767"/>
      <c r="C201" s="781" t="s">
        <v>714</v>
      </c>
      <c r="D201" s="767"/>
      <c r="E201" s="767"/>
      <c r="F201" s="806"/>
      <c r="H201" s="817"/>
      <c r="I201" s="817"/>
      <c r="J201" s="817"/>
      <c r="K201" s="817"/>
      <c r="L201" s="819"/>
      <c r="M201" s="817"/>
      <c r="N201" s="817"/>
      <c r="O201" s="817"/>
      <c r="P201" s="772"/>
      <c r="R201" s="774"/>
    </row>
    <row r="202" spans="1:22" hidden="1">
      <c r="A202" s="786">
        <v>202</v>
      </c>
      <c r="B202" s="767"/>
      <c r="C202" s="767"/>
      <c r="D202" s="767"/>
      <c r="E202" s="767"/>
      <c r="F202" s="806"/>
      <c r="G202" s="778"/>
      <c r="H202" s="818"/>
      <c r="I202" s="817" t="s">
        <v>715</v>
      </c>
      <c r="J202" s="818"/>
      <c r="K202" s="818"/>
      <c r="L202" s="818"/>
      <c r="M202" s="818"/>
      <c r="N202" s="818"/>
      <c r="O202" s="818"/>
      <c r="P202" s="772"/>
      <c r="R202" s="774"/>
    </row>
    <row r="203" spans="1:22" hidden="1">
      <c r="A203" s="786">
        <v>203</v>
      </c>
      <c r="B203" s="767"/>
      <c r="C203" s="767"/>
      <c r="D203" s="767"/>
      <c r="E203" s="767"/>
      <c r="F203" s="806"/>
      <c r="G203" s="778"/>
      <c r="H203" s="810"/>
      <c r="I203" s="810"/>
      <c r="J203" s="810"/>
      <c r="K203" s="810"/>
      <c r="L203" s="810"/>
      <c r="M203" s="810"/>
      <c r="N203" s="810"/>
      <c r="O203" s="810"/>
      <c r="P203" s="772"/>
      <c r="R203" s="774"/>
    </row>
    <row r="204" spans="1:22" hidden="1">
      <c r="A204" s="786">
        <v>204</v>
      </c>
      <c r="B204" s="767"/>
      <c r="C204" s="777" t="s">
        <v>575</v>
      </c>
      <c r="D204" s="767"/>
      <c r="E204" s="777" t="s">
        <v>576</v>
      </c>
      <c r="F204" s="806" t="s">
        <v>577</v>
      </c>
      <c r="G204" s="778"/>
      <c r="H204" s="777" t="s">
        <v>578</v>
      </c>
      <c r="I204" s="777" t="s">
        <v>579</v>
      </c>
      <c r="J204" s="777" t="s">
        <v>580</v>
      </c>
      <c r="K204" s="777" t="s">
        <v>581</v>
      </c>
      <c r="L204" s="777" t="s">
        <v>582</v>
      </c>
      <c r="M204" s="777" t="s">
        <v>583</v>
      </c>
      <c r="N204" s="777" t="s">
        <v>584</v>
      </c>
      <c r="O204" s="777" t="s">
        <v>585</v>
      </c>
      <c r="P204" s="772"/>
      <c r="R204" s="774"/>
    </row>
    <row r="205" spans="1:22" ht="38.25" hidden="1">
      <c r="A205" s="786">
        <v>205</v>
      </c>
      <c r="B205" s="767"/>
      <c r="C205" s="797" t="s">
        <v>656</v>
      </c>
      <c r="D205" s="781"/>
      <c r="E205" s="782" t="s">
        <v>587</v>
      </c>
      <c r="F205" s="807" t="s">
        <v>1391</v>
      </c>
      <c r="G205" s="783"/>
      <c r="H205" s="784" t="s">
        <v>588</v>
      </c>
      <c r="I205" s="784" t="s">
        <v>589</v>
      </c>
      <c r="J205" s="784" t="s">
        <v>590</v>
      </c>
      <c r="K205" s="784" t="s">
        <v>591</v>
      </c>
      <c r="L205" s="784" t="s">
        <v>592</v>
      </c>
      <c r="M205" s="784" t="s">
        <v>593</v>
      </c>
      <c r="N205" s="784" t="s">
        <v>594</v>
      </c>
      <c r="O205" s="784" t="s">
        <v>595</v>
      </c>
      <c r="P205" s="772"/>
      <c r="R205" s="774"/>
    </row>
    <row r="206" spans="1:22" hidden="1">
      <c r="A206" s="786">
        <v>206</v>
      </c>
      <c r="B206" s="767"/>
      <c r="C206" s="767" t="s">
        <v>716</v>
      </c>
      <c r="D206" s="767" t="s">
        <v>717</v>
      </c>
      <c r="E206" s="767"/>
      <c r="F206" s="806" t="s">
        <v>1392</v>
      </c>
      <c r="G206" s="778"/>
      <c r="H206" s="788">
        <v>38325.703398732665</v>
      </c>
      <c r="I206" s="788">
        <v>16029.714928427133</v>
      </c>
      <c r="J206" s="788">
        <v>5121.7170880762696</v>
      </c>
      <c r="K206" s="788">
        <v>8691.6451476709644</v>
      </c>
      <c r="L206" s="788">
        <v>3543.1911184583423</v>
      </c>
      <c r="M206" s="788">
        <v>3350.8937680507606</v>
      </c>
      <c r="N206" s="788">
        <v>1526.8652602039128</v>
      </c>
      <c r="O206" s="788">
        <v>61.676087845285771</v>
      </c>
      <c r="P206" s="772">
        <v>0</v>
      </c>
      <c r="Q206" s="774"/>
      <c r="R206" s="774">
        <v>226</v>
      </c>
      <c r="S206" s="774"/>
      <c r="T206" s="774"/>
      <c r="U206" s="774"/>
      <c r="V206" s="774"/>
    </row>
    <row r="207" spans="1:22" hidden="1">
      <c r="A207" s="786"/>
      <c r="B207" s="767"/>
      <c r="C207" s="767"/>
      <c r="D207" s="767"/>
      <c r="E207" s="767" t="s">
        <v>718</v>
      </c>
      <c r="F207" s="806" t="s">
        <v>1392</v>
      </c>
      <c r="G207" s="778"/>
      <c r="H207" s="788"/>
      <c r="I207" s="788"/>
      <c r="J207" s="788"/>
      <c r="K207" s="788"/>
      <c r="L207" s="788"/>
      <c r="M207" s="788"/>
      <c r="N207" s="788"/>
      <c r="O207" s="788"/>
      <c r="P207" s="772"/>
      <c r="Q207" s="774"/>
      <c r="R207" s="774">
        <v>227</v>
      </c>
      <c r="S207" s="774"/>
      <c r="T207" s="774"/>
      <c r="U207" s="774"/>
      <c r="V207" s="774"/>
    </row>
    <row r="208" spans="1:22" hidden="1">
      <c r="A208" s="786">
        <v>208</v>
      </c>
      <c r="B208" s="767"/>
      <c r="C208" s="767"/>
      <c r="D208" s="767"/>
      <c r="E208" s="820" t="s">
        <v>719</v>
      </c>
      <c r="F208" s="806" t="s">
        <v>1392</v>
      </c>
      <c r="G208" s="778"/>
      <c r="H208" s="788">
        <v>5168.3697811154125</v>
      </c>
      <c r="I208" s="788">
        <v>2161.6692425459032</v>
      </c>
      <c r="J208" s="788">
        <v>690.68341812380527</v>
      </c>
      <c r="K208" s="788">
        <v>1172.102065865449</v>
      </c>
      <c r="L208" s="788">
        <v>477.81306750816645</v>
      </c>
      <c r="M208" s="788">
        <v>451.88102382210144</v>
      </c>
      <c r="N208" s="788">
        <v>205.90370354256234</v>
      </c>
      <c r="O208" s="788">
        <v>8.317259707424844</v>
      </c>
      <c r="P208" s="772">
        <v>0</v>
      </c>
      <c r="Q208" s="774"/>
      <c r="R208" s="774">
        <v>228</v>
      </c>
      <c r="S208" s="774"/>
      <c r="T208" s="774"/>
      <c r="U208" s="774"/>
      <c r="V208" s="774"/>
    </row>
    <row r="209" spans="1:22" hidden="1">
      <c r="A209" s="786">
        <v>209</v>
      </c>
      <c r="B209" s="767"/>
      <c r="C209" s="767"/>
      <c r="D209" s="767"/>
      <c r="E209" s="820" t="s">
        <v>720</v>
      </c>
      <c r="F209" s="806"/>
      <c r="G209" s="778"/>
      <c r="H209" s="788">
        <v>3095551.1545245629</v>
      </c>
      <c r="I209" s="788">
        <v>1294713.4208379085</v>
      </c>
      <c r="J209" s="788">
        <v>413678.96318028035</v>
      </c>
      <c r="K209" s="788">
        <v>702020.57067738927</v>
      </c>
      <c r="L209" s="788">
        <v>286182.07586002408</v>
      </c>
      <c r="M209" s="788">
        <v>270650.29869019176</v>
      </c>
      <c r="N209" s="788">
        <v>123324.27326523539</v>
      </c>
      <c r="O209" s="788">
        <v>4981.5520135331935</v>
      </c>
      <c r="P209" s="772">
        <v>0</v>
      </c>
      <c r="Q209" s="774"/>
      <c r="R209" s="774"/>
      <c r="S209" s="774"/>
      <c r="T209" s="774"/>
      <c r="U209" s="774"/>
      <c r="V209" s="774"/>
    </row>
    <row r="210" spans="1:22" hidden="1">
      <c r="A210" s="786">
        <v>210</v>
      </c>
      <c r="B210" s="767"/>
      <c r="C210" s="767"/>
      <c r="D210" s="767"/>
      <c r="E210" s="767"/>
      <c r="F210" s="806"/>
      <c r="G210" s="778"/>
      <c r="H210" s="788"/>
      <c r="I210" s="788"/>
      <c r="J210" s="788"/>
      <c r="K210" s="788"/>
      <c r="L210" s="788"/>
      <c r="M210" s="788"/>
      <c r="N210" s="788"/>
      <c r="O210" s="788"/>
      <c r="P210" s="772"/>
      <c r="R210" s="774"/>
    </row>
    <row r="211" spans="1:22" hidden="1">
      <c r="A211" s="786">
        <v>211</v>
      </c>
      <c r="B211" s="767"/>
      <c r="C211" s="767" t="s">
        <v>721</v>
      </c>
      <c r="D211" s="767" t="s">
        <v>722</v>
      </c>
      <c r="E211" s="767"/>
      <c r="F211" s="806" t="s">
        <v>1392</v>
      </c>
      <c r="G211" s="778"/>
      <c r="H211" s="788">
        <v>-13377.611575706778</v>
      </c>
      <c r="I211" s="788">
        <v>-5075.1699818335546</v>
      </c>
      <c r="J211" s="788">
        <v>-1846.5021062174046</v>
      </c>
      <c r="K211" s="788">
        <v>-3163.2407238223877</v>
      </c>
      <c r="L211" s="788">
        <v>-1335.0420415627691</v>
      </c>
      <c r="M211" s="788">
        <v>-1367.5360431166957</v>
      </c>
      <c r="N211" s="788">
        <v>-548.5385298198803</v>
      </c>
      <c r="O211" s="788">
        <v>-41.582149334088307</v>
      </c>
      <c r="P211" s="772">
        <v>0</v>
      </c>
      <c r="Q211" s="774"/>
      <c r="R211" s="774">
        <v>232</v>
      </c>
      <c r="S211" s="774"/>
      <c r="T211" s="774"/>
      <c r="U211" s="774"/>
      <c r="V211" s="774"/>
    </row>
    <row r="212" spans="1:22" hidden="1">
      <c r="A212" s="786">
        <v>212</v>
      </c>
      <c r="B212" s="767"/>
      <c r="C212" s="767"/>
      <c r="D212" s="767"/>
      <c r="E212" s="820" t="s">
        <v>719</v>
      </c>
      <c r="F212" s="806" t="s">
        <v>1392</v>
      </c>
      <c r="G212" s="778"/>
      <c r="H212" s="788">
        <v>218323.3760474252</v>
      </c>
      <c r="I212" s="788">
        <v>82827.060583862927</v>
      </c>
      <c r="J212" s="788">
        <v>30135.018603779899</v>
      </c>
      <c r="K212" s="788">
        <v>51624.267169613777</v>
      </c>
      <c r="L212" s="788">
        <v>21787.96147800632</v>
      </c>
      <c r="M212" s="788">
        <v>22318.265417569517</v>
      </c>
      <c r="N212" s="788">
        <v>8952.1797702547119</v>
      </c>
      <c r="O212" s="788">
        <v>678.62302433808827</v>
      </c>
      <c r="P212" s="772">
        <v>0</v>
      </c>
      <c r="Q212" s="774"/>
      <c r="R212" s="774">
        <v>233</v>
      </c>
      <c r="S212" s="774"/>
      <c r="T212" s="774"/>
      <c r="U212" s="774"/>
      <c r="V212" s="774"/>
    </row>
    <row r="213" spans="1:22" hidden="1">
      <c r="A213" s="786">
        <v>213</v>
      </c>
      <c r="B213" s="767"/>
      <c r="C213" s="767"/>
      <c r="D213" s="767"/>
      <c r="E213" s="820" t="s">
        <v>723</v>
      </c>
      <c r="F213" s="806" t="s">
        <v>1392</v>
      </c>
      <c r="G213" s="778"/>
      <c r="H213" s="788">
        <v>661745.42520031659</v>
      </c>
      <c r="I213" s="788">
        <v>251051.57961763372</v>
      </c>
      <c r="J213" s="788">
        <v>91340.24519227822</v>
      </c>
      <c r="K213" s="788">
        <v>156474.87340700504</v>
      </c>
      <c r="L213" s="788">
        <v>66040.037001715507</v>
      </c>
      <c r="M213" s="788">
        <v>67647.405907074601</v>
      </c>
      <c r="N213" s="788">
        <v>27134.355082755887</v>
      </c>
      <c r="O213" s="788">
        <v>2056.9289918537297</v>
      </c>
      <c r="P213" s="772">
        <v>0</v>
      </c>
      <c r="Q213" s="774"/>
      <c r="R213" s="774">
        <v>234</v>
      </c>
      <c r="S213" s="774"/>
      <c r="T213" s="774"/>
      <c r="U213" s="774"/>
      <c r="V213" s="774"/>
    </row>
    <row r="214" spans="1:22" hidden="1">
      <c r="A214" s="786">
        <v>214</v>
      </c>
      <c r="B214" s="767"/>
      <c r="C214" s="767"/>
      <c r="D214" s="767"/>
      <c r="E214" s="820" t="s">
        <v>718</v>
      </c>
      <c r="F214" s="806" t="s">
        <v>1392</v>
      </c>
      <c r="G214" s="778"/>
      <c r="H214" s="788">
        <v>2549407.9127013339</v>
      </c>
      <c r="I214" s="788">
        <v>967188.9811397189</v>
      </c>
      <c r="J214" s="788">
        <v>351892.94096107135</v>
      </c>
      <c r="K214" s="788">
        <v>602827.40947094851</v>
      </c>
      <c r="L214" s="788">
        <v>254422.60191870207</v>
      </c>
      <c r="M214" s="788">
        <v>260615.07239133451</v>
      </c>
      <c r="N214" s="788">
        <v>104536.48324517714</v>
      </c>
      <c r="O214" s="788">
        <v>7924.423574381769</v>
      </c>
      <c r="P214" s="772">
        <v>0</v>
      </c>
      <c r="R214" s="774">
        <v>235</v>
      </c>
    </row>
    <row r="215" spans="1:22" hidden="1">
      <c r="A215" s="786">
        <v>215</v>
      </c>
      <c r="B215" s="767"/>
      <c r="C215" s="767"/>
      <c r="D215" s="767"/>
      <c r="E215" s="820" t="s">
        <v>724</v>
      </c>
      <c r="F215" s="806"/>
      <c r="G215" s="778"/>
      <c r="H215" s="788">
        <v>3416099.102373369</v>
      </c>
      <c r="I215" s="788">
        <v>1295992.4513593819</v>
      </c>
      <c r="J215" s="788">
        <v>471521.70265091205</v>
      </c>
      <c r="K215" s="788">
        <v>807763.30932374496</v>
      </c>
      <c r="L215" s="788">
        <v>340915.55835686112</v>
      </c>
      <c r="M215" s="788">
        <v>349213.20767286193</v>
      </c>
      <c r="N215" s="788">
        <v>140074.47956836785</v>
      </c>
      <c r="O215" s="788">
        <v>10618.393441239499</v>
      </c>
      <c r="P215" s="772">
        <v>0</v>
      </c>
      <c r="R215" s="774"/>
    </row>
    <row r="216" spans="1:22" hidden="1">
      <c r="A216" s="786">
        <v>216</v>
      </c>
      <c r="B216" s="767"/>
      <c r="C216" s="767"/>
      <c r="D216" s="767"/>
      <c r="E216" s="820"/>
      <c r="F216" s="806"/>
      <c r="G216" s="778"/>
      <c r="H216" s="788"/>
      <c r="I216" s="788"/>
      <c r="J216" s="788"/>
      <c r="K216" s="788"/>
      <c r="L216" s="788"/>
      <c r="M216" s="788"/>
      <c r="N216" s="788"/>
      <c r="O216" s="788"/>
      <c r="P216" s="772"/>
      <c r="R216" s="774"/>
    </row>
    <row r="217" spans="1:22" hidden="1">
      <c r="A217" s="786">
        <v>217</v>
      </c>
      <c r="B217" s="767"/>
      <c r="C217" s="767" t="s">
        <v>725</v>
      </c>
      <c r="D217" s="767" t="s">
        <v>726</v>
      </c>
      <c r="E217" s="820"/>
      <c r="F217" s="806"/>
      <c r="G217" s="778"/>
      <c r="H217" s="788"/>
      <c r="I217" s="788"/>
      <c r="J217" s="788"/>
      <c r="K217" s="788"/>
      <c r="L217" s="788"/>
      <c r="M217" s="788"/>
      <c r="N217" s="788"/>
      <c r="O217" s="788"/>
      <c r="P217" s="772"/>
      <c r="R217" s="774"/>
    </row>
    <row r="218" spans="1:22" hidden="1">
      <c r="A218" s="786">
        <v>218</v>
      </c>
      <c r="B218" s="767"/>
      <c r="C218" s="767"/>
      <c r="D218" s="767"/>
      <c r="E218" s="820" t="s">
        <v>727</v>
      </c>
      <c r="F218" s="806" t="s">
        <v>1392</v>
      </c>
      <c r="G218" s="778"/>
      <c r="H218" s="788">
        <v>-4714257.427668673</v>
      </c>
      <c r="I218" s="788">
        <v>-1971736.875343242</v>
      </c>
      <c r="J218" s="788">
        <v>-629997.38253152429</v>
      </c>
      <c r="K218" s="788">
        <v>-1069116.7822747163</v>
      </c>
      <c r="L218" s="788">
        <v>-435830.61931211042</v>
      </c>
      <c r="M218" s="788">
        <v>-412177.06224497716</v>
      </c>
      <c r="N218" s="788">
        <v>-187812.23188727119</v>
      </c>
      <c r="O218" s="788">
        <v>-7586.4740748319473</v>
      </c>
      <c r="P218" s="772">
        <v>0</v>
      </c>
      <c r="R218" s="774">
        <v>239</v>
      </c>
    </row>
    <row r="219" spans="1:22" hidden="1">
      <c r="A219" s="786">
        <v>219</v>
      </c>
      <c r="B219" s="767"/>
      <c r="E219" s="820" t="s">
        <v>728</v>
      </c>
      <c r="F219" s="806" t="s">
        <v>1392</v>
      </c>
      <c r="G219" s="778"/>
      <c r="H219" s="788">
        <v>54296795.032486156</v>
      </c>
      <c r="I219" s="788">
        <v>22709619.621143658</v>
      </c>
      <c r="J219" s="788">
        <v>7256039.636179382</v>
      </c>
      <c r="K219" s="788">
        <v>12313628.537181623</v>
      </c>
      <c r="L219" s="788">
        <v>5019710.1386068659</v>
      </c>
      <c r="M219" s="788">
        <v>4747278.6136915041</v>
      </c>
      <c r="N219" s="788">
        <v>2163140.7312476598</v>
      </c>
      <c r="O219" s="788">
        <v>87377.754435469251</v>
      </c>
      <c r="P219" s="772">
        <v>0</v>
      </c>
      <c r="R219" s="774">
        <v>240</v>
      </c>
    </row>
    <row r="220" spans="1:22" hidden="1">
      <c r="A220" s="786">
        <v>220</v>
      </c>
      <c r="B220" s="767"/>
      <c r="C220" s="767"/>
      <c r="D220" s="767" t="s">
        <v>729</v>
      </c>
      <c r="E220" s="820"/>
      <c r="F220" s="806"/>
      <c r="G220" s="778"/>
      <c r="H220" s="788">
        <v>52998636.707190849</v>
      </c>
      <c r="I220" s="788">
        <v>22033875.197159797</v>
      </c>
      <c r="J220" s="788">
        <v>7097563.9562987695</v>
      </c>
      <c r="K220" s="788">
        <v>12052275.064230653</v>
      </c>
      <c r="L220" s="788">
        <v>4924795.0776516162</v>
      </c>
      <c r="M220" s="788">
        <v>4684314.7591193886</v>
      </c>
      <c r="N220" s="788">
        <v>2115402.9789287564</v>
      </c>
      <c r="O220" s="788">
        <v>90409.673801876808</v>
      </c>
      <c r="P220" s="772">
        <v>0</v>
      </c>
      <c r="R220" s="774"/>
    </row>
    <row r="221" spans="1:22" hidden="1">
      <c r="A221" s="786">
        <v>221</v>
      </c>
      <c r="B221" s="767"/>
      <c r="C221" s="767"/>
      <c r="D221" s="767"/>
      <c r="E221" s="820"/>
      <c r="F221" s="806"/>
      <c r="G221" s="778"/>
      <c r="H221" s="788"/>
      <c r="I221" s="788"/>
      <c r="J221" s="788"/>
      <c r="K221" s="788"/>
      <c r="L221" s="788"/>
      <c r="M221" s="788"/>
      <c r="N221" s="788"/>
      <c r="O221" s="788"/>
      <c r="P221" s="772"/>
      <c r="R221" s="774"/>
    </row>
    <row r="222" spans="1:22" hidden="1">
      <c r="A222" s="786">
        <v>222</v>
      </c>
      <c r="B222" s="767"/>
      <c r="C222" s="767"/>
      <c r="D222" s="767"/>
      <c r="E222" s="820"/>
      <c r="F222" s="806"/>
      <c r="G222" s="778"/>
      <c r="H222" s="788"/>
      <c r="I222" s="788"/>
      <c r="J222" s="788"/>
      <c r="K222" s="788"/>
      <c r="L222" s="788"/>
      <c r="M222" s="788"/>
      <c r="N222" s="788"/>
      <c r="O222" s="788"/>
      <c r="P222" s="772"/>
      <c r="R222" s="774"/>
    </row>
    <row r="223" spans="1:22" hidden="1">
      <c r="A223" s="786">
        <v>223</v>
      </c>
      <c r="B223" s="767"/>
      <c r="C223" s="767" t="s">
        <v>730</v>
      </c>
      <c r="D223" s="767" t="s">
        <v>731</v>
      </c>
      <c r="E223" s="767"/>
      <c r="F223" s="806" t="s">
        <v>1392</v>
      </c>
      <c r="G223" s="778"/>
      <c r="H223" s="788">
        <v>159536.78557164085</v>
      </c>
      <c r="I223" s="788">
        <v>66726.216782118456</v>
      </c>
      <c r="J223" s="788">
        <v>21319.95523573488</v>
      </c>
      <c r="K223" s="788">
        <v>36180.34387425302</v>
      </c>
      <c r="L223" s="788">
        <v>14749.091903777633</v>
      </c>
      <c r="M223" s="788">
        <v>13948.623851337832</v>
      </c>
      <c r="N223" s="788">
        <v>6355.8174804951968</v>
      </c>
      <c r="O223" s="788">
        <v>256.73644392385535</v>
      </c>
      <c r="P223" s="772">
        <v>0</v>
      </c>
      <c r="Q223" s="774"/>
      <c r="R223" s="774">
        <v>245</v>
      </c>
      <c r="S223" s="774"/>
      <c r="T223" s="774"/>
      <c r="U223" s="774"/>
      <c r="V223" s="774"/>
    </row>
    <row r="224" spans="1:22" hidden="1">
      <c r="A224" s="786">
        <v>224</v>
      </c>
      <c r="B224" s="767"/>
      <c r="C224" s="767"/>
      <c r="D224" s="767"/>
      <c r="E224" s="820" t="s">
        <v>732</v>
      </c>
      <c r="F224" s="806" t="s">
        <v>1392</v>
      </c>
      <c r="G224" s="778"/>
      <c r="H224" s="788">
        <v>4481517.5890261848</v>
      </c>
      <c r="I224" s="788">
        <v>1874393.5017040623</v>
      </c>
      <c r="J224" s="788">
        <v>598894.81942264305</v>
      </c>
      <c r="K224" s="788">
        <v>1016335.1785514668</v>
      </c>
      <c r="L224" s="788">
        <v>414313.9436594788</v>
      </c>
      <c r="M224" s="788">
        <v>391828.14739870606</v>
      </c>
      <c r="N224" s="788">
        <v>178540.06353091873</v>
      </c>
      <c r="O224" s="788">
        <v>7211.9347589094004</v>
      </c>
      <c r="P224" s="772">
        <v>0</v>
      </c>
      <c r="Q224" s="774"/>
      <c r="R224" s="774">
        <v>246</v>
      </c>
      <c r="S224" s="774"/>
      <c r="T224" s="774"/>
      <c r="U224" s="774"/>
      <c r="V224" s="774"/>
    </row>
    <row r="225" spans="1:22" hidden="1">
      <c r="A225" s="786">
        <v>225</v>
      </c>
      <c r="B225" s="767"/>
      <c r="C225" s="767"/>
      <c r="D225" s="767"/>
      <c r="E225" s="767" t="s">
        <v>733</v>
      </c>
      <c r="F225" s="806"/>
      <c r="G225" s="778"/>
      <c r="H225" s="788">
        <v>4641054.374597826</v>
      </c>
      <c r="I225" s="788">
        <v>1941119.7184861808</v>
      </c>
      <c r="J225" s="788">
        <v>620214.77465837798</v>
      </c>
      <c r="K225" s="788">
        <v>1052515.5224257198</v>
      </c>
      <c r="L225" s="788">
        <v>429063.03556325642</v>
      </c>
      <c r="M225" s="788">
        <v>405776.77125004388</v>
      </c>
      <c r="N225" s="788">
        <v>184895.88101141393</v>
      </c>
      <c r="O225" s="788">
        <v>7468.6712028332558</v>
      </c>
      <c r="P225" s="772">
        <v>0</v>
      </c>
      <c r="Q225" s="774"/>
      <c r="R225" s="774"/>
      <c r="S225" s="774"/>
      <c r="T225" s="774"/>
      <c r="U225" s="774"/>
      <c r="V225" s="774"/>
    </row>
    <row r="226" spans="1:22" hidden="1">
      <c r="A226" s="786">
        <v>226</v>
      </c>
      <c r="B226" s="767"/>
      <c r="C226" s="767"/>
      <c r="D226" s="767"/>
      <c r="E226" s="767"/>
      <c r="F226" s="806"/>
      <c r="G226" s="778"/>
      <c r="H226" s="788"/>
      <c r="I226" s="788"/>
      <c r="J226" s="788"/>
      <c r="K226" s="788"/>
      <c r="L226" s="788"/>
      <c r="M226" s="788"/>
      <c r="N226" s="788"/>
      <c r="O226" s="788"/>
      <c r="P226" s="772"/>
      <c r="R226" s="774"/>
    </row>
    <row r="227" spans="1:22" hidden="1">
      <c r="A227" s="786">
        <v>227</v>
      </c>
      <c r="B227" s="767"/>
      <c r="C227" s="767" t="s">
        <v>734</v>
      </c>
      <c r="D227" s="767" t="s">
        <v>735</v>
      </c>
      <c r="E227" s="767"/>
      <c r="F227" s="806" t="s">
        <v>1392</v>
      </c>
      <c r="G227" s="778"/>
      <c r="H227" s="788">
        <v>339903.47444253182</v>
      </c>
      <c r="I227" s="788">
        <v>128951.86113374098</v>
      </c>
      <c r="J227" s="788">
        <v>46916.632159398687</v>
      </c>
      <c r="K227" s="788">
        <v>80372.830863010997</v>
      </c>
      <c r="L227" s="788">
        <v>33921.25910413581</v>
      </c>
      <c r="M227" s="788">
        <v>34746.879130865971</v>
      </c>
      <c r="N227" s="788">
        <v>13937.476887874505</v>
      </c>
      <c r="O227" s="788">
        <v>1056.5351635049317</v>
      </c>
      <c r="P227" s="772">
        <v>0</v>
      </c>
      <c r="Q227" s="774"/>
      <c r="R227" s="774">
        <v>250</v>
      </c>
      <c r="S227" s="774"/>
      <c r="T227" s="774"/>
      <c r="U227" s="774"/>
      <c r="V227" s="774"/>
    </row>
    <row r="228" spans="1:22" hidden="1">
      <c r="A228" s="786">
        <v>228</v>
      </c>
      <c r="B228" s="767"/>
      <c r="C228" s="767"/>
      <c r="D228" s="767"/>
      <c r="E228" s="767"/>
      <c r="F228" s="806"/>
      <c r="G228" s="778"/>
      <c r="H228" s="788"/>
      <c r="I228" s="788"/>
      <c r="J228" s="788"/>
      <c r="K228" s="788"/>
      <c r="L228" s="788"/>
      <c r="M228" s="788"/>
      <c r="N228" s="788"/>
      <c r="O228" s="788"/>
      <c r="P228" s="772"/>
      <c r="Q228" s="774"/>
      <c r="R228" s="774"/>
      <c r="S228" s="774"/>
      <c r="T228" s="774"/>
      <c r="U228" s="774"/>
      <c r="V228" s="774"/>
    </row>
    <row r="229" spans="1:22" hidden="1">
      <c r="A229" s="786">
        <v>229</v>
      </c>
      <c r="B229" s="767"/>
      <c r="C229" s="767" t="s">
        <v>736</v>
      </c>
      <c r="D229" s="767" t="s">
        <v>737</v>
      </c>
      <c r="E229" s="767"/>
      <c r="F229" s="806"/>
      <c r="G229" s="778"/>
      <c r="H229" s="788"/>
      <c r="I229" s="788"/>
      <c r="J229" s="788"/>
      <c r="K229" s="788"/>
      <c r="L229" s="788"/>
      <c r="M229" s="788"/>
      <c r="N229" s="788"/>
      <c r="O229" s="788"/>
      <c r="P229" s="772"/>
      <c r="Q229" s="774"/>
      <c r="R229" s="774"/>
      <c r="S229" s="774"/>
      <c r="T229" s="774"/>
      <c r="U229" s="774"/>
      <c r="V229" s="774"/>
    </row>
    <row r="230" spans="1:22" hidden="1">
      <c r="A230" s="786">
        <v>230</v>
      </c>
      <c r="B230" s="767"/>
      <c r="C230" s="767"/>
      <c r="D230" s="767"/>
      <c r="E230" s="767" t="s">
        <v>738</v>
      </c>
      <c r="F230" s="806" t="s">
        <v>1392</v>
      </c>
      <c r="G230" s="778"/>
      <c r="H230" s="788">
        <v>0</v>
      </c>
      <c r="I230" s="788">
        <v>0</v>
      </c>
      <c r="J230" s="788">
        <v>0</v>
      </c>
      <c r="K230" s="788">
        <v>0</v>
      </c>
      <c r="L230" s="788">
        <v>0</v>
      </c>
      <c r="M230" s="788">
        <v>0</v>
      </c>
      <c r="N230" s="788">
        <v>0</v>
      </c>
      <c r="O230" s="788">
        <v>0</v>
      </c>
      <c r="P230" s="772">
        <v>0</v>
      </c>
      <c r="Q230" s="774"/>
      <c r="R230" s="774">
        <v>253</v>
      </c>
      <c r="S230" s="774"/>
      <c r="T230" s="774"/>
      <c r="U230" s="774"/>
      <c r="V230" s="774"/>
    </row>
    <row r="231" spans="1:22" hidden="1">
      <c r="A231" s="786">
        <v>231</v>
      </c>
      <c r="B231" s="767"/>
      <c r="C231" s="767"/>
      <c r="D231" s="767"/>
      <c r="E231" s="767" t="s">
        <v>728</v>
      </c>
      <c r="F231" s="806" t="s">
        <v>1392</v>
      </c>
      <c r="G231" s="778"/>
      <c r="H231" s="788">
        <v>0</v>
      </c>
      <c r="I231" s="788">
        <v>0</v>
      </c>
      <c r="J231" s="788">
        <v>0</v>
      </c>
      <c r="K231" s="788">
        <v>0</v>
      </c>
      <c r="L231" s="788">
        <v>0</v>
      </c>
      <c r="M231" s="788">
        <v>0</v>
      </c>
      <c r="N231" s="788">
        <v>0</v>
      </c>
      <c r="O231" s="788">
        <v>0</v>
      </c>
      <c r="P231" s="772">
        <v>0</v>
      </c>
      <c r="Q231" s="774"/>
      <c r="R231" s="774">
        <v>254</v>
      </c>
      <c r="S231" s="774"/>
      <c r="T231" s="774"/>
      <c r="U231" s="774"/>
      <c r="V231" s="774"/>
    </row>
    <row r="232" spans="1:22" hidden="1">
      <c r="A232" s="786">
        <v>232</v>
      </c>
      <c r="B232" s="767"/>
      <c r="C232" s="767"/>
      <c r="D232" s="767"/>
      <c r="E232" s="767" t="s">
        <v>739</v>
      </c>
      <c r="F232" s="806" t="s">
        <v>1392</v>
      </c>
      <c r="G232" s="778"/>
      <c r="H232" s="788">
        <v>0</v>
      </c>
      <c r="I232" s="788">
        <v>0</v>
      </c>
      <c r="J232" s="788">
        <v>0</v>
      </c>
      <c r="K232" s="788">
        <v>0</v>
      </c>
      <c r="L232" s="788">
        <v>0</v>
      </c>
      <c r="M232" s="788">
        <v>0</v>
      </c>
      <c r="N232" s="788">
        <v>0</v>
      </c>
      <c r="O232" s="788">
        <v>0</v>
      </c>
      <c r="P232" s="772">
        <v>0</v>
      </c>
      <c r="Q232" s="774"/>
      <c r="R232" s="774">
        <v>255</v>
      </c>
      <c r="S232" s="774"/>
      <c r="T232" s="774"/>
      <c r="U232" s="774"/>
      <c r="V232" s="774"/>
    </row>
    <row r="233" spans="1:22" hidden="1">
      <c r="A233" s="786">
        <v>233</v>
      </c>
      <c r="B233" s="767"/>
      <c r="C233" s="767"/>
      <c r="D233" s="767"/>
      <c r="E233" s="767" t="s">
        <v>740</v>
      </c>
      <c r="F233" s="806"/>
      <c r="G233" s="778"/>
      <c r="H233" s="788">
        <v>339903.47444253188</v>
      </c>
      <c r="I233" s="788">
        <v>128951.86113374098</v>
      </c>
      <c r="J233" s="788">
        <v>46916.632159398687</v>
      </c>
      <c r="K233" s="788">
        <v>80372.830863010997</v>
      </c>
      <c r="L233" s="788">
        <v>33921.25910413581</v>
      </c>
      <c r="M233" s="788">
        <v>34746.879130865971</v>
      </c>
      <c r="N233" s="788">
        <v>13937.476887874505</v>
      </c>
      <c r="O233" s="788">
        <v>1056.5351635049317</v>
      </c>
      <c r="P233" s="772">
        <v>0</v>
      </c>
      <c r="Q233" s="774"/>
      <c r="R233" s="774"/>
      <c r="S233" s="774"/>
      <c r="T233" s="774"/>
      <c r="U233" s="774"/>
      <c r="V233" s="774"/>
    </row>
    <row r="234" spans="1:22" hidden="1">
      <c r="A234" s="786">
        <v>234</v>
      </c>
      <c r="B234" s="767"/>
      <c r="C234" s="767"/>
      <c r="D234" s="767"/>
      <c r="E234" s="767"/>
      <c r="F234" s="806"/>
      <c r="G234" s="778"/>
      <c r="H234" s="788"/>
      <c r="I234" s="788"/>
      <c r="J234" s="788"/>
      <c r="K234" s="788"/>
      <c r="L234" s="788"/>
      <c r="M234" s="788"/>
      <c r="N234" s="788"/>
      <c r="O234" s="788"/>
      <c r="P234" s="772"/>
      <c r="R234" s="774"/>
    </row>
    <row r="235" spans="1:22" hidden="1">
      <c r="A235" s="786">
        <v>235</v>
      </c>
      <c r="B235" s="767"/>
      <c r="C235" s="767" t="s">
        <v>741</v>
      </c>
      <c r="D235" s="767" t="s">
        <v>742</v>
      </c>
      <c r="E235" s="767"/>
      <c r="F235" s="806" t="s">
        <v>1392</v>
      </c>
      <c r="G235" s="778"/>
      <c r="H235" s="788">
        <v>6836.319898727189</v>
      </c>
      <c r="I235" s="788">
        <v>2859.2889214853744</v>
      </c>
      <c r="J235" s="788">
        <v>913.58261792592941</v>
      </c>
      <c r="K235" s="788">
        <v>1550.365979131996</v>
      </c>
      <c r="L235" s="788">
        <v>632.01417847718312</v>
      </c>
      <c r="M235" s="788">
        <v>597.71327630229086</v>
      </c>
      <c r="N235" s="788">
        <v>272.35349740123593</v>
      </c>
      <c r="O235" s="788">
        <v>11.001428003179603</v>
      </c>
      <c r="P235" s="772">
        <v>0</v>
      </c>
      <c r="Q235" s="774"/>
      <c r="R235" s="774">
        <v>259</v>
      </c>
      <c r="S235" s="774"/>
      <c r="T235" s="774"/>
      <c r="U235" s="774"/>
      <c r="V235" s="774"/>
    </row>
    <row r="236" spans="1:22" hidden="1">
      <c r="A236" s="786">
        <v>236</v>
      </c>
      <c r="B236" s="767"/>
      <c r="C236" s="767"/>
      <c r="D236" s="767"/>
      <c r="E236" s="820" t="s">
        <v>718</v>
      </c>
      <c r="F236" s="806" t="s">
        <v>1392</v>
      </c>
      <c r="G236" s="778"/>
      <c r="H236" s="788">
        <v>0</v>
      </c>
      <c r="I236" s="788">
        <v>0</v>
      </c>
      <c r="J236" s="788">
        <v>0</v>
      </c>
      <c r="K236" s="788">
        <v>0</v>
      </c>
      <c r="L236" s="788">
        <v>0</v>
      </c>
      <c r="M236" s="788">
        <v>0</v>
      </c>
      <c r="N236" s="788">
        <v>0</v>
      </c>
      <c r="O236" s="788">
        <v>0</v>
      </c>
      <c r="P236" s="772">
        <v>0</v>
      </c>
      <c r="Q236" s="774"/>
      <c r="R236" s="774">
        <v>260</v>
      </c>
      <c r="S236" s="774"/>
      <c r="T236" s="774"/>
      <c r="U236" s="774"/>
      <c r="V236" s="774"/>
    </row>
    <row r="237" spans="1:22" hidden="1">
      <c r="A237" s="786">
        <v>237</v>
      </c>
      <c r="B237" s="767"/>
      <c r="C237" s="767"/>
      <c r="D237" s="767"/>
      <c r="E237" s="767" t="s">
        <v>743</v>
      </c>
      <c r="F237" s="806"/>
      <c r="G237" s="778"/>
      <c r="H237" s="788">
        <v>6836.319898727188</v>
      </c>
      <c r="I237" s="788">
        <v>2859.2889214853744</v>
      </c>
      <c r="J237" s="788">
        <v>913.58261792592941</v>
      </c>
      <c r="K237" s="788">
        <v>1550.365979131996</v>
      </c>
      <c r="L237" s="788">
        <v>632.01417847718312</v>
      </c>
      <c r="M237" s="788">
        <v>597.71327630229086</v>
      </c>
      <c r="N237" s="788">
        <v>272.35349740123593</v>
      </c>
      <c r="O237" s="788">
        <v>11.001428003179603</v>
      </c>
      <c r="P237" s="772">
        <v>0</v>
      </c>
      <c r="Q237" s="774"/>
      <c r="R237" s="774"/>
      <c r="S237" s="774"/>
      <c r="T237" s="774"/>
      <c r="U237" s="774"/>
      <c r="V237" s="774"/>
    </row>
    <row r="238" spans="1:22" hidden="1">
      <c r="A238" s="786">
        <v>238</v>
      </c>
      <c r="B238" s="767"/>
      <c r="C238" s="767"/>
      <c r="D238" s="767"/>
      <c r="E238" s="767"/>
      <c r="F238" s="806"/>
      <c r="G238" s="778"/>
      <c r="H238" s="788"/>
      <c r="I238" s="788"/>
      <c r="J238" s="788"/>
      <c r="K238" s="788"/>
      <c r="L238" s="788"/>
      <c r="M238" s="788"/>
      <c r="N238" s="788"/>
      <c r="O238" s="788"/>
      <c r="P238" s="772"/>
      <c r="R238" s="774"/>
    </row>
    <row r="239" spans="1:22" hidden="1">
      <c r="A239" s="786">
        <v>239</v>
      </c>
      <c r="B239" s="767"/>
      <c r="C239" s="767" t="s">
        <v>744</v>
      </c>
      <c r="D239" s="767" t="s">
        <v>745</v>
      </c>
      <c r="E239" s="767"/>
      <c r="F239" s="806" t="s">
        <v>1392</v>
      </c>
      <c r="G239" s="778"/>
      <c r="H239" s="788">
        <v>308275.4484335648</v>
      </c>
      <c r="I239" s="788">
        <v>128936.12170433087</v>
      </c>
      <c r="J239" s="788">
        <v>41196.885955360551</v>
      </c>
      <c r="K239" s="788">
        <v>69911.849435548414</v>
      </c>
      <c r="L239" s="788">
        <v>28499.903043258648</v>
      </c>
      <c r="M239" s="788">
        <v>26953.145993225127</v>
      </c>
      <c r="N239" s="788">
        <v>12281.446419651558</v>
      </c>
      <c r="O239" s="788">
        <v>496.09588218965672</v>
      </c>
      <c r="P239" s="772">
        <v>0</v>
      </c>
      <c r="Q239" s="774"/>
      <c r="R239" s="774">
        <v>264</v>
      </c>
      <c r="S239" s="774"/>
      <c r="T239" s="774"/>
      <c r="U239" s="774"/>
      <c r="V239" s="774"/>
    </row>
    <row r="240" spans="1:22" hidden="1">
      <c r="A240" s="786">
        <v>240</v>
      </c>
      <c r="B240" s="767"/>
      <c r="C240" s="767"/>
      <c r="D240" s="767"/>
      <c r="E240" s="820" t="s">
        <v>738</v>
      </c>
      <c r="F240" s="806" t="s">
        <v>1392</v>
      </c>
      <c r="G240" s="778"/>
      <c r="H240" s="788">
        <v>0</v>
      </c>
      <c r="I240" s="788">
        <v>0</v>
      </c>
      <c r="J240" s="788">
        <v>0</v>
      </c>
      <c r="K240" s="788">
        <v>0</v>
      </c>
      <c r="L240" s="788">
        <v>0</v>
      </c>
      <c r="M240" s="788">
        <v>0</v>
      </c>
      <c r="N240" s="788">
        <v>0</v>
      </c>
      <c r="O240" s="788">
        <v>0</v>
      </c>
      <c r="P240" s="772">
        <v>0</v>
      </c>
      <c r="Q240" s="774"/>
      <c r="R240" s="774">
        <v>265</v>
      </c>
      <c r="S240" s="774"/>
      <c r="T240" s="774"/>
      <c r="U240" s="774"/>
      <c r="V240" s="774"/>
    </row>
    <row r="241" spans="1:22" hidden="1">
      <c r="A241" s="786">
        <v>241</v>
      </c>
      <c r="B241" s="767"/>
      <c r="C241" s="767"/>
      <c r="D241" s="767"/>
      <c r="E241" s="820" t="s">
        <v>718</v>
      </c>
      <c r="F241" s="806" t="s">
        <v>1392</v>
      </c>
      <c r="G241" s="778"/>
      <c r="H241" s="788">
        <v>-4931720.9065854121</v>
      </c>
      <c r="I241" s="788">
        <v>-2062690.9157195662</v>
      </c>
      <c r="J241" s="788">
        <v>-659058.46470952826</v>
      </c>
      <c r="K241" s="788">
        <v>-1118433.9564869665</v>
      </c>
      <c r="L241" s="788">
        <v>-455935.00354403351</v>
      </c>
      <c r="M241" s="788">
        <v>-431190.33406153135</v>
      </c>
      <c r="N241" s="788">
        <v>-196475.80233414876</v>
      </c>
      <c r="O241" s="788">
        <v>-7936.4297296381092</v>
      </c>
      <c r="P241" s="772">
        <v>0</v>
      </c>
      <c r="Q241" s="774"/>
      <c r="R241" s="774">
        <v>266</v>
      </c>
      <c r="S241" s="774"/>
      <c r="T241" s="774"/>
      <c r="U241" s="774"/>
      <c r="V241" s="774"/>
    </row>
    <row r="242" spans="1:22" hidden="1">
      <c r="A242" s="786">
        <v>242</v>
      </c>
      <c r="B242" s="767"/>
      <c r="C242" s="767"/>
      <c r="D242" s="767"/>
      <c r="E242" s="767" t="s">
        <v>746</v>
      </c>
      <c r="F242" s="806"/>
      <c r="G242" s="778"/>
      <c r="H242" s="788">
        <v>-4623445.4581518471</v>
      </c>
      <c r="I242" s="788">
        <v>-1933754.7940152353</v>
      </c>
      <c r="J242" s="788">
        <v>-617861.57875416765</v>
      </c>
      <c r="K242" s="788">
        <v>-1048522.107051418</v>
      </c>
      <c r="L242" s="788">
        <v>-427435.10050077486</v>
      </c>
      <c r="M242" s="788">
        <v>-404237.18806830625</v>
      </c>
      <c r="N242" s="788">
        <v>-184194.3559144972</v>
      </c>
      <c r="O242" s="788">
        <v>-7440.3338474484526</v>
      </c>
      <c r="P242" s="772">
        <v>0</v>
      </c>
      <c r="Q242" s="774"/>
      <c r="R242" s="774"/>
      <c r="S242" s="774"/>
      <c r="T242" s="774"/>
      <c r="U242" s="774"/>
      <c r="V242" s="774"/>
    </row>
    <row r="243" spans="1:22" hidden="1">
      <c r="A243" s="786">
        <v>243</v>
      </c>
      <c r="B243" s="767"/>
      <c r="C243" s="767"/>
      <c r="D243" s="767"/>
      <c r="E243" s="767"/>
      <c r="F243" s="806"/>
      <c r="G243" s="778"/>
      <c r="H243" s="788"/>
      <c r="I243" s="788"/>
      <c r="J243" s="788"/>
      <c r="K243" s="788"/>
      <c r="L243" s="788"/>
      <c r="M243" s="788"/>
      <c r="N243" s="788"/>
      <c r="O243" s="788"/>
      <c r="P243" s="772"/>
      <c r="R243" s="774"/>
    </row>
    <row r="244" spans="1:22" hidden="1">
      <c r="A244" s="786">
        <v>244</v>
      </c>
      <c r="B244" s="767"/>
      <c r="C244" s="767" t="s">
        <v>747</v>
      </c>
      <c r="D244" s="767" t="s">
        <v>748</v>
      </c>
      <c r="E244" s="767"/>
      <c r="F244" s="806" t="s">
        <v>1392</v>
      </c>
      <c r="G244" s="778"/>
      <c r="H244" s="788">
        <v>3429.9923840207675</v>
      </c>
      <c r="I244" s="788">
        <v>1434.5933732907606</v>
      </c>
      <c r="J244" s="788">
        <v>458.37255542168441</v>
      </c>
      <c r="K244" s="788">
        <v>777.86639297814656</v>
      </c>
      <c r="L244" s="788">
        <v>317.10099159834368</v>
      </c>
      <c r="M244" s="788">
        <v>299.89117184622432</v>
      </c>
      <c r="N244" s="788">
        <v>136.64814339972395</v>
      </c>
      <c r="O244" s="788">
        <v>5.5197554858842173</v>
      </c>
      <c r="P244" s="772">
        <v>0</v>
      </c>
      <c r="Q244" s="774"/>
      <c r="R244" s="774">
        <v>270</v>
      </c>
      <c r="S244" s="774"/>
      <c r="T244" s="774"/>
      <c r="U244" s="774"/>
      <c r="V244" s="774"/>
    </row>
    <row r="245" spans="1:22" hidden="1">
      <c r="A245" s="786">
        <v>245</v>
      </c>
      <c r="B245" s="767"/>
      <c r="C245" s="767"/>
      <c r="D245" s="767"/>
      <c r="E245" s="820" t="s">
        <v>718</v>
      </c>
      <c r="F245" s="806" t="s">
        <v>1392</v>
      </c>
      <c r="G245" s="778"/>
      <c r="H245" s="788">
        <v>70969.33108166141</v>
      </c>
      <c r="I245" s="788">
        <v>29682.903248106173</v>
      </c>
      <c r="J245" s="788">
        <v>9484.1008382459877</v>
      </c>
      <c r="K245" s="788">
        <v>16094.68809252889</v>
      </c>
      <c r="L245" s="788">
        <v>6561.0773259751149</v>
      </c>
      <c r="M245" s="788">
        <v>6204.9921633567246</v>
      </c>
      <c r="N245" s="788">
        <v>2827.3611847677607</v>
      </c>
      <c r="O245" s="788">
        <v>114.20822868076725</v>
      </c>
      <c r="P245" s="772">
        <v>0</v>
      </c>
      <c r="Q245" s="774"/>
      <c r="R245" s="774">
        <v>271</v>
      </c>
      <c r="S245" s="774"/>
      <c r="T245" s="774"/>
      <c r="U245" s="774"/>
      <c r="V245" s="774"/>
    </row>
    <row r="246" spans="1:22" hidden="1">
      <c r="A246" s="786">
        <v>246</v>
      </c>
      <c r="B246" s="767"/>
      <c r="C246" s="767"/>
      <c r="D246" s="767"/>
      <c r="E246" s="767" t="s">
        <v>749</v>
      </c>
      <c r="F246" s="806"/>
      <c r="G246" s="778"/>
      <c r="H246" s="788">
        <v>74399.323465682173</v>
      </c>
      <c r="I246" s="788">
        <v>31117.496621396935</v>
      </c>
      <c r="J246" s="788">
        <v>9942.4733936676712</v>
      </c>
      <c r="K246" s="788">
        <v>16872.554485507037</v>
      </c>
      <c r="L246" s="788">
        <v>6878.178317573459</v>
      </c>
      <c r="M246" s="788">
        <v>6504.8833352029487</v>
      </c>
      <c r="N246" s="788">
        <v>2964.0093281674845</v>
      </c>
      <c r="O246" s="788">
        <v>119.72798416665147</v>
      </c>
      <c r="P246" s="772">
        <v>0</v>
      </c>
      <c r="Q246" s="774"/>
      <c r="R246" s="774"/>
      <c r="S246" s="774"/>
      <c r="T246" s="774"/>
      <c r="U246" s="774"/>
      <c r="V246" s="774"/>
    </row>
    <row r="247" spans="1:22" hidden="1">
      <c r="A247" s="786">
        <v>247</v>
      </c>
      <c r="B247" s="767"/>
      <c r="C247" s="767"/>
      <c r="D247" s="767"/>
      <c r="E247" s="767"/>
      <c r="F247" s="806"/>
      <c r="G247" s="778"/>
      <c r="H247" s="788"/>
      <c r="I247" s="788"/>
      <c r="J247" s="788"/>
      <c r="K247" s="788"/>
      <c r="L247" s="788"/>
      <c r="M247" s="788"/>
      <c r="N247" s="788"/>
      <c r="O247" s="788"/>
      <c r="P247" s="772"/>
      <c r="R247" s="774"/>
    </row>
    <row r="248" spans="1:22" hidden="1">
      <c r="A248" s="786">
        <v>248</v>
      </c>
      <c r="B248" s="767"/>
      <c r="C248" s="767" t="s">
        <v>750</v>
      </c>
      <c r="D248" s="767" t="s">
        <v>751</v>
      </c>
      <c r="E248" s="767"/>
      <c r="F248" s="806" t="s">
        <v>1392</v>
      </c>
      <c r="G248" s="778"/>
      <c r="H248" s="788">
        <v>39073.263881187711</v>
      </c>
      <c r="I248" s="788">
        <v>16342.381895053715</v>
      </c>
      <c r="J248" s="788">
        <v>5221.6185369166624</v>
      </c>
      <c r="K248" s="788">
        <v>8861.1796862108586</v>
      </c>
      <c r="L248" s="788">
        <v>3612.3026918165169</v>
      </c>
      <c r="M248" s="788">
        <v>3416.2544930931213</v>
      </c>
      <c r="N248" s="788">
        <v>1556.6474697745173</v>
      </c>
      <c r="O248" s="788">
        <v>62.879108322323809</v>
      </c>
      <c r="P248" s="772">
        <v>0</v>
      </c>
      <c r="Q248" s="774"/>
      <c r="R248" s="774">
        <v>275</v>
      </c>
      <c r="S248" s="774"/>
      <c r="T248" s="774"/>
      <c r="U248" s="774"/>
      <c r="V248" s="774"/>
    </row>
    <row r="249" spans="1:22" hidden="1">
      <c r="A249" s="786">
        <v>249</v>
      </c>
      <c r="B249" s="767"/>
      <c r="C249" s="767"/>
      <c r="D249" s="767"/>
      <c r="E249" s="820" t="s">
        <v>718</v>
      </c>
      <c r="F249" s="806" t="s">
        <v>1392</v>
      </c>
      <c r="G249" s="778"/>
      <c r="H249" s="788">
        <v>172307.58999462175</v>
      </c>
      <c r="I249" s="788">
        <v>72067.602227215059</v>
      </c>
      <c r="J249" s="788">
        <v>23026.602249128617</v>
      </c>
      <c r="K249" s="788">
        <v>39076.554261836594</v>
      </c>
      <c r="L249" s="788">
        <v>15929.746054761088</v>
      </c>
      <c r="M249" s="788">
        <v>15065.201113045097</v>
      </c>
      <c r="N249" s="788">
        <v>6864.5960778621229</v>
      </c>
      <c r="O249" s="788">
        <v>277.28801077318758</v>
      </c>
      <c r="P249" s="772">
        <v>0</v>
      </c>
      <c r="Q249" s="774"/>
      <c r="R249" s="774">
        <v>276</v>
      </c>
      <c r="S249" s="774"/>
      <c r="T249" s="774"/>
      <c r="U249" s="774"/>
      <c r="V249" s="774"/>
    </row>
    <row r="250" spans="1:22" hidden="1">
      <c r="A250" s="786">
        <v>250</v>
      </c>
      <c r="B250" s="767"/>
      <c r="C250" s="767"/>
      <c r="D250" s="767"/>
      <c r="E250" s="767" t="s">
        <v>752</v>
      </c>
      <c r="F250" s="806"/>
      <c r="G250" s="778"/>
      <c r="H250" s="788">
        <v>211380.85387580947</v>
      </c>
      <c r="I250" s="788">
        <v>88409.984122268768</v>
      </c>
      <c r="J250" s="788">
        <v>28248.22078604528</v>
      </c>
      <c r="K250" s="788">
        <v>47937.733948047455</v>
      </c>
      <c r="L250" s="788">
        <v>19542.048746577606</v>
      </c>
      <c r="M250" s="788">
        <v>18481.455606138217</v>
      </c>
      <c r="N250" s="788">
        <v>8421.2435476366409</v>
      </c>
      <c r="O250" s="788">
        <v>340.1671190955114</v>
      </c>
      <c r="P250" s="772">
        <v>0</v>
      </c>
      <c r="Q250" s="774"/>
      <c r="R250" s="774"/>
      <c r="S250" s="774"/>
      <c r="T250" s="774"/>
      <c r="U250" s="774"/>
      <c r="V250" s="774"/>
    </row>
    <row r="251" spans="1:22" hidden="1">
      <c r="A251" s="786">
        <v>251</v>
      </c>
      <c r="B251" s="767"/>
      <c r="C251" s="767"/>
      <c r="D251" s="767"/>
      <c r="E251" s="767"/>
      <c r="F251" s="806"/>
      <c r="G251" s="778"/>
      <c r="H251" s="788"/>
      <c r="I251" s="788"/>
      <c r="J251" s="788"/>
      <c r="K251" s="788"/>
      <c r="L251" s="788"/>
      <c r="M251" s="788"/>
      <c r="N251" s="788"/>
      <c r="O251" s="788"/>
      <c r="P251" s="772"/>
      <c r="R251" s="774"/>
    </row>
    <row r="252" spans="1:22" hidden="1">
      <c r="A252" s="786">
        <v>252</v>
      </c>
      <c r="B252" s="767"/>
      <c r="C252" s="767" t="s">
        <v>753</v>
      </c>
      <c r="D252" s="767" t="s">
        <v>754</v>
      </c>
      <c r="E252" s="767"/>
      <c r="F252" s="806" t="s">
        <v>1392</v>
      </c>
      <c r="G252" s="778"/>
      <c r="H252" s="788">
        <v>51787.30109172505</v>
      </c>
      <c r="I252" s="788">
        <v>21660.024469124975</v>
      </c>
      <c r="J252" s="788">
        <v>6920.6793724654735</v>
      </c>
      <c r="K252" s="788">
        <v>11744.516194835227</v>
      </c>
      <c r="L252" s="788">
        <v>4787.7087438712433</v>
      </c>
      <c r="M252" s="788">
        <v>4527.8684825956298</v>
      </c>
      <c r="N252" s="788">
        <v>2063.1645069634878</v>
      </c>
      <c r="O252" s="788">
        <v>83.339321869017979</v>
      </c>
      <c r="P252" s="772">
        <v>0</v>
      </c>
      <c r="Q252" s="774"/>
      <c r="R252" s="774">
        <v>280</v>
      </c>
      <c r="S252" s="774"/>
      <c r="T252" s="774"/>
      <c r="U252" s="774"/>
      <c r="V252" s="774"/>
    </row>
    <row r="253" spans="1:22" hidden="1">
      <c r="A253" s="786">
        <v>253</v>
      </c>
      <c r="B253" s="767"/>
      <c r="C253" s="767"/>
      <c r="D253" s="767"/>
      <c r="E253" s="820" t="s">
        <v>718</v>
      </c>
      <c r="F253" s="806" t="s">
        <v>1392</v>
      </c>
      <c r="G253" s="778"/>
      <c r="H253" s="788">
        <v>2335258.5408615684</v>
      </c>
      <c r="I253" s="788">
        <v>976721.24382780353</v>
      </c>
      <c r="J253" s="788">
        <v>312076.03548385901</v>
      </c>
      <c r="K253" s="788">
        <v>529598.59220503725</v>
      </c>
      <c r="L253" s="788">
        <v>215893.42366925237</v>
      </c>
      <c r="M253" s="788">
        <v>204176.37766353696</v>
      </c>
      <c r="N253" s="788">
        <v>93034.825807108733</v>
      </c>
      <c r="O253" s="788">
        <v>3758.0422049708463</v>
      </c>
      <c r="P253" s="772">
        <v>0</v>
      </c>
      <c r="Q253" s="774"/>
      <c r="R253" s="774">
        <v>281</v>
      </c>
      <c r="S253" s="774"/>
      <c r="T253" s="774"/>
      <c r="U253" s="774"/>
      <c r="V253" s="774"/>
    </row>
    <row r="254" spans="1:22" hidden="1">
      <c r="A254" s="786">
        <v>254</v>
      </c>
      <c r="B254" s="767"/>
      <c r="C254" s="767"/>
      <c r="D254" s="767"/>
      <c r="E254" s="767" t="s">
        <v>755</v>
      </c>
      <c r="F254" s="806"/>
      <c r="G254" s="778"/>
      <c r="H254" s="788">
        <v>2387045.8419532934</v>
      </c>
      <c r="I254" s="788">
        <v>998381.26829692849</v>
      </c>
      <c r="J254" s="788">
        <v>318996.71485632448</v>
      </c>
      <c r="K254" s="788">
        <v>541343.10839987244</v>
      </c>
      <c r="L254" s="788">
        <v>220681.13241312362</v>
      </c>
      <c r="M254" s="788">
        <v>208704.24614613259</v>
      </c>
      <c r="N254" s="788">
        <v>95097.990314072216</v>
      </c>
      <c r="O254" s="788">
        <v>3841.3815268398644</v>
      </c>
      <c r="P254" s="772">
        <v>0</v>
      </c>
      <c r="Q254" s="774"/>
      <c r="R254" s="774"/>
      <c r="S254" s="774"/>
      <c r="T254" s="774"/>
      <c r="U254" s="774"/>
      <c r="V254" s="774"/>
    </row>
    <row r="255" spans="1:22" hidden="1">
      <c r="A255" s="786">
        <v>255</v>
      </c>
      <c r="B255" s="767"/>
      <c r="C255" s="767"/>
      <c r="D255" s="767"/>
      <c r="E255" s="767"/>
      <c r="F255" s="806"/>
      <c r="G255" s="778"/>
      <c r="H255" s="788"/>
      <c r="I255" s="788"/>
      <c r="J255" s="788"/>
      <c r="K255" s="788"/>
      <c r="L255" s="788"/>
      <c r="M255" s="788"/>
      <c r="N255" s="788"/>
      <c r="O255" s="788"/>
      <c r="P255" s="772"/>
      <c r="R255" s="774"/>
    </row>
    <row r="256" spans="1:22" hidden="1">
      <c r="A256" s="786">
        <v>256</v>
      </c>
      <c r="B256" s="767"/>
      <c r="C256" s="767" t="s">
        <v>756</v>
      </c>
      <c r="D256" s="767" t="s">
        <v>757</v>
      </c>
      <c r="E256" s="767"/>
      <c r="F256" s="806" t="s">
        <v>1392</v>
      </c>
      <c r="G256" s="778"/>
      <c r="H256" s="788">
        <v>263779.47855041223</v>
      </c>
      <c r="I256" s="788">
        <v>110325.69451216092</v>
      </c>
      <c r="J256" s="788">
        <v>35250.595369899158</v>
      </c>
      <c r="K256" s="788">
        <v>59820.888372101763</v>
      </c>
      <c r="L256" s="788">
        <v>24386.274034106806</v>
      </c>
      <c r="M256" s="788">
        <v>23062.77334608512</v>
      </c>
      <c r="N256" s="788">
        <v>10508.762695445943</v>
      </c>
      <c r="O256" s="788">
        <v>424.49022061254249</v>
      </c>
      <c r="P256" s="772">
        <v>0</v>
      </c>
      <c r="Q256" s="774"/>
      <c r="R256" s="774">
        <v>285</v>
      </c>
      <c r="S256" s="774"/>
      <c r="T256" s="774"/>
      <c r="U256" s="774"/>
      <c r="V256" s="774"/>
    </row>
    <row r="257" spans="1:22" hidden="1">
      <c r="A257" s="786">
        <v>257</v>
      </c>
      <c r="B257" s="767"/>
      <c r="C257" s="767"/>
      <c r="D257" s="767"/>
      <c r="E257" s="820" t="s">
        <v>719</v>
      </c>
      <c r="F257" s="806" t="s">
        <v>1392</v>
      </c>
      <c r="G257" s="778"/>
      <c r="H257" s="788">
        <v>392295.44947119395</v>
      </c>
      <c r="I257" s="788">
        <v>164077.46407989919</v>
      </c>
      <c r="J257" s="788">
        <v>52425.034088157532</v>
      </c>
      <c r="K257" s="788">
        <v>88966.216859113221</v>
      </c>
      <c r="L257" s="788">
        <v>36267.507941522104</v>
      </c>
      <c r="M257" s="788">
        <v>34299.184627911214</v>
      </c>
      <c r="N257" s="788">
        <v>15628.735819978514</v>
      </c>
      <c r="O257" s="788">
        <v>631.30605461219795</v>
      </c>
      <c r="P257" s="772">
        <v>0</v>
      </c>
      <c r="Q257" s="774"/>
      <c r="R257" s="774">
        <v>286</v>
      </c>
      <c r="S257" s="774"/>
      <c r="T257" s="774"/>
      <c r="U257" s="774"/>
      <c r="V257" s="774"/>
    </row>
    <row r="258" spans="1:22" hidden="1">
      <c r="A258" s="786">
        <v>258</v>
      </c>
      <c r="B258" s="767"/>
      <c r="C258" s="767"/>
      <c r="D258" s="767"/>
      <c r="E258" s="767" t="s">
        <v>718</v>
      </c>
      <c r="F258" s="806" t="s">
        <v>1392</v>
      </c>
      <c r="G258" s="778"/>
      <c r="H258" s="788">
        <v>5529431.7645456009</v>
      </c>
      <c r="I258" s="788">
        <v>2312683.3180258535</v>
      </c>
      <c r="J258" s="788">
        <v>738934.51768353977</v>
      </c>
      <c r="K258" s="788">
        <v>1253985.0414664457</v>
      </c>
      <c r="L258" s="788">
        <v>511193.05794416979</v>
      </c>
      <c r="M258" s="788">
        <v>483449.40333933878</v>
      </c>
      <c r="N258" s="788">
        <v>220288.12314588539</v>
      </c>
      <c r="O258" s="788">
        <v>8898.3029403683468</v>
      </c>
      <c r="P258" s="772">
        <v>0</v>
      </c>
      <c r="Q258" s="774"/>
      <c r="R258" s="774">
        <v>287</v>
      </c>
      <c r="S258" s="774"/>
      <c r="T258" s="774"/>
      <c r="U258" s="774"/>
      <c r="V258" s="774"/>
    </row>
    <row r="259" spans="1:22" hidden="1">
      <c r="A259" s="786">
        <v>259</v>
      </c>
      <c r="B259" s="767"/>
      <c r="C259" s="767"/>
      <c r="D259" s="767"/>
      <c r="E259" s="767" t="s">
        <v>758</v>
      </c>
      <c r="F259" s="806"/>
      <c r="G259" s="778"/>
      <c r="H259" s="788">
        <v>6185506.6925672079</v>
      </c>
      <c r="I259" s="788">
        <v>2587086.4766179137</v>
      </c>
      <c r="J259" s="788">
        <v>826610.14714159642</v>
      </c>
      <c r="K259" s="788">
        <v>1402772.1466976607</v>
      </c>
      <c r="L259" s="788">
        <v>571846.83991979866</v>
      </c>
      <c r="M259" s="788">
        <v>540811.36131333513</v>
      </c>
      <c r="N259" s="788">
        <v>246425.62166130985</v>
      </c>
      <c r="O259" s="788">
        <v>9954.0992155930871</v>
      </c>
      <c r="P259" s="772">
        <v>0</v>
      </c>
      <c r="Q259" s="774"/>
      <c r="R259" s="774"/>
      <c r="S259" s="774"/>
      <c r="T259" s="774"/>
      <c r="U259" s="774"/>
      <c r="V259" s="774"/>
    </row>
    <row r="260" spans="1:22" hidden="1">
      <c r="A260" s="786">
        <v>260</v>
      </c>
      <c r="B260" s="767"/>
      <c r="C260" s="767"/>
      <c r="D260" s="767"/>
      <c r="E260" s="767"/>
      <c r="F260" s="806"/>
      <c r="G260" s="778"/>
      <c r="H260" s="788"/>
      <c r="I260" s="788"/>
      <c r="J260" s="788"/>
      <c r="K260" s="788"/>
      <c r="L260" s="788"/>
      <c r="M260" s="788"/>
      <c r="N260" s="788"/>
      <c r="O260" s="788"/>
      <c r="P260" s="772"/>
      <c r="R260" s="774"/>
    </row>
    <row r="261" spans="1:22" hidden="1">
      <c r="A261" s="786">
        <v>261</v>
      </c>
      <c r="B261" s="767"/>
      <c r="C261" s="767" t="s">
        <v>759</v>
      </c>
      <c r="D261" s="767" t="s">
        <v>760</v>
      </c>
      <c r="E261" s="767"/>
      <c r="F261" s="806" t="s">
        <v>1392</v>
      </c>
      <c r="G261" s="778"/>
      <c r="H261" s="788">
        <v>8083.2527631305447</v>
      </c>
      <c r="I261" s="788">
        <v>3380.8182498142537</v>
      </c>
      <c r="J261" s="788">
        <v>1080.2184991478705</v>
      </c>
      <c r="K261" s="788">
        <v>1833.1500383730656</v>
      </c>
      <c r="L261" s="788">
        <v>747.29246585791475</v>
      </c>
      <c r="M261" s="788">
        <v>706.73513875935555</v>
      </c>
      <c r="N261" s="788">
        <v>322.03030183340189</v>
      </c>
      <c r="O261" s="788">
        <v>13.008069344683546</v>
      </c>
      <c r="P261" s="772">
        <v>0</v>
      </c>
      <c r="Q261" s="774"/>
      <c r="R261" s="774">
        <v>291</v>
      </c>
      <c r="S261" s="774"/>
      <c r="T261" s="774"/>
      <c r="U261" s="774"/>
      <c r="V261" s="774"/>
    </row>
    <row r="262" spans="1:22" hidden="1">
      <c r="A262" s="786">
        <v>262</v>
      </c>
      <c r="B262" s="767"/>
      <c r="C262" s="767"/>
      <c r="D262" s="767"/>
      <c r="E262" s="820" t="s">
        <v>718</v>
      </c>
      <c r="F262" s="806" t="s">
        <v>1392</v>
      </c>
      <c r="G262" s="778"/>
      <c r="H262" s="788">
        <v>1718173.1561006848</v>
      </c>
      <c r="I262" s="788">
        <v>718625.45100426383</v>
      </c>
      <c r="J262" s="788">
        <v>229610.83642279106</v>
      </c>
      <c r="K262" s="788">
        <v>389653.68018724601</v>
      </c>
      <c r="L262" s="788">
        <v>158844.20445811815</v>
      </c>
      <c r="M262" s="788">
        <v>150223.35431944806</v>
      </c>
      <c r="N262" s="788">
        <v>68450.639399140156</v>
      </c>
      <c r="O262" s="788">
        <v>2764.9903096777057</v>
      </c>
      <c r="P262" s="772">
        <v>0</v>
      </c>
      <c r="Q262" s="774"/>
      <c r="R262" s="774">
        <v>292</v>
      </c>
      <c r="S262" s="774"/>
      <c r="T262" s="774"/>
      <c r="U262" s="774"/>
      <c r="V262" s="774"/>
    </row>
    <row r="263" spans="1:22" hidden="1">
      <c r="A263" s="786">
        <v>263</v>
      </c>
      <c r="B263" s="767"/>
      <c r="C263" s="767"/>
      <c r="D263" s="767"/>
      <c r="E263" s="767" t="s">
        <v>761</v>
      </c>
      <c r="F263" s="806"/>
      <c r="G263" s="778"/>
      <c r="H263" s="788">
        <v>1726256.4088638155</v>
      </c>
      <c r="I263" s="788">
        <v>722006.26925407804</v>
      </c>
      <c r="J263" s="788">
        <v>230691.05492193892</v>
      </c>
      <c r="K263" s="788">
        <v>391486.83022561908</v>
      </c>
      <c r="L263" s="788">
        <v>159591.49692397608</v>
      </c>
      <c r="M263" s="788">
        <v>150930.08945820743</v>
      </c>
      <c r="N263" s="788">
        <v>68772.669700973565</v>
      </c>
      <c r="O263" s="788">
        <v>2777.9983790223891</v>
      </c>
      <c r="P263" s="772">
        <v>0</v>
      </c>
      <c r="Q263" s="774"/>
      <c r="R263" s="774"/>
      <c r="S263" s="774"/>
      <c r="T263" s="774"/>
      <c r="U263" s="774"/>
      <c r="V263" s="774"/>
    </row>
    <row r="264" spans="1:22" hidden="1">
      <c r="A264" s="786">
        <v>264</v>
      </c>
      <c r="B264" s="767"/>
      <c r="C264" s="767"/>
      <c r="D264" s="767"/>
      <c r="E264" s="767"/>
      <c r="F264" s="806"/>
      <c r="G264" s="778"/>
      <c r="H264" s="788"/>
      <c r="I264" s="788"/>
      <c r="J264" s="788"/>
      <c r="K264" s="788"/>
      <c r="L264" s="788"/>
      <c r="M264" s="788"/>
      <c r="N264" s="788"/>
      <c r="O264" s="788"/>
      <c r="P264" s="772"/>
      <c r="R264" s="774"/>
    </row>
    <row r="265" spans="1:22" hidden="1">
      <c r="A265" s="786">
        <v>265</v>
      </c>
      <c r="B265" s="767"/>
      <c r="C265" s="767" t="s">
        <v>762</v>
      </c>
      <c r="D265" s="767" t="s">
        <v>763</v>
      </c>
      <c r="E265" s="767"/>
      <c r="F265" s="806" t="s">
        <v>1392</v>
      </c>
      <c r="G265" s="778"/>
      <c r="H265" s="788">
        <v>63789.655128799524</v>
      </c>
      <c r="I265" s="788">
        <v>26680.005751209475</v>
      </c>
      <c r="J265" s="788">
        <v>8524.6332811328957</v>
      </c>
      <c r="K265" s="788">
        <v>14466.454554103984</v>
      </c>
      <c r="L265" s="788">
        <v>5897.3200609113146</v>
      </c>
      <c r="M265" s="788">
        <v>5577.2585727485912</v>
      </c>
      <c r="N265" s="788">
        <v>2541.3286577741733</v>
      </c>
      <c r="O265" s="788">
        <v>102.65425091909522</v>
      </c>
      <c r="P265" s="772">
        <v>0</v>
      </c>
      <c r="Q265" s="774"/>
      <c r="R265" s="774">
        <v>296</v>
      </c>
      <c r="S265" s="774"/>
      <c r="T265" s="774"/>
      <c r="U265" s="774"/>
      <c r="V265" s="774"/>
    </row>
    <row r="266" spans="1:22" hidden="1">
      <c r="A266" s="786">
        <v>266</v>
      </c>
      <c r="B266" s="767"/>
      <c r="C266" s="767"/>
      <c r="D266" s="767"/>
      <c r="E266" s="820" t="s">
        <v>718</v>
      </c>
      <c r="F266" s="806" t="s">
        <v>1392</v>
      </c>
      <c r="G266" s="778"/>
      <c r="H266" s="788">
        <v>452043.69433969475</v>
      </c>
      <c r="I266" s="788">
        <v>189067.15109886197</v>
      </c>
      <c r="J266" s="788">
        <v>60409.587001429958</v>
      </c>
      <c r="K266" s="788">
        <v>102516.145406813</v>
      </c>
      <c r="L266" s="788">
        <v>41791.201749801869</v>
      </c>
      <c r="M266" s="788">
        <v>39523.094527199595</v>
      </c>
      <c r="N266" s="788">
        <v>18009.057936933768</v>
      </c>
      <c r="O266" s="788">
        <v>727.45661865463512</v>
      </c>
      <c r="P266" s="772">
        <v>0</v>
      </c>
      <c r="Q266" s="774"/>
      <c r="R266" s="774">
        <v>297</v>
      </c>
      <c r="S266" s="774"/>
      <c r="T266" s="774"/>
      <c r="U266" s="774"/>
      <c r="V266" s="774"/>
    </row>
    <row r="267" spans="1:22" hidden="1">
      <c r="A267" s="786">
        <v>267</v>
      </c>
      <c r="B267" s="767"/>
      <c r="C267" s="767"/>
      <c r="D267" s="767"/>
      <c r="E267" s="767" t="s">
        <v>764</v>
      </c>
      <c r="F267" s="806"/>
      <c r="G267" s="778"/>
      <c r="H267" s="788">
        <v>515833.3494684943</v>
      </c>
      <c r="I267" s="788">
        <v>215747.15685007145</v>
      </c>
      <c r="J267" s="788">
        <v>68934.220282562848</v>
      </c>
      <c r="K267" s="788">
        <v>116982.59996091698</v>
      </c>
      <c r="L267" s="788">
        <v>47688.52181071318</v>
      </c>
      <c r="M267" s="788">
        <v>45100.353099948188</v>
      </c>
      <c r="N267" s="788">
        <v>20550.386594707943</v>
      </c>
      <c r="O267" s="788">
        <v>830.11086957373038</v>
      </c>
      <c r="P267" s="772">
        <v>0</v>
      </c>
      <c r="Q267" s="774"/>
      <c r="R267" s="774"/>
      <c r="S267" s="774"/>
      <c r="T267" s="774"/>
      <c r="U267" s="774"/>
      <c r="V267" s="774"/>
    </row>
    <row r="268" spans="1:22" hidden="1">
      <c r="A268" s="786">
        <v>268</v>
      </c>
      <c r="B268" s="767"/>
      <c r="C268" s="767"/>
      <c r="D268" s="767"/>
      <c r="E268" s="767"/>
      <c r="F268" s="806"/>
      <c r="G268" s="778"/>
      <c r="H268" s="788"/>
      <c r="I268" s="788"/>
      <c r="J268" s="788"/>
      <c r="K268" s="788"/>
      <c r="L268" s="788"/>
      <c r="M268" s="788"/>
      <c r="N268" s="788"/>
      <c r="O268" s="788"/>
      <c r="P268" s="772"/>
      <c r="R268" s="774"/>
    </row>
    <row r="269" spans="1:22" hidden="1">
      <c r="A269" s="786">
        <v>269</v>
      </c>
      <c r="B269" s="767"/>
      <c r="C269" s="767" t="s">
        <v>765</v>
      </c>
      <c r="D269" s="767"/>
      <c r="E269" s="767"/>
      <c r="F269" s="806"/>
      <c r="G269" s="778"/>
      <c r="H269" s="788">
        <v>67558959.042696968</v>
      </c>
      <c r="I269" s="788">
        <v>28110513.344286531</v>
      </c>
      <c r="J269" s="788">
        <v>9044849.1615427192</v>
      </c>
      <c r="K269" s="788">
        <v>15357607.22084211</v>
      </c>
      <c r="L269" s="788">
        <v>6273386.5799884982</v>
      </c>
      <c r="M269" s="788">
        <v>5962381.6223574514</v>
      </c>
      <c r="N269" s="788">
        <v>2695870.5288230516</v>
      </c>
      <c r="O269" s="788">
        <v>114350.58485659414</v>
      </c>
      <c r="P269" s="772">
        <v>0</v>
      </c>
      <c r="Q269" s="774"/>
      <c r="R269" s="774"/>
      <c r="S269" s="774"/>
      <c r="T269" s="774"/>
      <c r="U269" s="774"/>
      <c r="V269" s="774"/>
    </row>
    <row r="270" spans="1:22" hidden="1">
      <c r="A270" s="786">
        <v>270</v>
      </c>
      <c r="B270" s="767"/>
      <c r="C270" s="767"/>
      <c r="D270" s="767"/>
      <c r="E270" s="767"/>
      <c r="F270" s="806"/>
      <c r="G270" s="778"/>
      <c r="H270" s="810"/>
      <c r="I270" s="810"/>
      <c r="J270" s="810"/>
      <c r="K270" s="810"/>
      <c r="L270" s="810"/>
      <c r="M270" s="810"/>
      <c r="N270" s="810"/>
      <c r="O270" s="810"/>
      <c r="P270" s="772"/>
      <c r="R270" s="774"/>
    </row>
    <row r="271" spans="1:22" hidden="1">
      <c r="A271" s="786">
        <v>271</v>
      </c>
      <c r="B271" s="767"/>
      <c r="C271" s="767"/>
      <c r="D271" s="767"/>
      <c r="E271" s="767"/>
      <c r="F271" s="806"/>
      <c r="G271" s="778"/>
      <c r="H271" s="788"/>
      <c r="I271" s="788"/>
      <c r="J271" s="788"/>
      <c r="K271" s="788"/>
      <c r="L271" s="788"/>
      <c r="M271" s="788"/>
      <c r="N271" s="788"/>
      <c r="O271" s="788"/>
      <c r="P271" s="772"/>
      <c r="R271" s="774"/>
    </row>
    <row r="272" spans="1:22" hidden="1">
      <c r="A272" s="786">
        <v>272</v>
      </c>
      <c r="B272" s="767"/>
      <c r="D272" s="795"/>
      <c r="E272" s="795"/>
      <c r="F272" s="806"/>
      <c r="H272" s="817" t="s">
        <v>766</v>
      </c>
      <c r="I272" s="817"/>
      <c r="J272" s="817"/>
      <c r="K272" s="817"/>
      <c r="L272" s="817"/>
      <c r="M272" s="817"/>
      <c r="N272" s="817"/>
      <c r="O272" s="817"/>
      <c r="P272" s="772"/>
      <c r="R272" s="774"/>
    </row>
    <row r="273" spans="1:22" hidden="1">
      <c r="A273" s="786">
        <v>273</v>
      </c>
      <c r="B273" s="767"/>
      <c r="C273" s="767"/>
      <c r="D273" s="767"/>
      <c r="E273" s="767"/>
      <c r="F273" s="806"/>
      <c r="G273" s="778"/>
      <c r="H273" s="810"/>
      <c r="I273" s="810"/>
      <c r="J273" s="810"/>
      <c r="K273" s="810"/>
      <c r="L273" s="810"/>
      <c r="M273" s="810"/>
      <c r="N273" s="810"/>
      <c r="O273" s="810"/>
      <c r="P273" s="772"/>
      <c r="R273" s="774"/>
    </row>
    <row r="274" spans="1:22" hidden="1">
      <c r="A274" s="786">
        <v>274</v>
      </c>
      <c r="B274" s="767"/>
      <c r="C274" s="767"/>
      <c r="D274" s="767"/>
      <c r="E274" s="767"/>
      <c r="F274" s="806"/>
      <c r="G274" s="778"/>
      <c r="H274" s="788"/>
      <c r="I274" s="788"/>
      <c r="J274" s="788"/>
      <c r="K274" s="788"/>
      <c r="L274" s="788"/>
      <c r="M274" s="788"/>
      <c r="N274" s="788"/>
      <c r="O274" s="788"/>
      <c r="P274" s="772"/>
      <c r="R274" s="774"/>
    </row>
    <row r="275" spans="1:22" hidden="1">
      <c r="A275" s="786">
        <v>275</v>
      </c>
      <c r="B275" s="767"/>
      <c r="C275" s="767" t="s">
        <v>767</v>
      </c>
      <c r="D275" s="767" t="s">
        <v>768</v>
      </c>
      <c r="E275" s="767"/>
      <c r="F275" s="806" t="s">
        <v>1392</v>
      </c>
      <c r="G275" s="778"/>
      <c r="H275" s="788">
        <v>0</v>
      </c>
      <c r="I275" s="788">
        <v>0</v>
      </c>
      <c r="J275" s="788">
        <v>0</v>
      </c>
      <c r="K275" s="788">
        <v>0</v>
      </c>
      <c r="L275" s="788">
        <v>0</v>
      </c>
      <c r="M275" s="788">
        <v>0</v>
      </c>
      <c r="N275" s="788">
        <v>0</v>
      </c>
      <c r="O275" s="788">
        <v>0</v>
      </c>
      <c r="P275" s="772">
        <v>0</v>
      </c>
      <c r="Q275" s="774"/>
      <c r="R275" s="774">
        <v>304</v>
      </c>
      <c r="S275" s="774"/>
      <c r="T275" s="774"/>
      <c r="U275" s="774"/>
      <c r="V275" s="774"/>
    </row>
    <row r="276" spans="1:22" hidden="1">
      <c r="A276" s="786">
        <v>276</v>
      </c>
      <c r="B276" s="767"/>
      <c r="C276" s="767"/>
      <c r="D276" s="767"/>
      <c r="E276" s="767"/>
      <c r="F276" s="806"/>
      <c r="G276" s="778"/>
      <c r="H276" s="788"/>
      <c r="I276" s="788"/>
      <c r="J276" s="788"/>
      <c r="K276" s="788"/>
      <c r="L276" s="788"/>
      <c r="M276" s="788"/>
      <c r="N276" s="788"/>
      <c r="O276" s="788"/>
      <c r="P276" s="772"/>
      <c r="R276" s="774"/>
    </row>
    <row r="277" spans="1:22" hidden="1">
      <c r="A277" s="786">
        <v>277</v>
      </c>
      <c r="B277" s="767"/>
      <c r="C277" s="767" t="s">
        <v>769</v>
      </c>
      <c r="D277" s="767" t="s">
        <v>770</v>
      </c>
      <c r="E277" s="767"/>
      <c r="F277" s="806" t="s">
        <v>1392</v>
      </c>
      <c r="G277" s="778"/>
      <c r="H277" s="788">
        <v>0</v>
      </c>
      <c r="I277" s="788">
        <v>0</v>
      </c>
      <c r="J277" s="788">
        <v>0</v>
      </c>
      <c r="K277" s="788">
        <v>0</v>
      </c>
      <c r="L277" s="788">
        <v>0</v>
      </c>
      <c r="M277" s="788">
        <v>0</v>
      </c>
      <c r="N277" s="788">
        <v>0</v>
      </c>
      <c r="O277" s="788">
        <v>0</v>
      </c>
      <c r="P277" s="772">
        <v>0</v>
      </c>
      <c r="Q277" s="774"/>
      <c r="R277" s="774">
        <v>308</v>
      </c>
      <c r="S277" s="774"/>
      <c r="T277" s="774"/>
      <c r="U277" s="774"/>
      <c r="V277" s="774"/>
    </row>
    <row r="278" spans="1:22" hidden="1">
      <c r="A278" s="786">
        <v>278</v>
      </c>
      <c r="B278" s="767"/>
      <c r="C278" s="767"/>
      <c r="D278" s="767"/>
      <c r="E278" s="767"/>
      <c r="F278" s="806"/>
      <c r="G278" s="778"/>
      <c r="H278" s="788"/>
      <c r="I278" s="788"/>
      <c r="J278" s="788"/>
      <c r="K278" s="788"/>
      <c r="L278" s="788"/>
      <c r="M278" s="788"/>
      <c r="N278" s="788"/>
      <c r="O278" s="788"/>
      <c r="P278" s="772"/>
      <c r="R278" s="774"/>
    </row>
    <row r="279" spans="1:22" hidden="1">
      <c r="A279" s="786">
        <v>279</v>
      </c>
      <c r="B279" s="767"/>
      <c r="C279" s="767" t="s">
        <v>771</v>
      </c>
      <c r="D279" s="767" t="s">
        <v>772</v>
      </c>
      <c r="E279" s="767"/>
      <c r="F279" s="806" t="s">
        <v>1392</v>
      </c>
      <c r="G279" s="778"/>
      <c r="H279" s="788">
        <v>0</v>
      </c>
      <c r="I279" s="788">
        <v>0</v>
      </c>
      <c r="J279" s="788">
        <v>0</v>
      </c>
      <c r="K279" s="788">
        <v>0</v>
      </c>
      <c r="L279" s="788">
        <v>0</v>
      </c>
      <c r="M279" s="788">
        <v>0</v>
      </c>
      <c r="N279" s="788">
        <v>0</v>
      </c>
      <c r="O279" s="788">
        <v>0</v>
      </c>
      <c r="P279" s="772">
        <v>0</v>
      </c>
      <c r="Q279" s="774"/>
      <c r="R279" s="774">
        <v>313</v>
      </c>
      <c r="S279" s="774"/>
      <c r="T279" s="774"/>
      <c r="U279" s="774"/>
      <c r="V279" s="774"/>
    </row>
    <row r="280" spans="1:22" hidden="1">
      <c r="A280" s="786">
        <v>280</v>
      </c>
      <c r="B280" s="767"/>
      <c r="C280" s="767"/>
      <c r="D280" s="767"/>
      <c r="E280" s="767"/>
      <c r="F280" s="806"/>
      <c r="G280" s="778"/>
      <c r="H280" s="788"/>
      <c r="I280" s="788"/>
      <c r="J280" s="788"/>
      <c r="K280" s="788"/>
      <c r="L280" s="788"/>
      <c r="M280" s="788"/>
      <c r="N280" s="788"/>
      <c r="O280" s="788"/>
      <c r="P280" s="772"/>
      <c r="R280" s="774"/>
    </row>
    <row r="281" spans="1:22" hidden="1">
      <c r="A281" s="786">
        <v>281</v>
      </c>
      <c r="B281" s="767"/>
      <c r="C281" s="767" t="s">
        <v>773</v>
      </c>
      <c r="D281" s="767" t="s">
        <v>731</v>
      </c>
      <c r="E281" s="767"/>
      <c r="F281" s="806" t="s">
        <v>1392</v>
      </c>
      <c r="G281" s="778"/>
      <c r="H281" s="788">
        <v>0</v>
      </c>
      <c r="I281" s="788">
        <v>0</v>
      </c>
      <c r="J281" s="788">
        <v>0</v>
      </c>
      <c r="K281" s="788">
        <v>0</v>
      </c>
      <c r="L281" s="788">
        <v>0</v>
      </c>
      <c r="M281" s="788">
        <v>0</v>
      </c>
      <c r="N281" s="788">
        <v>0</v>
      </c>
      <c r="O281" s="788">
        <v>0</v>
      </c>
      <c r="P281" s="772">
        <v>0</v>
      </c>
      <c r="Q281" s="774"/>
      <c r="R281" s="774">
        <v>317</v>
      </c>
      <c r="S281" s="774"/>
      <c r="T281" s="774"/>
      <c r="U281" s="774"/>
      <c r="V281" s="774"/>
    </row>
    <row r="282" spans="1:22" hidden="1">
      <c r="A282" s="786">
        <v>282</v>
      </c>
      <c r="B282" s="767"/>
      <c r="C282" s="767"/>
      <c r="D282" s="767"/>
      <c r="E282" s="767"/>
      <c r="F282" s="806"/>
      <c r="G282" s="778"/>
      <c r="H282" s="788"/>
      <c r="I282" s="788"/>
      <c r="J282" s="788"/>
      <c r="K282" s="788"/>
      <c r="L282" s="788"/>
      <c r="M282" s="788"/>
      <c r="N282" s="788"/>
      <c r="O282" s="788"/>
      <c r="P282" s="772"/>
      <c r="R282" s="774"/>
    </row>
    <row r="283" spans="1:22" hidden="1">
      <c r="A283" s="786">
        <v>283</v>
      </c>
      <c r="B283" s="767"/>
      <c r="C283" s="767" t="s">
        <v>774</v>
      </c>
      <c r="D283" s="767" t="s">
        <v>742</v>
      </c>
      <c r="E283" s="767"/>
      <c r="F283" s="806" t="s">
        <v>1392</v>
      </c>
      <c r="G283" s="778"/>
      <c r="H283" s="788">
        <v>0</v>
      </c>
      <c r="I283" s="788">
        <v>0</v>
      </c>
      <c r="J283" s="788">
        <v>0</v>
      </c>
      <c r="K283" s="788">
        <v>0</v>
      </c>
      <c r="L283" s="788">
        <v>0</v>
      </c>
      <c r="M283" s="788">
        <v>0</v>
      </c>
      <c r="N283" s="788">
        <v>0</v>
      </c>
      <c r="O283" s="788">
        <v>0</v>
      </c>
      <c r="P283" s="772">
        <v>0</v>
      </c>
      <c r="Q283" s="774"/>
      <c r="R283" s="774">
        <v>321</v>
      </c>
      <c r="S283" s="774"/>
      <c r="T283" s="774"/>
      <c r="U283" s="774"/>
      <c r="V283" s="774"/>
    </row>
    <row r="284" spans="1:22" hidden="1">
      <c r="A284" s="786">
        <v>284</v>
      </c>
      <c r="B284" s="767"/>
      <c r="C284" s="767"/>
      <c r="D284" s="767"/>
      <c r="E284" s="767"/>
      <c r="F284" s="806"/>
      <c r="G284" s="778"/>
      <c r="H284" s="788"/>
      <c r="I284" s="788"/>
      <c r="J284" s="788"/>
      <c r="K284" s="788"/>
      <c r="L284" s="788"/>
      <c r="M284" s="788"/>
      <c r="N284" s="788"/>
      <c r="O284" s="788"/>
      <c r="P284" s="772"/>
      <c r="R284" s="774"/>
    </row>
    <row r="285" spans="1:22" hidden="1">
      <c r="A285" s="786">
        <v>285</v>
      </c>
      <c r="B285" s="767"/>
      <c r="C285" s="767" t="s">
        <v>775</v>
      </c>
      <c r="D285" s="767" t="s">
        <v>776</v>
      </c>
      <c r="E285" s="767"/>
      <c r="F285" s="806" t="s">
        <v>1392</v>
      </c>
      <c r="G285" s="778"/>
      <c r="H285" s="788">
        <v>0</v>
      </c>
      <c r="I285" s="788">
        <v>0</v>
      </c>
      <c r="J285" s="788">
        <v>0</v>
      </c>
      <c r="K285" s="788">
        <v>0</v>
      </c>
      <c r="L285" s="788">
        <v>0</v>
      </c>
      <c r="M285" s="788">
        <v>0</v>
      </c>
      <c r="N285" s="788">
        <v>0</v>
      </c>
      <c r="O285" s="788">
        <v>0</v>
      </c>
      <c r="P285" s="772">
        <v>0</v>
      </c>
      <c r="Q285" s="774"/>
      <c r="R285" s="774">
        <v>325</v>
      </c>
      <c r="S285" s="774"/>
      <c r="T285" s="774"/>
      <c r="U285" s="774"/>
      <c r="V285" s="774"/>
    </row>
    <row r="286" spans="1:22" hidden="1">
      <c r="A286" s="786">
        <v>286</v>
      </c>
      <c r="B286" s="767"/>
      <c r="C286" s="767"/>
      <c r="D286" s="767"/>
      <c r="E286" s="767"/>
      <c r="F286" s="806"/>
      <c r="G286" s="778"/>
      <c r="H286" s="788"/>
      <c r="I286" s="788"/>
      <c r="J286" s="788"/>
      <c r="K286" s="788"/>
      <c r="L286" s="788"/>
      <c r="M286" s="788"/>
      <c r="N286" s="788"/>
      <c r="O286" s="788"/>
      <c r="P286" s="772"/>
      <c r="R286" s="774"/>
    </row>
    <row r="287" spans="1:22" hidden="1">
      <c r="A287" s="786">
        <v>287</v>
      </c>
      <c r="B287" s="767"/>
      <c r="C287" s="767" t="s">
        <v>777</v>
      </c>
      <c r="D287" s="767" t="s">
        <v>778</v>
      </c>
      <c r="E287" s="767"/>
      <c r="F287" s="806" t="s">
        <v>1392</v>
      </c>
      <c r="G287" s="778"/>
      <c r="H287" s="788">
        <v>0</v>
      </c>
      <c r="I287" s="788">
        <v>0</v>
      </c>
      <c r="J287" s="788">
        <v>0</v>
      </c>
      <c r="K287" s="788">
        <v>0</v>
      </c>
      <c r="L287" s="788">
        <v>0</v>
      </c>
      <c r="M287" s="788">
        <v>0</v>
      </c>
      <c r="N287" s="788">
        <v>0</v>
      </c>
      <c r="O287" s="788">
        <v>0</v>
      </c>
      <c r="P287" s="772">
        <v>0</v>
      </c>
      <c r="Q287" s="774"/>
      <c r="R287" s="774">
        <v>329</v>
      </c>
      <c r="S287" s="774"/>
      <c r="T287" s="774"/>
      <c r="U287" s="774"/>
      <c r="V287" s="774"/>
    </row>
    <row r="288" spans="1:22" hidden="1">
      <c r="A288" s="786">
        <v>288</v>
      </c>
      <c r="B288" s="767"/>
      <c r="C288" s="767"/>
      <c r="D288" s="767"/>
      <c r="E288" s="767"/>
      <c r="F288" s="806"/>
      <c r="G288" s="778"/>
      <c r="H288" s="788"/>
      <c r="I288" s="788"/>
      <c r="J288" s="788"/>
      <c r="K288" s="788"/>
      <c r="L288" s="788"/>
      <c r="M288" s="788"/>
      <c r="N288" s="788"/>
      <c r="O288" s="788"/>
      <c r="P288" s="772"/>
      <c r="R288" s="774"/>
    </row>
    <row r="289" spans="1:22" hidden="1">
      <c r="A289" s="786">
        <v>289</v>
      </c>
      <c r="B289" s="767"/>
      <c r="C289" s="767" t="s">
        <v>779</v>
      </c>
      <c r="D289" s="767" t="s">
        <v>754</v>
      </c>
      <c r="E289" s="767"/>
      <c r="F289" s="806" t="s">
        <v>1392</v>
      </c>
      <c r="G289" s="778"/>
      <c r="H289" s="788">
        <v>0</v>
      </c>
      <c r="I289" s="788">
        <v>0</v>
      </c>
      <c r="J289" s="788">
        <v>0</v>
      </c>
      <c r="K289" s="788">
        <v>0</v>
      </c>
      <c r="L289" s="788">
        <v>0</v>
      </c>
      <c r="M289" s="788">
        <v>0</v>
      </c>
      <c r="N289" s="788">
        <v>0</v>
      </c>
      <c r="O289" s="788">
        <v>0</v>
      </c>
      <c r="P289" s="772">
        <v>0</v>
      </c>
      <c r="Q289" s="774"/>
      <c r="R289" s="774">
        <v>333</v>
      </c>
      <c r="S289" s="774"/>
      <c r="T289" s="774"/>
      <c r="U289" s="774"/>
      <c r="V289" s="774"/>
    </row>
    <row r="290" spans="1:22" hidden="1">
      <c r="A290" s="786">
        <v>290</v>
      </c>
      <c r="B290" s="767"/>
      <c r="C290" s="767"/>
      <c r="D290" s="767"/>
      <c r="E290" s="767"/>
      <c r="F290" s="806"/>
      <c r="G290" s="778"/>
      <c r="H290" s="788"/>
      <c r="I290" s="788"/>
      <c r="J290" s="788"/>
      <c r="K290" s="788"/>
      <c r="L290" s="788"/>
      <c r="M290" s="788"/>
      <c r="N290" s="788"/>
      <c r="O290" s="788"/>
      <c r="P290" s="772"/>
      <c r="R290" s="774"/>
    </row>
    <row r="291" spans="1:22" hidden="1">
      <c r="A291" s="786">
        <v>291</v>
      </c>
      <c r="B291" s="767"/>
      <c r="C291" s="767" t="s">
        <v>780</v>
      </c>
      <c r="D291" s="767" t="s">
        <v>781</v>
      </c>
      <c r="E291" s="767"/>
      <c r="F291" s="806" t="s">
        <v>1392</v>
      </c>
      <c r="G291" s="778"/>
      <c r="H291" s="788">
        <v>0</v>
      </c>
      <c r="I291" s="788">
        <v>0</v>
      </c>
      <c r="J291" s="788">
        <v>0</v>
      </c>
      <c r="K291" s="788">
        <v>0</v>
      </c>
      <c r="L291" s="788">
        <v>0</v>
      </c>
      <c r="M291" s="788">
        <v>0</v>
      </c>
      <c r="N291" s="788">
        <v>0</v>
      </c>
      <c r="O291" s="788">
        <v>0</v>
      </c>
      <c r="P291" s="772">
        <v>0</v>
      </c>
      <c r="Q291" s="774"/>
      <c r="R291" s="774">
        <v>337</v>
      </c>
      <c r="S291" s="774"/>
      <c r="T291" s="774"/>
      <c r="U291" s="774"/>
      <c r="V291" s="774"/>
    </row>
    <row r="292" spans="1:22" hidden="1">
      <c r="A292" s="786">
        <v>292</v>
      </c>
      <c r="B292" s="767"/>
      <c r="C292" s="767"/>
      <c r="D292" s="767"/>
      <c r="E292" s="767"/>
      <c r="F292" s="806"/>
      <c r="G292" s="778"/>
      <c r="H292" s="788"/>
      <c r="I292" s="788"/>
      <c r="J292" s="788"/>
      <c r="K292" s="788"/>
      <c r="L292" s="788"/>
      <c r="M292" s="788"/>
      <c r="N292" s="788"/>
      <c r="O292" s="788"/>
      <c r="P292" s="772"/>
      <c r="R292" s="774"/>
    </row>
    <row r="293" spans="1:22" hidden="1">
      <c r="A293" s="786">
        <v>293</v>
      </c>
      <c r="B293" s="767"/>
      <c r="C293" s="767" t="s">
        <v>782</v>
      </c>
      <c r="D293" s="767" t="s">
        <v>760</v>
      </c>
      <c r="E293" s="767"/>
      <c r="F293" s="806" t="s">
        <v>1392</v>
      </c>
      <c r="G293" s="778"/>
      <c r="H293" s="788">
        <v>0</v>
      </c>
      <c r="I293" s="788">
        <v>0</v>
      </c>
      <c r="J293" s="788">
        <v>0</v>
      </c>
      <c r="K293" s="788">
        <v>0</v>
      </c>
      <c r="L293" s="788">
        <v>0</v>
      </c>
      <c r="M293" s="788">
        <v>0</v>
      </c>
      <c r="N293" s="788">
        <v>0</v>
      </c>
      <c r="O293" s="788">
        <v>0</v>
      </c>
      <c r="P293" s="772">
        <v>0</v>
      </c>
      <c r="Q293" s="774"/>
      <c r="R293" s="774">
        <v>341</v>
      </c>
      <c r="S293" s="774"/>
      <c r="T293" s="774"/>
      <c r="U293" s="774"/>
      <c r="V293" s="774"/>
    </row>
    <row r="294" spans="1:22" hidden="1">
      <c r="A294" s="786">
        <v>294</v>
      </c>
      <c r="B294" s="767"/>
      <c r="C294" s="767"/>
      <c r="D294" s="767"/>
      <c r="E294" s="767"/>
      <c r="F294" s="806"/>
      <c r="G294" s="778"/>
      <c r="H294" s="788"/>
      <c r="I294" s="788"/>
      <c r="J294" s="788"/>
      <c r="K294" s="788"/>
      <c r="L294" s="788"/>
      <c r="M294" s="788"/>
      <c r="N294" s="788"/>
      <c r="O294" s="788"/>
      <c r="P294" s="772"/>
      <c r="R294" s="774"/>
    </row>
    <row r="295" spans="1:22" hidden="1">
      <c r="A295" s="786">
        <v>295</v>
      </c>
      <c r="B295" s="767"/>
      <c r="C295" s="767" t="s">
        <v>783</v>
      </c>
      <c r="D295" s="767" t="s">
        <v>784</v>
      </c>
      <c r="E295" s="767"/>
      <c r="F295" s="806" t="s">
        <v>1392</v>
      </c>
      <c r="G295" s="778"/>
      <c r="H295" s="788">
        <v>0</v>
      </c>
      <c r="I295" s="788">
        <v>0</v>
      </c>
      <c r="J295" s="788">
        <v>0</v>
      </c>
      <c r="K295" s="788">
        <v>0</v>
      </c>
      <c r="L295" s="788">
        <v>0</v>
      </c>
      <c r="M295" s="788">
        <v>0</v>
      </c>
      <c r="N295" s="788">
        <v>0</v>
      </c>
      <c r="O295" s="788">
        <v>0</v>
      </c>
      <c r="P295" s="772">
        <v>0</v>
      </c>
      <c r="Q295" s="774"/>
      <c r="R295" s="774">
        <v>345</v>
      </c>
      <c r="S295" s="774"/>
      <c r="T295" s="774"/>
      <c r="U295" s="774"/>
      <c r="V295" s="774"/>
    </row>
    <row r="296" spans="1:22" hidden="1">
      <c r="A296" s="786">
        <v>296</v>
      </c>
      <c r="B296" s="767"/>
      <c r="C296" s="767"/>
      <c r="D296" s="767"/>
      <c r="E296" s="767"/>
      <c r="F296" s="806"/>
      <c r="G296" s="778"/>
      <c r="H296" s="788"/>
      <c r="I296" s="788"/>
      <c r="J296" s="788"/>
      <c r="K296" s="788"/>
      <c r="L296" s="788"/>
      <c r="M296" s="788"/>
      <c r="N296" s="788"/>
      <c r="O296" s="788"/>
      <c r="P296" s="772"/>
      <c r="R296" s="774"/>
    </row>
    <row r="297" spans="1:22" hidden="1">
      <c r="A297" s="786">
        <v>297</v>
      </c>
      <c r="B297" s="767"/>
      <c r="C297" s="767" t="s">
        <v>785</v>
      </c>
      <c r="D297" s="767"/>
      <c r="E297" s="767"/>
      <c r="F297" s="806"/>
      <c r="G297" s="778"/>
      <c r="H297" s="788">
        <v>0</v>
      </c>
      <c r="I297" s="788">
        <v>0</v>
      </c>
      <c r="J297" s="788">
        <v>0</v>
      </c>
      <c r="K297" s="788">
        <v>0</v>
      </c>
      <c r="L297" s="788">
        <v>0</v>
      </c>
      <c r="M297" s="788">
        <v>0</v>
      </c>
      <c r="N297" s="788">
        <v>0</v>
      </c>
      <c r="O297" s="788">
        <v>0</v>
      </c>
      <c r="P297" s="772">
        <v>0</v>
      </c>
      <c r="Q297" s="774"/>
      <c r="R297" s="774">
        <v>348</v>
      </c>
      <c r="S297" s="774"/>
      <c r="T297" s="774"/>
      <c r="U297" s="774"/>
      <c r="V297" s="774"/>
    </row>
    <row r="298" spans="1:22" hidden="1">
      <c r="A298" s="786">
        <v>298</v>
      </c>
      <c r="B298" s="767"/>
      <c r="C298" s="767"/>
      <c r="D298" s="767"/>
      <c r="E298" s="767"/>
      <c r="F298" s="806"/>
      <c r="G298" s="778"/>
      <c r="H298" s="788"/>
      <c r="I298" s="788"/>
      <c r="J298" s="788"/>
      <c r="K298" s="788"/>
      <c r="L298" s="788"/>
      <c r="M298" s="788"/>
      <c r="N298" s="788"/>
      <c r="O298" s="788"/>
      <c r="P298" s="772"/>
      <c r="R298" s="774"/>
    </row>
    <row r="299" spans="1:22" hidden="1">
      <c r="A299" s="786">
        <v>299</v>
      </c>
      <c r="B299" s="767"/>
      <c r="C299" s="767"/>
      <c r="D299" s="767"/>
      <c r="E299" s="767"/>
      <c r="F299" s="806"/>
      <c r="G299" s="778"/>
      <c r="H299" s="788"/>
      <c r="I299" s="788"/>
      <c r="J299" s="788"/>
      <c r="K299" s="788"/>
      <c r="L299" s="788"/>
      <c r="M299" s="788"/>
      <c r="N299" s="788"/>
      <c r="O299" s="788"/>
      <c r="P299" s="772"/>
      <c r="R299" s="774"/>
    </row>
    <row r="300" spans="1:22" hidden="1">
      <c r="A300" s="786">
        <v>300</v>
      </c>
      <c r="B300" s="767"/>
      <c r="C300" s="767"/>
      <c r="D300" s="767"/>
      <c r="E300" s="767"/>
      <c r="F300" s="806"/>
      <c r="H300" s="817"/>
      <c r="I300" s="817"/>
      <c r="J300" s="817"/>
      <c r="K300" s="817"/>
      <c r="L300" s="819"/>
      <c r="M300" s="817"/>
      <c r="N300" s="817"/>
      <c r="O300" s="817"/>
      <c r="P300" s="772"/>
      <c r="R300" s="774"/>
    </row>
    <row r="301" spans="1:22" hidden="1">
      <c r="A301" s="786">
        <v>301</v>
      </c>
      <c r="B301" s="767"/>
      <c r="C301" s="781" t="s">
        <v>714</v>
      </c>
      <c r="D301" s="767"/>
      <c r="E301" s="767"/>
      <c r="F301" s="806"/>
      <c r="G301" s="778"/>
      <c r="H301" s="817" t="s">
        <v>786</v>
      </c>
      <c r="I301" s="817"/>
      <c r="J301" s="817"/>
      <c r="K301" s="817"/>
      <c r="L301" s="817"/>
      <c r="M301" s="817"/>
      <c r="N301" s="817"/>
      <c r="O301" s="817"/>
      <c r="P301" s="772"/>
      <c r="R301" s="774"/>
    </row>
    <row r="302" spans="1:22" hidden="1">
      <c r="A302" s="786">
        <v>302</v>
      </c>
      <c r="B302" s="767"/>
      <c r="C302" s="767"/>
      <c r="D302" s="767"/>
      <c r="E302" s="767"/>
      <c r="F302" s="806"/>
      <c r="G302" s="778"/>
      <c r="H302" s="810"/>
      <c r="I302" s="810"/>
      <c r="J302" s="810"/>
      <c r="K302" s="810"/>
      <c r="L302" s="810"/>
      <c r="M302" s="810"/>
      <c r="N302" s="810"/>
      <c r="O302" s="810"/>
      <c r="P302" s="772"/>
      <c r="R302" s="774"/>
    </row>
    <row r="303" spans="1:22" hidden="1">
      <c r="A303" s="786">
        <v>303</v>
      </c>
      <c r="B303" s="767"/>
      <c r="C303" s="777" t="s">
        <v>575</v>
      </c>
      <c r="D303" s="767"/>
      <c r="E303" s="777" t="s">
        <v>576</v>
      </c>
      <c r="F303" s="806" t="s">
        <v>577</v>
      </c>
      <c r="G303" s="778"/>
      <c r="H303" s="777" t="s">
        <v>578</v>
      </c>
      <c r="I303" s="777" t="s">
        <v>579</v>
      </c>
      <c r="J303" s="777" t="s">
        <v>580</v>
      </c>
      <c r="K303" s="777" t="s">
        <v>581</v>
      </c>
      <c r="L303" s="777" t="s">
        <v>582</v>
      </c>
      <c r="M303" s="777" t="s">
        <v>583</v>
      </c>
      <c r="N303" s="777" t="s">
        <v>584</v>
      </c>
      <c r="O303" s="777" t="s">
        <v>585</v>
      </c>
      <c r="P303" s="772"/>
      <c r="R303" s="774"/>
    </row>
    <row r="304" spans="1:22" ht="38.25" hidden="1">
      <c r="A304" s="786">
        <v>304</v>
      </c>
      <c r="B304" s="767"/>
      <c r="C304" s="797" t="s">
        <v>656</v>
      </c>
      <c r="D304" s="781"/>
      <c r="E304" s="782" t="s">
        <v>587</v>
      </c>
      <c r="F304" s="806" t="s">
        <v>1391</v>
      </c>
      <c r="G304" s="783"/>
      <c r="H304" s="784" t="s">
        <v>588</v>
      </c>
      <c r="I304" s="784" t="s">
        <v>589</v>
      </c>
      <c r="J304" s="784" t="s">
        <v>590</v>
      </c>
      <c r="K304" s="784" t="s">
        <v>591</v>
      </c>
      <c r="L304" s="784" t="s">
        <v>592</v>
      </c>
      <c r="M304" s="784" t="s">
        <v>593</v>
      </c>
      <c r="N304" s="784" t="s">
        <v>594</v>
      </c>
      <c r="O304" s="784" t="s">
        <v>595</v>
      </c>
      <c r="P304" s="772"/>
      <c r="R304" s="774"/>
    </row>
    <row r="305" spans="1:22" hidden="1">
      <c r="A305" s="786">
        <v>305</v>
      </c>
      <c r="B305" s="767"/>
      <c r="C305" s="767" t="s">
        <v>787</v>
      </c>
      <c r="D305" s="767" t="s">
        <v>768</v>
      </c>
      <c r="E305" s="767"/>
      <c r="G305" s="778"/>
      <c r="P305" s="763"/>
      <c r="S305" s="774"/>
      <c r="T305" s="774"/>
      <c r="U305" s="774"/>
      <c r="V305" s="774"/>
    </row>
    <row r="306" spans="1:22" hidden="1">
      <c r="A306" s="786">
        <v>306</v>
      </c>
      <c r="B306" s="767"/>
      <c r="C306" s="767"/>
      <c r="D306" s="767"/>
      <c r="E306" s="820" t="s">
        <v>788</v>
      </c>
      <c r="F306" s="806" t="s">
        <v>1392</v>
      </c>
      <c r="G306" s="778"/>
      <c r="H306" s="788">
        <v>16651.631132495226</v>
      </c>
      <c r="I306" s="788">
        <v>6964.5401512982307</v>
      </c>
      <c r="J306" s="788">
        <v>2225.2675398636979</v>
      </c>
      <c r="K306" s="788">
        <v>3776.3186608166666</v>
      </c>
      <c r="L306" s="788">
        <v>1539.4345388179488</v>
      </c>
      <c r="M306" s="788">
        <v>1455.8857905163295</v>
      </c>
      <c r="N306" s="788">
        <v>663.3876184194869</v>
      </c>
      <c r="O306" s="788">
        <v>26.796832762866696</v>
      </c>
      <c r="P306" s="772">
        <v>0</v>
      </c>
      <c r="Q306" s="774"/>
      <c r="R306" s="774">
        <v>353</v>
      </c>
      <c r="S306" s="774"/>
      <c r="T306" s="774"/>
      <c r="U306" s="774"/>
      <c r="V306" s="774"/>
    </row>
    <row r="307" spans="1:22" hidden="1">
      <c r="A307" s="786">
        <v>307</v>
      </c>
      <c r="B307" s="767"/>
      <c r="C307" s="767"/>
      <c r="D307" s="767"/>
      <c r="E307" s="820" t="s">
        <v>719</v>
      </c>
      <c r="F307" s="806" t="s">
        <v>1392</v>
      </c>
      <c r="G307" s="778"/>
      <c r="H307" s="788">
        <v>1853920.2172488305</v>
      </c>
      <c r="I307" s="788">
        <v>775401.62207509915</v>
      </c>
      <c r="J307" s="788">
        <v>247751.613527526</v>
      </c>
      <c r="K307" s="788">
        <v>420438.90213252383</v>
      </c>
      <c r="L307" s="788">
        <v>171393.94885322914</v>
      </c>
      <c r="M307" s="788">
        <v>162091.99444589563</v>
      </c>
      <c r="N307" s="788">
        <v>73858.693354093382</v>
      </c>
      <c r="O307" s="788">
        <v>2983.4428604634863</v>
      </c>
      <c r="P307" s="772">
        <v>0</v>
      </c>
      <c r="Q307" s="774"/>
      <c r="R307" s="774">
        <v>354</v>
      </c>
      <c r="S307" s="774"/>
      <c r="T307" s="774"/>
      <c r="U307" s="774"/>
      <c r="V307" s="774"/>
    </row>
    <row r="308" spans="1:22" hidden="1">
      <c r="A308" s="786">
        <v>308</v>
      </c>
      <c r="B308" s="767"/>
      <c r="C308" s="767"/>
      <c r="D308" s="767"/>
      <c r="E308" s="767"/>
      <c r="F308" s="806"/>
      <c r="G308" s="778"/>
      <c r="H308" s="788"/>
      <c r="I308" s="788"/>
      <c r="J308" s="788"/>
      <c r="K308" s="788"/>
      <c r="L308" s="788"/>
      <c r="M308" s="788"/>
      <c r="N308" s="788"/>
      <c r="O308" s="788"/>
      <c r="P308" s="772"/>
      <c r="R308" s="774"/>
    </row>
    <row r="309" spans="1:22" hidden="1">
      <c r="A309" s="786">
        <v>309</v>
      </c>
      <c r="B309" s="767"/>
      <c r="C309" s="767" t="s">
        <v>789</v>
      </c>
      <c r="D309" s="767" t="s">
        <v>790</v>
      </c>
      <c r="E309" s="767"/>
      <c r="F309" s="806" t="s">
        <v>1392</v>
      </c>
      <c r="G309" s="778"/>
      <c r="H309" s="788">
        <v>8468.316690147356</v>
      </c>
      <c r="I309" s="788">
        <v>3541.8711316122235</v>
      </c>
      <c r="J309" s="788">
        <v>1131.6771370881977</v>
      </c>
      <c r="K309" s="788">
        <v>1920.4762637518663</v>
      </c>
      <c r="L309" s="788">
        <v>782.89142335258066</v>
      </c>
      <c r="M309" s="788">
        <v>740.40205675216271</v>
      </c>
      <c r="N309" s="788">
        <v>337.37093960338228</v>
      </c>
      <c r="O309" s="788">
        <v>13.627737986943218</v>
      </c>
      <c r="P309" s="772">
        <v>0</v>
      </c>
      <c r="Q309" s="774"/>
      <c r="R309" s="774">
        <v>358</v>
      </c>
      <c r="S309" s="774"/>
      <c r="T309" s="774"/>
      <c r="U309" s="774"/>
      <c r="V309" s="774"/>
    </row>
    <row r="310" spans="1:22" hidden="1">
      <c r="A310" s="786">
        <v>310</v>
      </c>
      <c r="B310" s="767"/>
      <c r="C310" s="767"/>
      <c r="D310" s="767"/>
      <c r="E310" s="767"/>
      <c r="F310" s="806"/>
      <c r="G310" s="778"/>
      <c r="H310" s="788"/>
      <c r="I310" s="788"/>
      <c r="J310" s="788"/>
      <c r="K310" s="788"/>
      <c r="L310" s="788"/>
      <c r="M310" s="788"/>
      <c r="N310" s="788"/>
      <c r="O310" s="788"/>
      <c r="P310" s="772"/>
      <c r="R310" s="774"/>
    </row>
    <row r="311" spans="1:22" hidden="1">
      <c r="A311" s="786">
        <v>311</v>
      </c>
      <c r="B311" s="767"/>
      <c r="C311" s="767" t="s">
        <v>791</v>
      </c>
      <c r="D311" s="767" t="s">
        <v>792</v>
      </c>
      <c r="E311" s="767"/>
      <c r="F311" s="806" t="s">
        <v>1392</v>
      </c>
      <c r="G311" s="778"/>
      <c r="H311" s="788">
        <v>865099.97768495337</v>
      </c>
      <c r="I311" s="788">
        <v>361827.82824899262</v>
      </c>
      <c r="J311" s="788">
        <v>115609.02855470986</v>
      </c>
      <c r="K311" s="788">
        <v>196190.58116345815</v>
      </c>
      <c r="L311" s="788">
        <v>79978.037862005571</v>
      </c>
      <c r="M311" s="788">
        <v>75637.440852846034</v>
      </c>
      <c r="N311" s="788">
        <v>34464.888714188979</v>
      </c>
      <c r="O311" s="788">
        <v>1392.1722887522083</v>
      </c>
      <c r="P311" s="772">
        <v>0</v>
      </c>
      <c r="Q311" s="774"/>
      <c r="R311" s="774">
        <v>362</v>
      </c>
      <c r="S311" s="774"/>
      <c r="T311" s="774"/>
      <c r="U311" s="774"/>
      <c r="V311" s="774"/>
    </row>
    <row r="312" spans="1:22" hidden="1">
      <c r="A312" s="786">
        <v>312</v>
      </c>
      <c r="B312" s="767"/>
      <c r="C312" s="767"/>
      <c r="D312" s="767"/>
      <c r="E312" s="767"/>
      <c r="F312" s="806"/>
      <c r="G312" s="778"/>
      <c r="H312" s="788"/>
      <c r="I312" s="788"/>
      <c r="J312" s="788"/>
      <c r="K312" s="788"/>
      <c r="L312" s="788"/>
      <c r="M312" s="788"/>
      <c r="N312" s="788"/>
      <c r="O312" s="788"/>
      <c r="P312" s="772"/>
      <c r="R312" s="774"/>
    </row>
    <row r="313" spans="1:22" hidden="1">
      <c r="A313" s="786">
        <v>313</v>
      </c>
      <c r="B313" s="767"/>
      <c r="C313" s="767" t="s">
        <v>793</v>
      </c>
      <c r="D313" s="767" t="s">
        <v>742</v>
      </c>
      <c r="E313" s="767"/>
      <c r="F313" s="806" t="s">
        <v>1392</v>
      </c>
      <c r="G313" s="778"/>
      <c r="H313" s="788">
        <v>0</v>
      </c>
      <c r="I313" s="788">
        <v>0</v>
      </c>
      <c r="J313" s="788">
        <v>0</v>
      </c>
      <c r="K313" s="788">
        <v>0</v>
      </c>
      <c r="L313" s="788">
        <v>0</v>
      </c>
      <c r="M313" s="788">
        <v>0</v>
      </c>
      <c r="N313" s="788">
        <v>0</v>
      </c>
      <c r="O313" s="788">
        <v>0</v>
      </c>
      <c r="P313" s="772">
        <v>0</v>
      </c>
      <c r="Q313" s="774"/>
      <c r="R313" s="774">
        <v>366</v>
      </c>
      <c r="S313" s="774"/>
      <c r="T313" s="774"/>
      <c r="U313" s="774"/>
      <c r="V313" s="774"/>
    </row>
    <row r="314" spans="1:22" hidden="1">
      <c r="A314" s="786">
        <v>314</v>
      </c>
      <c r="B314" s="767"/>
      <c r="C314" s="767"/>
      <c r="D314" s="767"/>
      <c r="E314" s="767"/>
      <c r="F314" s="806"/>
      <c r="G314" s="778"/>
      <c r="H314" s="788"/>
      <c r="I314" s="788"/>
      <c r="J314" s="788"/>
      <c r="K314" s="788"/>
      <c r="L314" s="788"/>
      <c r="M314" s="788"/>
      <c r="N314" s="788"/>
      <c r="O314" s="788"/>
      <c r="P314" s="772"/>
      <c r="R314" s="774"/>
    </row>
    <row r="315" spans="1:22" hidden="1">
      <c r="A315" s="786">
        <v>315</v>
      </c>
      <c r="B315" s="767"/>
      <c r="C315" s="767" t="s">
        <v>794</v>
      </c>
      <c r="D315" s="767" t="s">
        <v>795</v>
      </c>
      <c r="E315" s="767"/>
      <c r="F315" s="806" t="s">
        <v>1392</v>
      </c>
      <c r="G315" s="778"/>
      <c r="H315" s="788">
        <v>2595248.096006982</v>
      </c>
      <c r="I315" s="788">
        <v>1085461.803915929</v>
      </c>
      <c r="J315" s="788">
        <v>346820.15833676519</v>
      </c>
      <c r="K315" s="788">
        <v>588559.98769241897</v>
      </c>
      <c r="L315" s="788">
        <v>239929.3212782086</v>
      </c>
      <c r="M315" s="788">
        <v>226907.79034059338</v>
      </c>
      <c r="N315" s="788">
        <v>103392.60099618793</v>
      </c>
      <c r="O315" s="788">
        <v>4176.4334468791567</v>
      </c>
      <c r="P315" s="772">
        <v>0</v>
      </c>
      <c r="Q315" s="774"/>
      <c r="R315" s="774">
        <v>372</v>
      </c>
      <c r="S315" s="774"/>
      <c r="T315" s="774"/>
      <c r="U315" s="774"/>
      <c r="V315" s="774"/>
    </row>
    <row r="316" spans="1:22" hidden="1">
      <c r="A316" s="786">
        <v>316</v>
      </c>
      <c r="B316" s="767"/>
      <c r="C316" s="767"/>
      <c r="D316" s="767"/>
      <c r="E316" s="767"/>
      <c r="F316" s="806"/>
      <c r="G316" s="778"/>
      <c r="H316" s="788"/>
      <c r="I316" s="788"/>
      <c r="J316" s="788"/>
      <c r="K316" s="788"/>
      <c r="L316" s="788"/>
      <c r="M316" s="788"/>
      <c r="N316" s="788"/>
      <c r="O316" s="788"/>
      <c r="P316" s="772"/>
      <c r="R316" s="774"/>
    </row>
    <row r="317" spans="1:22" hidden="1">
      <c r="A317" s="786">
        <v>317</v>
      </c>
      <c r="B317" s="767"/>
      <c r="C317" s="767" t="s">
        <v>796</v>
      </c>
      <c r="D317" s="767" t="s">
        <v>797</v>
      </c>
      <c r="E317" s="767"/>
      <c r="F317" s="806" t="s">
        <v>1392</v>
      </c>
      <c r="G317" s="778"/>
      <c r="H317" s="788">
        <v>267883.95734718099</v>
      </c>
      <c r="I317" s="788">
        <v>112042.3916424777</v>
      </c>
      <c r="J317" s="788">
        <v>35799.104003187604</v>
      </c>
      <c r="K317" s="788">
        <v>60751.71729509638</v>
      </c>
      <c r="L317" s="788">
        <v>24765.730939758603</v>
      </c>
      <c r="M317" s="788">
        <v>23421.63622925516</v>
      </c>
      <c r="N317" s="788">
        <v>10672.281836134096</v>
      </c>
      <c r="O317" s="788">
        <v>431.09540127145749</v>
      </c>
      <c r="P317" s="772">
        <v>0</v>
      </c>
      <c r="Q317" s="774"/>
      <c r="R317" s="774">
        <v>375</v>
      </c>
      <c r="S317" s="774"/>
      <c r="T317" s="774"/>
      <c r="U317" s="774"/>
      <c r="V317" s="774"/>
    </row>
    <row r="318" spans="1:22" hidden="1">
      <c r="A318" s="786">
        <v>318</v>
      </c>
      <c r="B318" s="767"/>
      <c r="C318" s="767"/>
      <c r="D318" s="767"/>
      <c r="E318" s="767"/>
      <c r="F318" s="806"/>
      <c r="G318" s="778"/>
      <c r="H318" s="788"/>
      <c r="I318" s="788"/>
      <c r="J318" s="788"/>
      <c r="K318" s="788"/>
      <c r="L318" s="788"/>
      <c r="M318" s="788"/>
      <c r="N318" s="788"/>
      <c r="O318" s="788"/>
      <c r="P318" s="772"/>
      <c r="R318" s="774"/>
    </row>
    <row r="319" spans="1:22" hidden="1">
      <c r="A319" s="786">
        <v>319</v>
      </c>
      <c r="B319" s="767"/>
      <c r="C319" s="767" t="s">
        <v>798</v>
      </c>
      <c r="D319" s="767" t="s">
        <v>751</v>
      </c>
      <c r="E319" s="767"/>
      <c r="F319" s="806" t="s">
        <v>1392</v>
      </c>
      <c r="G319" s="778"/>
      <c r="H319" s="788">
        <v>101.38691332490728</v>
      </c>
      <c r="I319" s="788">
        <v>42.40504867355299</v>
      </c>
      <c r="J319" s="788">
        <v>13.549003421569463</v>
      </c>
      <c r="K319" s="788">
        <v>22.992900197283966</v>
      </c>
      <c r="L319" s="788">
        <v>9.3731668035764262</v>
      </c>
      <c r="M319" s="788">
        <v>8.8644629033362676</v>
      </c>
      <c r="N319" s="788">
        <v>4.0391732458124983</v>
      </c>
      <c r="O319" s="788">
        <v>0.16315807977567692</v>
      </c>
      <c r="P319" s="772">
        <v>0</v>
      </c>
      <c r="Q319" s="774"/>
      <c r="R319" s="774">
        <v>379</v>
      </c>
      <c r="S319" s="774"/>
      <c r="T319" s="774"/>
      <c r="U319" s="774"/>
      <c r="V319" s="774"/>
    </row>
    <row r="320" spans="1:22" hidden="1">
      <c r="A320" s="786">
        <v>320</v>
      </c>
      <c r="B320" s="767"/>
      <c r="C320" s="767"/>
      <c r="D320" s="767"/>
      <c r="E320" s="767"/>
      <c r="F320" s="806"/>
      <c r="G320" s="778"/>
      <c r="H320" s="788"/>
      <c r="I320" s="788"/>
      <c r="J320" s="788"/>
      <c r="K320" s="788"/>
      <c r="L320" s="788"/>
      <c r="M320" s="788"/>
      <c r="N320" s="788"/>
      <c r="O320" s="788"/>
      <c r="P320" s="772"/>
      <c r="R320" s="774"/>
    </row>
    <row r="321" spans="1:22" hidden="1">
      <c r="A321" s="786">
        <v>321</v>
      </c>
      <c r="B321" s="767"/>
      <c r="C321" s="767" t="s">
        <v>799</v>
      </c>
      <c r="D321" s="767" t="s">
        <v>754</v>
      </c>
      <c r="E321" s="767"/>
      <c r="F321" s="806" t="s">
        <v>1392</v>
      </c>
      <c r="G321" s="778"/>
      <c r="H321" s="788">
        <v>105174.33207684927</v>
      </c>
      <c r="I321" s="788">
        <v>43989.135527134837</v>
      </c>
      <c r="J321" s="788">
        <v>14055.141225218051</v>
      </c>
      <c r="K321" s="788">
        <v>23851.825067495301</v>
      </c>
      <c r="L321" s="788">
        <v>9723.3116748694392</v>
      </c>
      <c r="M321" s="788">
        <v>9195.6045854821641</v>
      </c>
      <c r="N321" s="788">
        <v>4190.0609688118966</v>
      </c>
      <c r="O321" s="788">
        <v>169.2530278375925</v>
      </c>
      <c r="P321" s="772">
        <v>0</v>
      </c>
      <c r="Q321" s="774"/>
      <c r="R321" s="774">
        <v>383</v>
      </c>
      <c r="S321" s="774"/>
      <c r="T321" s="774"/>
      <c r="U321" s="774"/>
      <c r="V321" s="774"/>
    </row>
    <row r="322" spans="1:22" hidden="1">
      <c r="A322" s="786">
        <v>322</v>
      </c>
      <c r="B322" s="767"/>
      <c r="C322" s="767"/>
      <c r="D322" s="767"/>
      <c r="E322" s="767"/>
      <c r="F322" s="806"/>
      <c r="G322" s="778"/>
      <c r="H322" s="788"/>
      <c r="I322" s="788"/>
      <c r="J322" s="788"/>
      <c r="K322" s="788"/>
      <c r="L322" s="788"/>
      <c r="M322" s="788"/>
      <c r="N322" s="788"/>
      <c r="O322" s="788"/>
      <c r="P322" s="772"/>
      <c r="R322" s="774"/>
    </row>
    <row r="323" spans="1:22" hidden="1">
      <c r="A323" s="786">
        <v>323</v>
      </c>
      <c r="B323" s="767"/>
      <c r="C323" s="767" t="s">
        <v>800</v>
      </c>
      <c r="D323" s="767" t="s">
        <v>801</v>
      </c>
      <c r="E323" s="767"/>
      <c r="F323" s="806" t="s">
        <v>1392</v>
      </c>
      <c r="G323" s="778"/>
      <c r="H323" s="788">
        <v>202478.20616273291</v>
      </c>
      <c r="I323" s="788">
        <v>84686.454159514062</v>
      </c>
      <c r="J323" s="788">
        <v>27058.501123321617</v>
      </c>
      <c r="K323" s="788">
        <v>45918.758484198705</v>
      </c>
      <c r="L323" s="788">
        <v>18719.003648629594</v>
      </c>
      <c r="M323" s="788">
        <v>17703.079109547005</v>
      </c>
      <c r="N323" s="788">
        <v>8066.569208707745</v>
      </c>
      <c r="O323" s="788">
        <v>325.84042881419225</v>
      </c>
      <c r="P323" s="772">
        <v>0</v>
      </c>
      <c r="Q323" s="774"/>
      <c r="R323" s="774">
        <v>387</v>
      </c>
      <c r="S323" s="774"/>
      <c r="T323" s="774"/>
      <c r="U323" s="774"/>
      <c r="V323" s="774"/>
    </row>
    <row r="324" spans="1:22" hidden="1">
      <c r="A324" s="786">
        <v>324</v>
      </c>
      <c r="B324" s="767"/>
      <c r="C324" s="767"/>
      <c r="D324" s="767"/>
      <c r="E324" s="767"/>
      <c r="F324" s="806"/>
      <c r="G324" s="778"/>
      <c r="H324" s="788"/>
      <c r="I324" s="788"/>
      <c r="J324" s="788"/>
      <c r="K324" s="788"/>
      <c r="L324" s="788"/>
      <c r="M324" s="788"/>
      <c r="N324" s="788"/>
      <c r="O324" s="788"/>
      <c r="P324" s="772"/>
      <c r="R324" s="774"/>
    </row>
    <row r="325" spans="1:22" hidden="1">
      <c r="A325" s="786">
        <v>325</v>
      </c>
      <c r="B325" s="767"/>
      <c r="C325" s="767" t="s">
        <v>802</v>
      </c>
      <c r="D325" s="767" t="s">
        <v>760</v>
      </c>
      <c r="E325" s="767"/>
      <c r="F325" s="806" t="s">
        <v>1392</v>
      </c>
      <c r="G325" s="778"/>
      <c r="H325" s="788">
        <v>365811.46624671348</v>
      </c>
      <c r="I325" s="788">
        <v>153000.54536451545</v>
      </c>
      <c r="J325" s="788">
        <v>48885.804343827978</v>
      </c>
      <c r="K325" s="788">
        <v>82960.080927589355</v>
      </c>
      <c r="L325" s="788">
        <v>33819.077623985344</v>
      </c>
      <c r="M325" s="788">
        <v>31983.636406479036</v>
      </c>
      <c r="N325" s="788">
        <v>14573.635186427726</v>
      </c>
      <c r="O325" s="788">
        <v>588.68639388862869</v>
      </c>
      <c r="P325" s="772">
        <v>0</v>
      </c>
      <c r="Q325" s="774"/>
      <c r="R325" s="774">
        <v>391</v>
      </c>
      <c r="S325" s="774"/>
      <c r="T325" s="774"/>
      <c r="U325" s="774"/>
      <c r="V325" s="774"/>
    </row>
    <row r="326" spans="1:22" hidden="1">
      <c r="A326" s="786">
        <v>326</v>
      </c>
      <c r="B326" s="767"/>
      <c r="C326" s="767"/>
      <c r="D326" s="767"/>
      <c r="E326" s="767"/>
      <c r="F326" s="806"/>
      <c r="G326" s="778"/>
      <c r="H326" s="788"/>
      <c r="I326" s="788"/>
      <c r="J326" s="788"/>
      <c r="K326" s="788"/>
      <c r="L326" s="788"/>
      <c r="M326" s="788"/>
      <c r="N326" s="788"/>
      <c r="O326" s="788"/>
      <c r="P326" s="772"/>
      <c r="R326" s="774"/>
    </row>
    <row r="327" spans="1:22" hidden="1">
      <c r="A327" s="786">
        <v>327</v>
      </c>
      <c r="B327" s="767"/>
      <c r="C327" s="767" t="s">
        <v>803</v>
      </c>
      <c r="D327" s="767" t="s">
        <v>804</v>
      </c>
      <c r="E327" s="767"/>
      <c r="F327" s="806" t="s">
        <v>1392</v>
      </c>
      <c r="G327" s="778"/>
      <c r="P327" s="763"/>
      <c r="S327" s="774"/>
      <c r="T327" s="774"/>
      <c r="U327" s="774"/>
      <c r="V327" s="774"/>
    </row>
    <row r="328" spans="1:22" hidden="1">
      <c r="A328" s="786">
        <v>328</v>
      </c>
      <c r="B328" s="767"/>
      <c r="C328" s="767"/>
      <c r="D328" s="767"/>
      <c r="E328" s="767" t="s">
        <v>788</v>
      </c>
      <c r="F328" s="806" t="s">
        <v>1392</v>
      </c>
      <c r="G328" s="778"/>
      <c r="H328" s="788">
        <v>3390356.2888943506</v>
      </c>
      <c r="I328" s="788">
        <v>1418015.587381853</v>
      </c>
      <c r="J328" s="788">
        <v>453075.72202500637</v>
      </c>
      <c r="K328" s="788">
        <v>768877.57233488245</v>
      </c>
      <c r="L328" s="788">
        <v>313436.65545397601</v>
      </c>
      <c r="M328" s="788">
        <v>296425.70787894411</v>
      </c>
      <c r="N328" s="788">
        <v>135069.0731849118</v>
      </c>
      <c r="O328" s="788">
        <v>5455.9706347771707</v>
      </c>
      <c r="P328" s="772">
        <v>0</v>
      </c>
      <c r="Q328" s="774"/>
      <c r="R328" s="774">
        <v>395</v>
      </c>
      <c r="S328" s="774"/>
      <c r="T328" s="774"/>
      <c r="U328" s="774"/>
      <c r="V328" s="774"/>
    </row>
    <row r="329" spans="1:22" hidden="1">
      <c r="A329" s="786">
        <v>329</v>
      </c>
      <c r="B329" s="767"/>
      <c r="C329" s="767"/>
      <c r="D329" s="767"/>
      <c r="E329" s="767" t="s">
        <v>719</v>
      </c>
      <c r="F329" s="806" t="s">
        <v>1392</v>
      </c>
      <c r="G329" s="778"/>
      <c r="H329" s="788">
        <v>-6264185.9563777149</v>
      </c>
      <c r="I329" s="788">
        <v>-2619994.0571139487</v>
      </c>
      <c r="J329" s="788">
        <v>-837124.57725506613</v>
      </c>
      <c r="K329" s="788">
        <v>-1420615.3219267298</v>
      </c>
      <c r="L329" s="788">
        <v>-579120.69647084246</v>
      </c>
      <c r="M329" s="788">
        <v>-547690.44848975388</v>
      </c>
      <c r="N329" s="788">
        <v>-249560.14037740094</v>
      </c>
      <c r="O329" s="788">
        <v>-10080.714743973442</v>
      </c>
      <c r="P329" s="772">
        <v>0</v>
      </c>
      <c r="Q329" s="774"/>
      <c r="R329" s="774">
        <v>396</v>
      </c>
      <c r="S329" s="774"/>
      <c r="T329" s="774"/>
      <c r="U329" s="774"/>
      <c r="V329" s="774"/>
    </row>
    <row r="330" spans="1:22" hidden="1">
      <c r="A330" s="786">
        <v>330</v>
      </c>
      <c r="B330" s="767"/>
      <c r="C330" s="767"/>
      <c r="D330" s="767"/>
      <c r="E330" s="767"/>
      <c r="F330" s="806"/>
      <c r="G330" s="778"/>
      <c r="H330" s="788"/>
      <c r="I330" s="788"/>
      <c r="J330" s="788"/>
      <c r="K330" s="788"/>
      <c r="L330" s="788"/>
      <c r="M330" s="788"/>
      <c r="N330" s="788"/>
      <c r="O330" s="788"/>
      <c r="P330" s="772"/>
      <c r="R330" s="774"/>
    </row>
    <row r="331" spans="1:22" hidden="1">
      <c r="A331" s="786">
        <v>331</v>
      </c>
      <c r="B331" s="767"/>
      <c r="C331" s="767" t="s">
        <v>805</v>
      </c>
      <c r="D331" s="767"/>
      <c r="E331" s="767"/>
      <c r="F331" s="806"/>
      <c r="G331" s="778"/>
      <c r="H331" s="788">
        <v>3407007.9200268467</v>
      </c>
      <c r="I331" s="788">
        <v>1424980.1275331513</v>
      </c>
      <c r="J331" s="788">
        <v>455300.9895648699</v>
      </c>
      <c r="K331" s="788">
        <v>772653.89099569945</v>
      </c>
      <c r="L331" s="788">
        <v>314976.08999279398</v>
      </c>
      <c r="M331" s="788">
        <v>297881.5936694605</v>
      </c>
      <c r="N331" s="788">
        <v>135732.46080333131</v>
      </c>
      <c r="O331" s="788">
        <v>5482.7674675400358</v>
      </c>
      <c r="P331" s="772">
        <v>0</v>
      </c>
      <c r="Q331" s="774"/>
      <c r="R331" s="774"/>
      <c r="S331" s="774"/>
      <c r="T331" s="774"/>
      <c r="U331" s="774"/>
      <c r="V331" s="774"/>
    </row>
    <row r="332" spans="1:22" hidden="1">
      <c r="A332" s="786">
        <v>332</v>
      </c>
      <c r="B332" s="767"/>
      <c r="C332" s="767"/>
      <c r="D332" s="767"/>
      <c r="E332" s="767"/>
      <c r="F332" s="806"/>
      <c r="G332" s="778"/>
      <c r="H332" s="810"/>
      <c r="I332" s="810"/>
      <c r="J332" s="810"/>
      <c r="K332" s="810"/>
      <c r="L332" s="810"/>
      <c r="M332" s="810"/>
      <c r="N332" s="810"/>
      <c r="O332" s="810"/>
      <c r="P332" s="772"/>
      <c r="R332" s="774"/>
    </row>
    <row r="333" spans="1:22" hidden="1">
      <c r="A333" s="786">
        <v>333</v>
      </c>
      <c r="B333" s="767"/>
      <c r="C333" s="767"/>
      <c r="D333" s="767"/>
      <c r="E333" s="767"/>
      <c r="F333" s="806"/>
      <c r="G333" s="778"/>
      <c r="H333" s="788"/>
      <c r="I333" s="788"/>
      <c r="J333" s="788"/>
      <c r="K333" s="788"/>
      <c r="L333" s="788"/>
      <c r="M333" s="788"/>
      <c r="N333" s="788"/>
      <c r="O333" s="788"/>
      <c r="P333" s="772"/>
      <c r="R333" s="774"/>
    </row>
    <row r="334" spans="1:22" hidden="1">
      <c r="A334" s="786">
        <v>334</v>
      </c>
      <c r="B334" s="767"/>
      <c r="D334" s="768"/>
      <c r="E334" s="795"/>
      <c r="F334" s="806"/>
      <c r="H334" s="817" t="s">
        <v>806</v>
      </c>
      <c r="I334" s="817"/>
      <c r="J334" s="817"/>
      <c r="K334" s="817"/>
      <c r="L334" s="817"/>
      <c r="M334" s="817"/>
      <c r="N334" s="817"/>
      <c r="O334" s="817"/>
      <c r="P334" s="772"/>
      <c r="R334" s="774"/>
    </row>
    <row r="335" spans="1:22" hidden="1">
      <c r="A335" s="786">
        <v>335</v>
      </c>
      <c r="B335" s="767"/>
      <c r="C335" s="767"/>
      <c r="D335" s="767"/>
      <c r="E335" s="767"/>
      <c r="F335" s="806"/>
      <c r="G335" s="778"/>
      <c r="H335" s="810"/>
      <c r="I335" s="810"/>
      <c r="J335" s="810"/>
      <c r="K335" s="810"/>
      <c r="L335" s="810"/>
      <c r="M335" s="810"/>
      <c r="N335" s="810"/>
      <c r="O335" s="810"/>
      <c r="P335" s="772"/>
      <c r="R335" s="774"/>
    </row>
    <row r="336" spans="1:22" hidden="1">
      <c r="A336" s="786">
        <v>336</v>
      </c>
      <c r="B336" s="767"/>
      <c r="C336" s="767"/>
      <c r="D336" s="767"/>
      <c r="E336" s="767"/>
      <c r="F336" s="806"/>
      <c r="G336" s="778"/>
      <c r="H336" s="788"/>
      <c r="I336" s="788"/>
      <c r="J336" s="788"/>
      <c r="K336" s="788"/>
      <c r="L336" s="788"/>
      <c r="M336" s="788"/>
      <c r="N336" s="788"/>
      <c r="O336" s="788"/>
      <c r="P336" s="772"/>
      <c r="R336" s="774"/>
    </row>
    <row r="337" spans="1:22" hidden="1">
      <c r="A337" s="786">
        <v>337</v>
      </c>
      <c r="B337" s="767"/>
      <c r="C337" s="767" t="s">
        <v>807</v>
      </c>
      <c r="D337" s="767" t="s">
        <v>768</v>
      </c>
      <c r="E337" s="767"/>
      <c r="F337" s="806" t="s">
        <v>1392</v>
      </c>
      <c r="G337" s="778"/>
      <c r="H337" s="788">
        <v>25818.153311731756</v>
      </c>
      <c r="I337" s="788">
        <v>10798.435537106729</v>
      </c>
      <c r="J337" s="788">
        <v>3450.2504917794176</v>
      </c>
      <c r="K337" s="788">
        <v>5855.1365546798752</v>
      </c>
      <c r="L337" s="788">
        <v>2386.8746923546028</v>
      </c>
      <c r="M337" s="788">
        <v>2257.3333654124622</v>
      </c>
      <c r="N337" s="788">
        <v>1028.5745042739482</v>
      </c>
      <c r="O337" s="788">
        <v>41.548166124723465</v>
      </c>
      <c r="P337" s="772">
        <v>0</v>
      </c>
      <c r="Q337" s="774"/>
      <c r="R337" s="774">
        <v>403</v>
      </c>
      <c r="S337" s="774"/>
      <c r="T337" s="774"/>
      <c r="U337" s="774"/>
      <c r="V337" s="774"/>
    </row>
    <row r="338" spans="1:22" hidden="1">
      <c r="A338" s="786">
        <v>338</v>
      </c>
      <c r="B338" s="767"/>
      <c r="C338" s="767"/>
      <c r="D338" s="767"/>
      <c r="E338" s="767"/>
      <c r="F338" s="806"/>
      <c r="G338" s="778"/>
      <c r="H338" s="788"/>
      <c r="I338" s="788"/>
      <c r="J338" s="788"/>
      <c r="K338" s="788"/>
      <c r="L338" s="788"/>
      <c r="M338" s="788"/>
      <c r="N338" s="788"/>
      <c r="O338" s="788"/>
      <c r="P338" s="772"/>
      <c r="R338" s="774"/>
    </row>
    <row r="339" spans="1:22" hidden="1">
      <c r="A339" s="786">
        <v>339</v>
      </c>
      <c r="B339" s="767"/>
      <c r="C339" s="767" t="s">
        <v>808</v>
      </c>
      <c r="D339" s="767" t="s">
        <v>809</v>
      </c>
      <c r="E339" s="767"/>
      <c r="F339" s="806" t="s">
        <v>1392</v>
      </c>
      <c r="G339" s="778"/>
      <c r="H339" s="788">
        <v>0</v>
      </c>
      <c r="I339" s="788">
        <v>0</v>
      </c>
      <c r="J339" s="788">
        <v>0</v>
      </c>
      <c r="K339" s="788">
        <v>0</v>
      </c>
      <c r="L339" s="788">
        <v>0</v>
      </c>
      <c r="M339" s="788">
        <v>0</v>
      </c>
      <c r="N339" s="788">
        <v>0</v>
      </c>
      <c r="O339" s="788">
        <v>0</v>
      </c>
      <c r="P339" s="772">
        <v>0</v>
      </c>
      <c r="Q339" s="774"/>
      <c r="R339" s="774">
        <v>407</v>
      </c>
      <c r="S339" s="774"/>
      <c r="T339" s="774"/>
      <c r="U339" s="774"/>
      <c r="V339" s="774"/>
    </row>
    <row r="340" spans="1:22" hidden="1">
      <c r="A340" s="786">
        <v>340</v>
      </c>
      <c r="B340" s="767"/>
      <c r="C340" s="767"/>
      <c r="D340" s="767"/>
      <c r="E340" s="820" t="s">
        <v>810</v>
      </c>
      <c r="F340" s="806" t="s">
        <v>1392</v>
      </c>
      <c r="G340" s="778"/>
      <c r="H340" s="788">
        <v>0</v>
      </c>
      <c r="I340" s="788">
        <v>0</v>
      </c>
      <c r="J340" s="788">
        <v>0</v>
      </c>
      <c r="K340" s="788">
        <v>0</v>
      </c>
      <c r="L340" s="788">
        <v>0</v>
      </c>
      <c r="M340" s="788">
        <v>0</v>
      </c>
      <c r="N340" s="788">
        <v>0</v>
      </c>
      <c r="O340" s="788">
        <v>0</v>
      </c>
      <c r="P340" s="772">
        <v>0</v>
      </c>
      <c r="Q340" s="774"/>
      <c r="R340" s="774">
        <v>408</v>
      </c>
      <c r="S340" s="774"/>
      <c r="T340" s="774"/>
      <c r="U340" s="774"/>
      <c r="V340" s="774"/>
    </row>
    <row r="341" spans="1:22" hidden="1">
      <c r="A341" s="786">
        <v>341</v>
      </c>
      <c r="B341" s="767"/>
      <c r="C341" s="767"/>
      <c r="D341" s="767"/>
      <c r="E341" s="820"/>
      <c r="F341" s="806"/>
      <c r="G341" s="778"/>
      <c r="H341" s="788"/>
      <c r="I341" s="788"/>
      <c r="J341" s="788"/>
      <c r="K341" s="788"/>
      <c r="L341" s="788"/>
      <c r="M341" s="788"/>
      <c r="N341" s="788"/>
      <c r="O341" s="788"/>
      <c r="P341" s="772"/>
      <c r="Q341" s="774"/>
      <c r="R341" s="774"/>
      <c r="S341" s="774"/>
      <c r="T341" s="774"/>
      <c r="U341" s="774"/>
      <c r="V341" s="774"/>
    </row>
    <row r="342" spans="1:22" hidden="1">
      <c r="A342" s="786">
        <v>342</v>
      </c>
      <c r="B342" s="767"/>
      <c r="C342" s="767"/>
      <c r="D342" s="767"/>
      <c r="E342" s="820"/>
      <c r="F342" s="806"/>
      <c r="G342" s="778"/>
      <c r="H342" s="788"/>
      <c r="I342" s="788"/>
      <c r="J342" s="788"/>
      <c r="K342" s="788"/>
      <c r="L342" s="788"/>
      <c r="M342" s="788"/>
      <c r="N342" s="788"/>
      <c r="O342" s="788"/>
      <c r="P342" s="772"/>
      <c r="Q342" s="774"/>
      <c r="R342" s="774"/>
      <c r="S342" s="774"/>
      <c r="T342" s="774"/>
      <c r="U342" s="774"/>
      <c r="V342" s="774"/>
    </row>
    <row r="343" spans="1:22" hidden="1">
      <c r="A343" s="786">
        <v>343</v>
      </c>
      <c r="B343" s="767"/>
      <c r="C343" s="767" t="s">
        <v>811</v>
      </c>
      <c r="D343" s="767" t="s">
        <v>812</v>
      </c>
      <c r="E343" s="820"/>
      <c r="F343" s="806" t="s">
        <v>1392</v>
      </c>
      <c r="G343" s="778"/>
      <c r="P343" s="763"/>
      <c r="S343" s="774"/>
      <c r="T343" s="774"/>
      <c r="U343" s="774"/>
      <c r="V343" s="774"/>
    </row>
    <row r="344" spans="1:22" hidden="1">
      <c r="A344" s="786">
        <v>344</v>
      </c>
      <c r="B344" s="767"/>
      <c r="C344" s="767"/>
      <c r="D344" s="767"/>
      <c r="E344" s="820" t="s">
        <v>728</v>
      </c>
      <c r="F344" s="806" t="s">
        <v>1392</v>
      </c>
      <c r="G344" s="778"/>
      <c r="H344" s="788">
        <v>13423408.205649056</v>
      </c>
      <c r="I344" s="788">
        <v>5614336.7980972053</v>
      </c>
      <c r="J344" s="788">
        <v>1793858.7707530349</v>
      </c>
      <c r="K344" s="788">
        <v>3044210.293598793</v>
      </c>
      <c r="L344" s="788">
        <v>1240987.0273971099</v>
      </c>
      <c r="M344" s="788">
        <v>1173635.7304220607</v>
      </c>
      <c r="N344" s="788">
        <v>534777.8082376807</v>
      </c>
      <c r="O344" s="788">
        <v>21601.777143172218</v>
      </c>
      <c r="P344" s="772">
        <v>0</v>
      </c>
      <c r="Q344" s="774"/>
      <c r="R344" s="774">
        <v>411</v>
      </c>
      <c r="S344" s="774"/>
      <c r="T344" s="774"/>
      <c r="U344" s="774"/>
      <c r="V344" s="774"/>
    </row>
    <row r="345" spans="1:22" hidden="1">
      <c r="A345" s="786">
        <v>345</v>
      </c>
      <c r="B345" s="767"/>
      <c r="C345" s="767"/>
      <c r="D345" s="767"/>
      <c r="E345" s="820" t="s">
        <v>727</v>
      </c>
      <c r="F345" s="806" t="s">
        <v>1392</v>
      </c>
      <c r="G345" s="778"/>
      <c r="H345" s="788">
        <v>4149428.5777009227</v>
      </c>
      <c r="I345" s="788">
        <v>1735497.3638556651</v>
      </c>
      <c r="J345" s="788">
        <v>554515.56964419817</v>
      </c>
      <c r="K345" s="788">
        <v>941022.80101071938</v>
      </c>
      <c r="L345" s="788">
        <v>383612.48925370816</v>
      </c>
      <c r="M345" s="788">
        <v>362792.93343509862</v>
      </c>
      <c r="N345" s="788">
        <v>165309.90388028664</v>
      </c>
      <c r="O345" s="788">
        <v>6677.516621247034</v>
      </c>
      <c r="P345" s="772">
        <v>0</v>
      </c>
      <c r="Q345" s="774"/>
      <c r="R345" s="774">
        <v>412</v>
      </c>
      <c r="S345" s="774"/>
      <c r="T345" s="774"/>
      <c r="U345" s="774"/>
      <c r="V345" s="774"/>
    </row>
    <row r="346" spans="1:22" hidden="1">
      <c r="A346" s="786">
        <v>346</v>
      </c>
      <c r="B346" s="767"/>
      <c r="C346" s="767"/>
      <c r="D346" s="767"/>
      <c r="E346" s="767" t="s">
        <v>813</v>
      </c>
      <c r="F346" s="806"/>
      <c r="G346" s="778"/>
      <c r="H346" s="788">
        <v>17572836.78334998</v>
      </c>
      <c r="I346" s="788">
        <v>7349834.16195287</v>
      </c>
      <c r="J346" s="788">
        <v>2348374.3403972331</v>
      </c>
      <c r="K346" s="788">
        <v>3985233.0946095125</v>
      </c>
      <c r="L346" s="788">
        <v>1624599.5166508181</v>
      </c>
      <c r="M346" s="788">
        <v>1536428.6638571592</v>
      </c>
      <c r="N346" s="788">
        <v>700087.71211796731</v>
      </c>
      <c r="O346" s="788">
        <v>28279.29376441925</v>
      </c>
      <c r="P346" s="772">
        <v>0</v>
      </c>
      <c r="Q346" s="774"/>
      <c r="R346" s="774"/>
      <c r="S346" s="774"/>
      <c r="T346" s="774"/>
      <c r="U346" s="774"/>
      <c r="V346" s="774"/>
    </row>
    <row r="347" spans="1:22" hidden="1">
      <c r="A347" s="786">
        <v>347</v>
      </c>
      <c r="B347" s="767"/>
      <c r="C347" s="767"/>
      <c r="D347" s="767"/>
      <c r="E347" s="767"/>
      <c r="F347" s="806"/>
      <c r="G347" s="778"/>
      <c r="H347" s="788"/>
      <c r="I347" s="788"/>
      <c r="J347" s="788"/>
      <c r="K347" s="788"/>
      <c r="L347" s="788"/>
      <c r="M347" s="788"/>
      <c r="N347" s="788"/>
      <c r="O347" s="788"/>
      <c r="P347" s="772"/>
      <c r="R347" s="774"/>
    </row>
    <row r="348" spans="1:22" hidden="1">
      <c r="A348" s="786">
        <v>348</v>
      </c>
      <c r="B348" s="767"/>
      <c r="C348" s="767" t="s">
        <v>814</v>
      </c>
      <c r="D348" s="767" t="s">
        <v>815</v>
      </c>
      <c r="E348" s="767"/>
      <c r="F348" s="806" t="s">
        <v>1392</v>
      </c>
      <c r="G348" s="778"/>
      <c r="H348" s="788">
        <v>6923.0061980065711</v>
      </c>
      <c r="I348" s="788">
        <v>2895.5454423688184</v>
      </c>
      <c r="J348" s="788">
        <v>925.16708111769913</v>
      </c>
      <c r="K348" s="788">
        <v>1570.0250195587951</v>
      </c>
      <c r="L348" s="788">
        <v>640.02828124532391</v>
      </c>
      <c r="M348" s="788">
        <v>605.29243478527042</v>
      </c>
      <c r="N348" s="788">
        <v>275.80700998333521</v>
      </c>
      <c r="O348" s="788">
        <v>11.140928947329652</v>
      </c>
      <c r="P348" s="772">
        <v>0</v>
      </c>
      <c r="Q348" s="774"/>
      <c r="R348" s="774">
        <v>417</v>
      </c>
      <c r="S348" s="774"/>
      <c r="T348" s="774"/>
      <c r="U348" s="774"/>
      <c r="V348" s="774"/>
    </row>
    <row r="349" spans="1:22" hidden="1">
      <c r="A349" s="786">
        <v>349</v>
      </c>
      <c r="B349" s="767"/>
      <c r="C349" s="767"/>
      <c r="D349" s="767"/>
      <c r="E349" s="820" t="s">
        <v>719</v>
      </c>
      <c r="F349" s="806" t="s">
        <v>1392</v>
      </c>
      <c r="G349" s="778"/>
      <c r="H349" s="788">
        <v>2020187.5757936926</v>
      </c>
      <c r="I349" s="788">
        <v>844942.89915613132</v>
      </c>
      <c r="J349" s="788">
        <v>269971.01972051669</v>
      </c>
      <c r="K349" s="788">
        <v>458145.63030598004</v>
      </c>
      <c r="L349" s="788">
        <v>186765.27868784778</v>
      </c>
      <c r="M349" s="788">
        <v>176629.0859059486</v>
      </c>
      <c r="N349" s="788">
        <v>80482.651459358385</v>
      </c>
      <c r="O349" s="788">
        <v>3251.0105579099904</v>
      </c>
      <c r="P349" s="772">
        <v>0</v>
      </c>
      <c r="Q349" s="774"/>
      <c r="R349" s="774">
        <v>419</v>
      </c>
      <c r="S349" s="774"/>
      <c r="T349" s="774"/>
      <c r="U349" s="774"/>
      <c r="V349" s="774"/>
    </row>
    <row r="350" spans="1:22" hidden="1">
      <c r="A350" s="786">
        <v>350</v>
      </c>
      <c r="B350" s="767"/>
      <c r="C350" s="767"/>
      <c r="D350" s="767"/>
      <c r="E350" s="767" t="s">
        <v>816</v>
      </c>
      <c r="F350" s="806"/>
      <c r="G350" s="778"/>
      <c r="H350" s="788">
        <v>2027110.5819916995</v>
      </c>
      <c r="I350" s="788">
        <v>847838.44459850015</v>
      </c>
      <c r="J350" s="788">
        <v>270896.18680163438</v>
      </c>
      <c r="K350" s="788">
        <v>459715.65532553883</v>
      </c>
      <c r="L350" s="788">
        <v>187405.3069690931</v>
      </c>
      <c r="M350" s="788">
        <v>177234.37834073388</v>
      </c>
      <c r="N350" s="788">
        <v>80758.458469341727</v>
      </c>
      <c r="O350" s="788">
        <v>3262.1514868573199</v>
      </c>
      <c r="P350" s="772">
        <v>0</v>
      </c>
      <c r="Q350" s="774"/>
      <c r="R350" s="774"/>
      <c r="S350" s="774"/>
      <c r="T350" s="774"/>
      <c r="U350" s="774"/>
      <c r="V350" s="774"/>
    </row>
    <row r="351" spans="1:22" hidden="1">
      <c r="A351" s="786">
        <v>351</v>
      </c>
      <c r="B351" s="767"/>
      <c r="C351" s="767"/>
      <c r="D351" s="767"/>
      <c r="E351" s="767"/>
      <c r="F351" s="806"/>
      <c r="G351" s="778"/>
      <c r="H351" s="788"/>
      <c r="I351" s="788"/>
      <c r="J351" s="788"/>
      <c r="K351" s="788"/>
      <c r="L351" s="788"/>
      <c r="M351" s="788"/>
      <c r="N351" s="788"/>
      <c r="O351" s="788"/>
      <c r="P351" s="772"/>
      <c r="R351" s="774"/>
    </row>
    <row r="352" spans="1:22" hidden="1">
      <c r="A352" s="786">
        <v>352</v>
      </c>
      <c r="B352" s="767"/>
      <c r="C352" s="767" t="s">
        <v>817</v>
      </c>
      <c r="D352" s="767" t="s">
        <v>818</v>
      </c>
      <c r="E352" s="767"/>
      <c r="F352" s="806" t="s">
        <v>1392</v>
      </c>
      <c r="G352" s="778"/>
      <c r="H352" s="788">
        <v>2896505.8211208005</v>
      </c>
      <c r="I352" s="788">
        <v>1211462.7647677176</v>
      </c>
      <c r="J352" s="788">
        <v>387079.21953592508</v>
      </c>
      <c r="K352" s="788">
        <v>656880.33180828183</v>
      </c>
      <c r="L352" s="788">
        <v>267780.43949214183</v>
      </c>
      <c r="M352" s="788">
        <v>253247.36258949889</v>
      </c>
      <c r="N352" s="788">
        <v>115394.46695175339</v>
      </c>
      <c r="O352" s="788">
        <v>4661.2359754820682</v>
      </c>
      <c r="P352" s="772">
        <v>0</v>
      </c>
      <c r="Q352" s="774"/>
      <c r="R352" s="774">
        <v>423</v>
      </c>
      <c r="S352" s="774"/>
      <c r="T352" s="774"/>
      <c r="U352" s="774"/>
      <c r="V352" s="774"/>
    </row>
    <row r="353" spans="1:22" hidden="1">
      <c r="A353" s="786">
        <v>353</v>
      </c>
      <c r="B353" s="767"/>
      <c r="C353" s="767"/>
      <c r="D353" s="767"/>
      <c r="E353" s="767" t="s">
        <v>819</v>
      </c>
      <c r="F353" s="806" t="s">
        <v>1392</v>
      </c>
      <c r="G353" s="778"/>
      <c r="H353" s="788">
        <v>-950944.765964702</v>
      </c>
      <c r="I353" s="788">
        <v>-397732.38738778344</v>
      </c>
      <c r="J353" s="788">
        <v>-127081.03506899126</v>
      </c>
      <c r="K353" s="788">
        <v>-215658.78060501599</v>
      </c>
      <c r="L353" s="788">
        <v>-87914.343380896593</v>
      </c>
      <c r="M353" s="788">
        <v>-83143.024327036328</v>
      </c>
      <c r="N353" s="788">
        <v>-37884.87617352527</v>
      </c>
      <c r="O353" s="788">
        <v>-1530.3190214531876</v>
      </c>
      <c r="P353" s="772">
        <v>0</v>
      </c>
      <c r="Q353" s="774"/>
      <c r="R353" s="774">
        <v>424</v>
      </c>
      <c r="S353" s="774"/>
      <c r="T353" s="774"/>
      <c r="U353" s="774"/>
      <c r="V353" s="774"/>
    </row>
    <row r="354" spans="1:22" hidden="1">
      <c r="A354" s="786">
        <v>354</v>
      </c>
      <c r="B354" s="767"/>
      <c r="C354" s="767"/>
      <c r="D354" s="767"/>
      <c r="E354" s="767"/>
      <c r="F354" s="806"/>
      <c r="G354" s="778"/>
      <c r="H354" s="788"/>
      <c r="I354" s="788"/>
      <c r="J354" s="788"/>
      <c r="K354" s="788"/>
      <c r="L354" s="788"/>
      <c r="M354" s="788"/>
      <c r="N354" s="788"/>
      <c r="O354" s="788"/>
      <c r="P354" s="772"/>
      <c r="Q354" s="774"/>
      <c r="R354" s="774"/>
      <c r="S354" s="774"/>
      <c r="T354" s="774"/>
      <c r="U354" s="774"/>
      <c r="V354" s="774"/>
    </row>
    <row r="355" spans="1:22" hidden="1">
      <c r="A355" s="786">
        <v>355</v>
      </c>
      <c r="B355" s="767"/>
      <c r="C355" s="821" t="s">
        <v>820</v>
      </c>
      <c r="D355" s="767" t="s">
        <v>751</v>
      </c>
      <c r="E355" s="767"/>
      <c r="F355" s="806"/>
      <c r="G355" s="778"/>
      <c r="H355" s="788"/>
      <c r="I355" s="788"/>
      <c r="J355" s="788"/>
      <c r="K355" s="788"/>
      <c r="L355" s="788"/>
      <c r="M355" s="788"/>
      <c r="N355" s="788"/>
      <c r="O355" s="788"/>
      <c r="P355" s="772"/>
      <c r="Q355" s="774"/>
      <c r="R355" s="774"/>
      <c r="S355" s="774"/>
      <c r="T355" s="774"/>
      <c r="U355" s="774"/>
      <c r="V355" s="774"/>
    </row>
    <row r="356" spans="1:22" hidden="1">
      <c r="A356" s="786">
        <v>356</v>
      </c>
      <c r="B356" s="767"/>
      <c r="C356" s="764"/>
      <c r="D356" s="767"/>
      <c r="E356" s="820" t="s">
        <v>719</v>
      </c>
      <c r="F356" s="806" t="s">
        <v>1392</v>
      </c>
      <c r="G356" s="778"/>
      <c r="H356" s="788">
        <v>401872.71645352751</v>
      </c>
      <c r="I356" s="788">
        <v>168083.15336687837</v>
      </c>
      <c r="J356" s="788">
        <v>53704.907583241467</v>
      </c>
      <c r="K356" s="788">
        <v>91138.184982670267</v>
      </c>
      <c r="L356" s="788">
        <v>37152.921236037939</v>
      </c>
      <c r="M356" s="788">
        <v>35136.544451739544</v>
      </c>
      <c r="N356" s="788">
        <v>16010.286449092515</v>
      </c>
      <c r="O356" s="788">
        <v>646.71838386744366</v>
      </c>
      <c r="P356" s="772">
        <v>0</v>
      </c>
      <c r="Q356" s="774"/>
      <c r="R356" s="774">
        <v>429</v>
      </c>
      <c r="S356" s="774"/>
      <c r="T356" s="774"/>
      <c r="U356" s="774"/>
      <c r="V356" s="774"/>
    </row>
    <row r="357" spans="1:22" hidden="1">
      <c r="A357" s="786">
        <v>357</v>
      </c>
      <c r="B357" s="767"/>
      <c r="C357" s="764"/>
      <c r="D357" s="767"/>
      <c r="E357" s="820" t="s">
        <v>788</v>
      </c>
      <c r="F357" s="806" t="s">
        <v>1392</v>
      </c>
      <c r="G357" s="778"/>
      <c r="H357" s="788">
        <v>3085.2900587078143</v>
      </c>
      <c r="I357" s="788">
        <v>1290.421720328605</v>
      </c>
      <c r="J357" s="788">
        <v>412.30770511776655</v>
      </c>
      <c r="K357" s="788">
        <v>699.69352131478399</v>
      </c>
      <c r="L357" s="788">
        <v>285.23344294948623</v>
      </c>
      <c r="M357" s="788">
        <v>269.75315032821675</v>
      </c>
      <c r="N357" s="788">
        <v>122.91547944425274</v>
      </c>
      <c r="O357" s="788">
        <v>4.9650392247032427</v>
      </c>
      <c r="P357" s="772">
        <v>0</v>
      </c>
      <c r="Q357" s="774"/>
      <c r="R357" s="774">
        <v>430</v>
      </c>
      <c r="S357" s="774"/>
      <c r="T357" s="774"/>
      <c r="U357" s="774"/>
      <c r="V357" s="774"/>
    </row>
    <row r="358" spans="1:22" hidden="1">
      <c r="A358" s="786">
        <v>358</v>
      </c>
      <c r="B358" s="767"/>
      <c r="C358" s="764"/>
      <c r="D358" s="767"/>
      <c r="E358" s="767" t="s">
        <v>821</v>
      </c>
      <c r="F358" s="806"/>
      <c r="G358" s="778"/>
      <c r="H358" s="788">
        <v>404958.00651223533</v>
      </c>
      <c r="I358" s="788">
        <v>169373.57508720696</v>
      </c>
      <c r="J358" s="788">
        <v>54117.215288359235</v>
      </c>
      <c r="K358" s="788">
        <v>91837.878503985048</v>
      </c>
      <c r="L358" s="788">
        <v>37438.154678987426</v>
      </c>
      <c r="M358" s="788">
        <v>35406.29760206776</v>
      </c>
      <c r="N358" s="788">
        <v>16133.201928536768</v>
      </c>
      <c r="O358" s="788">
        <v>651.68342309214688</v>
      </c>
      <c r="P358" s="772">
        <v>0</v>
      </c>
      <c r="Q358" s="774"/>
      <c r="R358" s="774"/>
      <c r="S358" s="774"/>
      <c r="T358" s="774"/>
      <c r="U358" s="774"/>
      <c r="V358" s="774"/>
    </row>
    <row r="359" spans="1:22" hidden="1">
      <c r="A359" s="786">
        <v>359</v>
      </c>
      <c r="B359" s="767"/>
      <c r="C359" s="767"/>
      <c r="D359" s="767"/>
      <c r="E359" s="767"/>
      <c r="F359" s="806"/>
      <c r="G359" s="778"/>
      <c r="H359" s="788"/>
      <c r="I359" s="788"/>
      <c r="J359" s="788"/>
      <c r="K359" s="788"/>
      <c r="L359" s="788"/>
      <c r="M359" s="788"/>
      <c r="N359" s="788"/>
      <c r="O359" s="788"/>
      <c r="P359" s="772"/>
      <c r="R359" s="774"/>
    </row>
    <row r="360" spans="1:22" hidden="1">
      <c r="A360" s="786">
        <v>360</v>
      </c>
      <c r="B360" s="767"/>
      <c r="C360" s="767" t="s">
        <v>822</v>
      </c>
      <c r="D360" s="767" t="s">
        <v>754</v>
      </c>
      <c r="E360" s="767"/>
      <c r="F360" s="806" t="s">
        <v>1392</v>
      </c>
      <c r="G360" s="778"/>
      <c r="H360" s="788">
        <v>5594.7308903961048</v>
      </c>
      <c r="I360" s="788">
        <v>2339.9946594921576</v>
      </c>
      <c r="J360" s="788">
        <v>747.66087151520958</v>
      </c>
      <c r="K360" s="788">
        <v>1268.7938193886912</v>
      </c>
      <c r="L360" s="788">
        <v>517.22992777926459</v>
      </c>
      <c r="M360" s="788">
        <v>489.15863799043331</v>
      </c>
      <c r="N360" s="788">
        <v>222.88958790559323</v>
      </c>
      <c r="O360" s="788">
        <v>9.0033863247559953</v>
      </c>
      <c r="P360" s="772">
        <v>0</v>
      </c>
      <c r="Q360" s="774"/>
      <c r="R360" s="774">
        <v>436</v>
      </c>
      <c r="S360" s="774"/>
      <c r="T360" s="774"/>
      <c r="U360" s="774"/>
      <c r="V360" s="774"/>
    </row>
    <row r="361" spans="1:22" hidden="1">
      <c r="A361" s="786">
        <v>361</v>
      </c>
      <c r="B361" s="767"/>
      <c r="C361" s="767"/>
      <c r="D361" s="767"/>
      <c r="E361" s="767"/>
      <c r="F361" s="806"/>
      <c r="G361" s="778"/>
      <c r="H361" s="788"/>
      <c r="I361" s="788"/>
      <c r="J361" s="788"/>
      <c r="K361" s="788"/>
      <c r="L361" s="788"/>
      <c r="M361" s="788"/>
      <c r="N361" s="788"/>
      <c r="O361" s="788"/>
      <c r="P361" s="772"/>
      <c r="R361" s="774"/>
    </row>
    <row r="362" spans="1:22" hidden="1">
      <c r="A362" s="786">
        <v>362</v>
      </c>
      <c r="B362" s="767"/>
      <c r="C362" s="767" t="s">
        <v>823</v>
      </c>
      <c r="D362" s="767" t="s">
        <v>824</v>
      </c>
      <c r="E362" s="767"/>
      <c r="F362" s="806" t="s">
        <v>1392</v>
      </c>
      <c r="G362" s="778"/>
      <c r="H362" s="788">
        <v>0</v>
      </c>
      <c r="I362" s="788">
        <v>0</v>
      </c>
      <c r="J362" s="788">
        <v>0</v>
      </c>
      <c r="K362" s="788">
        <v>0</v>
      </c>
      <c r="L362" s="788">
        <v>0</v>
      </c>
      <c r="M362" s="788">
        <v>0</v>
      </c>
      <c r="N362" s="788">
        <v>0</v>
      </c>
      <c r="O362" s="788">
        <v>0</v>
      </c>
      <c r="P362" s="772">
        <v>0</v>
      </c>
      <c r="Q362" s="774"/>
      <c r="R362" s="774">
        <v>440</v>
      </c>
      <c r="S362" s="774"/>
      <c r="T362" s="774"/>
      <c r="U362" s="774"/>
      <c r="V362" s="774"/>
    </row>
    <row r="363" spans="1:22" hidden="1">
      <c r="A363" s="786">
        <v>363</v>
      </c>
      <c r="B363" s="767"/>
      <c r="C363" s="767"/>
      <c r="D363" s="767"/>
      <c r="E363" s="820" t="s">
        <v>719</v>
      </c>
      <c r="F363" s="806" t="s">
        <v>1392</v>
      </c>
      <c r="G363" s="778"/>
      <c r="H363" s="788">
        <v>1082394.6606789485</v>
      </c>
      <c r="I363" s="788">
        <v>452711.26977695333</v>
      </c>
      <c r="J363" s="788">
        <v>144647.55341777243</v>
      </c>
      <c r="K363" s="788">
        <v>245469.47521036849</v>
      </c>
      <c r="L363" s="788">
        <v>100066.81699966398</v>
      </c>
      <c r="M363" s="788">
        <v>94635.954500457825</v>
      </c>
      <c r="N363" s="788">
        <v>43121.734466993199</v>
      </c>
      <c r="O363" s="788">
        <v>1741.8563067393206</v>
      </c>
      <c r="P363" s="772">
        <v>0</v>
      </c>
      <c r="Q363" s="774"/>
      <c r="R363" s="774">
        <v>441</v>
      </c>
      <c r="S363" s="774"/>
      <c r="T363" s="774"/>
      <c r="U363" s="774"/>
      <c r="V363" s="774"/>
    </row>
    <row r="364" spans="1:22" hidden="1">
      <c r="A364" s="786">
        <v>364</v>
      </c>
      <c r="B364" s="767"/>
      <c r="C364" s="767"/>
      <c r="D364" s="767"/>
      <c r="E364" s="767" t="s">
        <v>825</v>
      </c>
      <c r="F364" s="806"/>
      <c r="G364" s="778"/>
      <c r="H364" s="788">
        <v>1082394.6606789487</v>
      </c>
      <c r="I364" s="788">
        <v>452711.26977695333</v>
      </c>
      <c r="J364" s="788">
        <v>144647.55341777243</v>
      </c>
      <c r="K364" s="788">
        <v>245469.47521036849</v>
      </c>
      <c r="L364" s="788">
        <v>100066.81699966398</v>
      </c>
      <c r="M364" s="788">
        <v>94635.954500457825</v>
      </c>
      <c r="N364" s="788">
        <v>43121.734466993199</v>
      </c>
      <c r="O364" s="788">
        <v>1741.8563067393206</v>
      </c>
      <c r="P364" s="772">
        <v>0</v>
      </c>
      <c r="Q364" s="774"/>
      <c r="R364" s="774"/>
      <c r="S364" s="774"/>
      <c r="T364" s="774"/>
      <c r="U364" s="774"/>
      <c r="V364" s="774"/>
    </row>
    <row r="365" spans="1:22" hidden="1">
      <c r="A365" s="786">
        <v>365</v>
      </c>
      <c r="B365" s="767"/>
      <c r="C365" s="767"/>
      <c r="D365" s="767"/>
      <c r="E365" s="767"/>
      <c r="F365" s="806"/>
      <c r="G365" s="778"/>
      <c r="H365" s="788"/>
      <c r="I365" s="788"/>
      <c r="J365" s="788"/>
      <c r="K365" s="788"/>
      <c r="L365" s="788"/>
      <c r="M365" s="788"/>
      <c r="N365" s="788"/>
      <c r="O365" s="788"/>
      <c r="P365" s="772"/>
      <c r="R365" s="774"/>
    </row>
    <row r="366" spans="1:22" hidden="1">
      <c r="A366" s="786">
        <v>366</v>
      </c>
      <c r="B366" s="767"/>
      <c r="C366" s="767" t="s">
        <v>826</v>
      </c>
      <c r="D366" s="767" t="s">
        <v>827</v>
      </c>
      <c r="E366" s="767"/>
      <c r="F366" s="806" t="s">
        <v>1392</v>
      </c>
      <c r="G366" s="778"/>
      <c r="H366" s="788">
        <v>0</v>
      </c>
      <c r="I366" s="788">
        <v>0</v>
      </c>
      <c r="J366" s="788">
        <v>0</v>
      </c>
      <c r="K366" s="788">
        <v>0</v>
      </c>
      <c r="L366" s="788">
        <v>0</v>
      </c>
      <c r="M366" s="788">
        <v>0</v>
      </c>
      <c r="N366" s="788">
        <v>0</v>
      </c>
      <c r="O366" s="788">
        <v>0</v>
      </c>
      <c r="P366" s="772">
        <v>0</v>
      </c>
      <c r="Q366" s="774"/>
      <c r="R366" s="774">
        <v>445</v>
      </c>
      <c r="S366" s="774"/>
      <c r="T366" s="774"/>
      <c r="U366" s="774"/>
      <c r="V366" s="774"/>
    </row>
    <row r="367" spans="1:22" hidden="1">
      <c r="A367" s="786">
        <v>367</v>
      </c>
      <c r="B367" s="767"/>
      <c r="C367" s="767"/>
      <c r="D367" s="767"/>
      <c r="E367" s="820" t="s">
        <v>719</v>
      </c>
      <c r="F367" s="806" t="s">
        <v>1392</v>
      </c>
      <c r="G367" s="778"/>
      <c r="H367" s="788">
        <v>50217.325696208485</v>
      </c>
      <c r="I367" s="788">
        <v>21003.382690813676</v>
      </c>
      <c r="J367" s="788">
        <v>6710.8731824154202</v>
      </c>
      <c r="K367" s="788">
        <v>11388.47135238478</v>
      </c>
      <c r="L367" s="788">
        <v>4642.5653444215577</v>
      </c>
      <c r="M367" s="788">
        <v>4390.6023582378584</v>
      </c>
      <c r="N367" s="788">
        <v>2000.6179473909267</v>
      </c>
      <c r="O367" s="788">
        <v>80.812820544269456</v>
      </c>
      <c r="P367" s="772">
        <v>0</v>
      </c>
      <c r="Q367" s="774"/>
      <c r="R367" s="774">
        <v>446</v>
      </c>
      <c r="S367" s="774"/>
      <c r="T367" s="774"/>
      <c r="U367" s="774"/>
      <c r="V367" s="774"/>
    </row>
    <row r="368" spans="1:22" hidden="1">
      <c r="A368" s="786">
        <v>368</v>
      </c>
      <c r="B368" s="767"/>
      <c r="C368" s="767"/>
      <c r="D368" s="767"/>
      <c r="E368" s="767" t="s">
        <v>828</v>
      </c>
      <c r="F368" s="806"/>
      <c r="G368" s="778"/>
      <c r="H368" s="788">
        <v>50217.325696208492</v>
      </c>
      <c r="I368" s="788">
        <v>21003.382690813676</v>
      </c>
      <c r="J368" s="788">
        <v>6710.8731824154202</v>
      </c>
      <c r="K368" s="788">
        <v>11388.47135238478</v>
      </c>
      <c r="L368" s="788">
        <v>4642.5653444215577</v>
      </c>
      <c r="M368" s="788">
        <v>4390.6023582378584</v>
      </c>
      <c r="N368" s="788">
        <v>2000.6179473909267</v>
      </c>
      <c r="O368" s="788">
        <v>80.812820544269456</v>
      </c>
      <c r="P368" s="772">
        <v>0</v>
      </c>
      <c r="Q368" s="774"/>
      <c r="R368" s="774"/>
      <c r="S368" s="774"/>
      <c r="T368" s="774"/>
      <c r="U368" s="774"/>
      <c r="V368" s="774"/>
    </row>
    <row r="369" spans="1:22" hidden="1">
      <c r="A369" s="786">
        <v>369</v>
      </c>
      <c r="B369" s="767"/>
      <c r="C369" s="767"/>
      <c r="D369" s="767"/>
      <c r="E369" s="767"/>
      <c r="F369" s="806"/>
      <c r="G369" s="778"/>
      <c r="H369" s="788"/>
      <c r="I369" s="788"/>
      <c r="J369" s="788"/>
      <c r="K369" s="788"/>
      <c r="L369" s="788"/>
      <c r="M369" s="788"/>
      <c r="N369" s="788"/>
      <c r="O369" s="788"/>
      <c r="P369" s="772"/>
      <c r="R369" s="774"/>
    </row>
    <row r="370" spans="1:22" hidden="1">
      <c r="A370" s="786">
        <v>370</v>
      </c>
      <c r="B370" s="767"/>
      <c r="C370" s="767" t="s">
        <v>829</v>
      </c>
      <c r="D370" s="767"/>
      <c r="E370" s="767"/>
      <c r="F370" s="806"/>
      <c r="G370" s="778"/>
      <c r="H370" s="788">
        <v>23114491.297587298</v>
      </c>
      <c r="I370" s="788">
        <v>9667629.6416828763</v>
      </c>
      <c r="J370" s="788">
        <v>3088942.2649176428</v>
      </c>
      <c r="K370" s="788">
        <v>5241990.0565791233</v>
      </c>
      <c r="L370" s="788">
        <v>2136922.561374363</v>
      </c>
      <c r="M370" s="788">
        <v>2020946.7269245221</v>
      </c>
      <c r="N370" s="788">
        <v>920862.77980063763</v>
      </c>
      <c r="O370" s="788">
        <v>37197.266308130675</v>
      </c>
      <c r="P370" s="772">
        <v>0</v>
      </c>
      <c r="Q370" s="774"/>
      <c r="R370" s="774"/>
      <c r="S370" s="774"/>
      <c r="T370" s="774"/>
      <c r="U370" s="774"/>
      <c r="V370" s="774"/>
    </row>
    <row r="371" spans="1:22" hidden="1">
      <c r="A371" s="786">
        <v>371</v>
      </c>
      <c r="B371" s="767"/>
      <c r="C371" s="767"/>
      <c r="D371" s="767"/>
      <c r="E371" s="767"/>
      <c r="F371" s="806"/>
      <c r="G371" s="778"/>
      <c r="H371" s="810"/>
      <c r="I371" s="810"/>
      <c r="J371" s="810"/>
      <c r="K371" s="810"/>
      <c r="L371" s="810"/>
      <c r="M371" s="810"/>
      <c r="N371" s="810"/>
      <c r="O371" s="810"/>
      <c r="P371" s="772"/>
      <c r="R371" s="774"/>
    </row>
    <row r="372" spans="1:22" hidden="1">
      <c r="A372" s="786">
        <v>372</v>
      </c>
      <c r="B372" s="767"/>
      <c r="C372" s="767"/>
      <c r="D372" s="767"/>
      <c r="E372" s="767"/>
      <c r="F372" s="806"/>
      <c r="G372" s="778"/>
      <c r="H372" s="788"/>
      <c r="I372" s="788"/>
      <c r="J372" s="788"/>
      <c r="K372" s="788"/>
      <c r="L372" s="788"/>
      <c r="M372" s="788"/>
      <c r="N372" s="788"/>
      <c r="O372" s="788"/>
      <c r="P372" s="772"/>
      <c r="R372" s="774"/>
    </row>
    <row r="373" spans="1:22" hidden="1">
      <c r="A373" s="786">
        <v>373</v>
      </c>
      <c r="B373" s="767"/>
      <c r="D373" s="768"/>
      <c r="E373" s="795"/>
      <c r="F373" s="806"/>
      <c r="H373" s="817" t="s">
        <v>830</v>
      </c>
      <c r="I373" s="817"/>
      <c r="J373" s="817"/>
      <c r="K373" s="817"/>
      <c r="L373" s="817"/>
      <c r="M373" s="817"/>
      <c r="N373" s="817"/>
      <c r="O373" s="817"/>
      <c r="P373" s="772"/>
      <c r="R373" s="774"/>
    </row>
    <row r="374" spans="1:22" hidden="1">
      <c r="A374" s="786">
        <v>374</v>
      </c>
      <c r="B374" s="767"/>
      <c r="C374" s="767"/>
      <c r="D374" s="767"/>
      <c r="E374" s="767"/>
      <c r="F374" s="806"/>
      <c r="G374" s="778"/>
      <c r="H374" s="810"/>
      <c r="I374" s="810"/>
      <c r="J374" s="810"/>
      <c r="K374" s="810"/>
      <c r="L374" s="810"/>
      <c r="M374" s="810"/>
      <c r="N374" s="810"/>
      <c r="O374" s="810"/>
      <c r="P374" s="772"/>
      <c r="R374" s="774"/>
    </row>
    <row r="375" spans="1:22" hidden="1">
      <c r="A375" s="786">
        <v>375</v>
      </c>
      <c r="B375" s="767"/>
      <c r="C375" s="767"/>
      <c r="D375" s="767"/>
      <c r="E375" s="767"/>
      <c r="F375" s="806"/>
      <c r="G375" s="778"/>
      <c r="H375" s="788"/>
      <c r="I375" s="788"/>
      <c r="J375" s="788"/>
      <c r="K375" s="788"/>
      <c r="L375" s="788"/>
      <c r="M375" s="788"/>
      <c r="N375" s="788"/>
      <c r="O375" s="788"/>
      <c r="P375" s="772"/>
      <c r="R375" s="774"/>
    </row>
    <row r="376" spans="1:22" hidden="1">
      <c r="A376" s="786">
        <v>376</v>
      </c>
      <c r="B376" s="767"/>
      <c r="C376" s="767" t="s">
        <v>831</v>
      </c>
      <c r="D376" s="767" t="s">
        <v>832</v>
      </c>
      <c r="E376" s="767"/>
      <c r="F376" s="806" t="s">
        <v>1392</v>
      </c>
      <c r="G376" s="778"/>
      <c r="H376" s="788">
        <v>1401130.1499999997</v>
      </c>
      <c r="I376" s="788">
        <v>531557.7924863057</v>
      </c>
      <c r="J376" s="788">
        <v>193396.98707936349</v>
      </c>
      <c r="K376" s="788">
        <v>331308.16549524525</v>
      </c>
      <c r="L376" s="788">
        <v>139828.22309985638</v>
      </c>
      <c r="M376" s="788">
        <v>143231.54551011612</v>
      </c>
      <c r="N376" s="788">
        <v>57452.249096767649</v>
      </c>
      <c r="O376" s="788">
        <v>4355.1872323453508</v>
      </c>
      <c r="P376" s="772">
        <v>0</v>
      </c>
      <c r="Q376" s="774"/>
      <c r="R376" s="774">
        <v>451</v>
      </c>
      <c r="S376" s="774"/>
      <c r="T376" s="774"/>
      <c r="U376" s="774"/>
      <c r="V376" s="774"/>
    </row>
    <row r="377" spans="1:22" hidden="1">
      <c r="A377" s="786">
        <v>377</v>
      </c>
      <c r="B377" s="767"/>
      <c r="C377" s="767"/>
      <c r="D377" s="767"/>
      <c r="E377" s="767" t="s">
        <v>788</v>
      </c>
      <c r="F377" s="806" t="s">
        <v>1392</v>
      </c>
      <c r="G377" s="778"/>
      <c r="H377" s="788">
        <v>0</v>
      </c>
      <c r="I377" s="788">
        <v>0</v>
      </c>
      <c r="J377" s="788">
        <v>0</v>
      </c>
      <c r="K377" s="788">
        <v>0</v>
      </c>
      <c r="L377" s="788">
        <v>0</v>
      </c>
      <c r="M377" s="788">
        <v>0</v>
      </c>
      <c r="N377" s="788">
        <v>0</v>
      </c>
      <c r="O377" s="788">
        <v>0</v>
      </c>
      <c r="P377" s="772">
        <v>0</v>
      </c>
      <c r="Q377" s="774"/>
      <c r="R377" s="774">
        <v>452</v>
      </c>
      <c r="S377" s="774"/>
      <c r="T377" s="774"/>
      <c r="U377" s="774"/>
      <c r="V377" s="774"/>
    </row>
    <row r="378" spans="1:22" hidden="1">
      <c r="A378" s="786">
        <v>378</v>
      </c>
      <c r="B378" s="767"/>
      <c r="C378" s="767"/>
      <c r="D378" s="767"/>
      <c r="E378" s="767" t="s">
        <v>738</v>
      </c>
      <c r="F378" s="806" t="s">
        <v>1392</v>
      </c>
      <c r="G378" s="778"/>
      <c r="H378" s="788">
        <v>0</v>
      </c>
      <c r="I378" s="788">
        <v>0</v>
      </c>
      <c r="J378" s="788">
        <v>0</v>
      </c>
      <c r="K378" s="788">
        <v>0</v>
      </c>
      <c r="L378" s="788">
        <v>0</v>
      </c>
      <c r="M378" s="788">
        <v>0</v>
      </c>
      <c r="N378" s="788">
        <v>0</v>
      </c>
      <c r="O378" s="788">
        <v>0</v>
      </c>
      <c r="P378" s="772">
        <v>0</v>
      </c>
      <c r="Q378" s="774"/>
      <c r="R378" s="774">
        <v>453</v>
      </c>
      <c r="S378" s="774"/>
      <c r="T378" s="774"/>
      <c r="U378" s="774"/>
      <c r="V378" s="774"/>
    </row>
    <row r="379" spans="1:22" hidden="1">
      <c r="A379" s="786">
        <v>379</v>
      </c>
      <c r="B379" s="767"/>
      <c r="C379" s="767"/>
      <c r="D379" s="767"/>
      <c r="E379" s="767"/>
      <c r="F379" s="806"/>
      <c r="G379" s="778"/>
      <c r="H379" s="788"/>
      <c r="I379" s="788"/>
      <c r="J379" s="788"/>
      <c r="K379" s="788"/>
      <c r="L379" s="788"/>
      <c r="M379" s="788"/>
      <c r="N379" s="788"/>
      <c r="O379" s="788"/>
      <c r="P379" s="772"/>
      <c r="Q379" s="774"/>
      <c r="R379" s="774"/>
      <c r="S379" s="774"/>
      <c r="T379" s="774"/>
      <c r="U379" s="774"/>
      <c r="V379" s="774"/>
    </row>
    <row r="380" spans="1:22" hidden="1">
      <c r="A380" s="786">
        <v>380</v>
      </c>
      <c r="B380" s="767"/>
      <c r="C380" s="767" t="s">
        <v>833</v>
      </c>
      <c r="D380" s="767" t="s">
        <v>834</v>
      </c>
      <c r="E380" s="767"/>
      <c r="F380" s="806"/>
      <c r="G380" s="778"/>
      <c r="H380" s="788"/>
      <c r="I380" s="788"/>
      <c r="J380" s="788"/>
      <c r="K380" s="788"/>
      <c r="L380" s="788"/>
      <c r="M380" s="788"/>
      <c r="N380" s="788"/>
      <c r="O380" s="788"/>
      <c r="P380" s="772"/>
      <c r="Q380" s="774"/>
      <c r="R380" s="774"/>
      <c r="S380" s="774"/>
      <c r="T380" s="774"/>
      <c r="U380" s="774"/>
      <c r="V380" s="774"/>
    </row>
    <row r="381" spans="1:22" hidden="1">
      <c r="A381" s="786">
        <v>381</v>
      </c>
      <c r="B381" s="767"/>
      <c r="C381" s="767"/>
      <c r="D381" s="767"/>
      <c r="E381" s="767" t="s">
        <v>719</v>
      </c>
      <c r="F381" s="806" t="s">
        <v>1392</v>
      </c>
      <c r="G381" s="778"/>
      <c r="H381" s="788">
        <v>35111422.157744899</v>
      </c>
      <c r="I381" s="788">
        <v>14685342.681510232</v>
      </c>
      <c r="J381" s="788">
        <v>4692171.4386050478</v>
      </c>
      <c r="K381" s="788">
        <v>7962698.5276748156</v>
      </c>
      <c r="L381" s="788">
        <v>3246032.5085612643</v>
      </c>
      <c r="M381" s="788">
        <v>3069862.6577503942</v>
      </c>
      <c r="N381" s="788">
        <v>1398810.8755960199</v>
      </c>
      <c r="O381" s="788">
        <v>56503.468047127782</v>
      </c>
      <c r="P381" s="772">
        <v>0</v>
      </c>
      <c r="Q381" s="774"/>
      <c r="R381" s="774">
        <v>456</v>
      </c>
      <c r="S381" s="774"/>
      <c r="T381" s="774"/>
      <c r="U381" s="774"/>
      <c r="V381" s="774"/>
    </row>
    <row r="382" spans="1:22" hidden="1">
      <c r="A382" s="786">
        <v>382</v>
      </c>
      <c r="B382" s="767"/>
      <c r="C382" s="767"/>
      <c r="D382" s="767"/>
      <c r="E382" s="820" t="s">
        <v>728</v>
      </c>
      <c r="F382" s="806" t="s">
        <v>1392</v>
      </c>
      <c r="G382" s="778"/>
      <c r="H382" s="788">
        <v>232282.93330751164</v>
      </c>
      <c r="I382" s="788">
        <v>97152.273108218738</v>
      </c>
      <c r="J382" s="788">
        <v>31041.503828704757</v>
      </c>
      <c r="K382" s="788">
        <v>52677.985036949707</v>
      </c>
      <c r="L382" s="788">
        <v>21474.434994762341</v>
      </c>
      <c r="M382" s="788">
        <v>20308.966688669556</v>
      </c>
      <c r="N382" s="788">
        <v>9253.9656145548979</v>
      </c>
      <c r="O382" s="788">
        <v>373.80403565165824</v>
      </c>
      <c r="P382" s="772">
        <v>0</v>
      </c>
      <c r="Q382" s="774"/>
      <c r="R382" s="774">
        <v>457</v>
      </c>
      <c r="S382" s="774"/>
      <c r="T382" s="774"/>
      <c r="U382" s="774"/>
      <c r="V382" s="774"/>
    </row>
    <row r="383" spans="1:22" hidden="1">
      <c r="A383" s="786">
        <v>383</v>
      </c>
      <c r="B383" s="767"/>
      <c r="C383" s="767"/>
      <c r="D383" s="767"/>
      <c r="E383" s="767" t="s">
        <v>835</v>
      </c>
      <c r="F383" s="806" t="s">
        <v>1392</v>
      </c>
      <c r="G383" s="778"/>
      <c r="H383" s="788">
        <v>0</v>
      </c>
      <c r="I383" s="788">
        <v>0</v>
      </c>
      <c r="J383" s="788">
        <v>0</v>
      </c>
      <c r="K383" s="788">
        <v>0</v>
      </c>
      <c r="L383" s="788">
        <v>0</v>
      </c>
      <c r="M383" s="788">
        <v>0</v>
      </c>
      <c r="N383" s="788">
        <v>0</v>
      </c>
      <c r="O383" s="788">
        <v>0</v>
      </c>
      <c r="P383" s="772">
        <v>0</v>
      </c>
      <c r="Q383" s="774"/>
      <c r="R383" s="774">
        <v>458</v>
      </c>
      <c r="S383" s="774"/>
      <c r="T383" s="774"/>
      <c r="U383" s="774"/>
      <c r="V383" s="774"/>
    </row>
    <row r="384" spans="1:22" hidden="1">
      <c r="A384" s="786">
        <v>384</v>
      </c>
      <c r="B384" s="767"/>
      <c r="C384" s="767"/>
      <c r="D384" s="767"/>
      <c r="E384" s="767" t="s">
        <v>835</v>
      </c>
      <c r="F384" s="806" t="s">
        <v>1392</v>
      </c>
      <c r="G384" s="778"/>
      <c r="H384" s="788">
        <v>-11501081.914558964</v>
      </c>
      <c r="I384" s="788">
        <v>-4810324.3544113375</v>
      </c>
      <c r="J384" s="788">
        <v>-1536965.6013960969</v>
      </c>
      <c r="K384" s="788">
        <v>-2608258.00835656</v>
      </c>
      <c r="L384" s="788">
        <v>-1063268.9730014114</v>
      </c>
      <c r="M384" s="788">
        <v>-1005562.8545779366</v>
      </c>
      <c r="N384" s="788">
        <v>-458193.87180980673</v>
      </c>
      <c r="O384" s="788">
        <v>-18508.251005815127</v>
      </c>
      <c r="P384" s="772">
        <v>0</v>
      </c>
      <c r="Q384" s="774"/>
      <c r="R384" s="774">
        <v>459</v>
      </c>
      <c r="S384" s="774"/>
      <c r="T384" s="774"/>
      <c r="U384" s="774"/>
      <c r="V384" s="774"/>
    </row>
    <row r="385" spans="1:22" hidden="1">
      <c r="A385" s="786">
        <v>385</v>
      </c>
      <c r="B385" s="767"/>
      <c r="C385" s="767"/>
      <c r="D385" s="767"/>
      <c r="E385" s="767" t="s">
        <v>836</v>
      </c>
      <c r="F385" s="806"/>
      <c r="G385" s="778"/>
      <c r="H385" s="788">
        <v>25243753.326493453</v>
      </c>
      <c r="I385" s="788">
        <v>10503728.392693419</v>
      </c>
      <c r="J385" s="788">
        <v>3379644.3281170186</v>
      </c>
      <c r="K385" s="788">
        <v>5738426.6698504509</v>
      </c>
      <c r="L385" s="788">
        <v>2344066.1936544711</v>
      </c>
      <c r="M385" s="788">
        <v>2227840.3153712433</v>
      </c>
      <c r="N385" s="788">
        <v>1007323.2184975359</v>
      </c>
      <c r="O385" s="788">
        <v>42724.208309309659</v>
      </c>
      <c r="P385" s="772">
        <v>0</v>
      </c>
      <c r="Q385" s="774"/>
      <c r="R385" s="774"/>
      <c r="S385" s="774"/>
      <c r="T385" s="774"/>
      <c r="U385" s="774"/>
      <c r="V385" s="774"/>
    </row>
    <row r="386" spans="1:22" hidden="1">
      <c r="A386" s="786">
        <v>386</v>
      </c>
      <c r="B386" s="767"/>
      <c r="C386" s="767"/>
      <c r="D386" s="767"/>
      <c r="E386" s="820"/>
      <c r="F386" s="806"/>
      <c r="G386" s="778"/>
      <c r="H386" s="788"/>
      <c r="I386" s="788"/>
      <c r="J386" s="788"/>
      <c r="K386" s="788"/>
      <c r="L386" s="788"/>
      <c r="M386" s="788"/>
      <c r="N386" s="788"/>
      <c r="O386" s="788"/>
      <c r="P386" s="772"/>
      <c r="Q386" s="774"/>
      <c r="R386" s="774"/>
      <c r="S386" s="774"/>
      <c r="T386" s="774"/>
      <c r="U386" s="774"/>
      <c r="V386" s="774"/>
    </row>
    <row r="387" spans="1:22" hidden="1">
      <c r="A387" s="786">
        <v>387</v>
      </c>
      <c r="B387" s="767"/>
      <c r="C387" s="767"/>
      <c r="D387" s="767"/>
      <c r="E387" s="767"/>
      <c r="F387" s="806"/>
      <c r="G387" s="778"/>
      <c r="H387" s="788"/>
      <c r="I387" s="788"/>
      <c r="J387" s="788"/>
      <c r="K387" s="788"/>
      <c r="L387" s="788"/>
      <c r="M387" s="788"/>
      <c r="N387" s="788"/>
      <c r="O387" s="788"/>
      <c r="P387" s="772"/>
      <c r="R387" s="774"/>
    </row>
    <row r="388" spans="1:22" hidden="1">
      <c r="A388" s="786">
        <v>388</v>
      </c>
      <c r="B388" s="767"/>
      <c r="C388" s="767" t="s">
        <v>837</v>
      </c>
      <c r="D388" s="767" t="s">
        <v>838</v>
      </c>
      <c r="E388" s="767"/>
      <c r="F388" s="806" t="s">
        <v>1392</v>
      </c>
      <c r="G388" s="778"/>
      <c r="H388" s="788">
        <v>71077.652186770865</v>
      </c>
      <c r="I388" s="788">
        <v>29728.208520590593</v>
      </c>
      <c r="J388" s="788">
        <v>9498.5765035525437</v>
      </c>
      <c r="K388" s="788">
        <v>16119.25355445453</v>
      </c>
      <c r="L388" s="788">
        <v>6571.091555161528</v>
      </c>
      <c r="M388" s="788">
        <v>6214.4628966733017</v>
      </c>
      <c r="N388" s="788">
        <v>2831.676610648346</v>
      </c>
      <c r="O388" s="788">
        <v>114.38254569002663</v>
      </c>
      <c r="P388" s="772">
        <v>0</v>
      </c>
      <c r="Q388" s="774"/>
      <c r="R388" s="774">
        <v>463</v>
      </c>
      <c r="S388" s="774"/>
      <c r="T388" s="774"/>
      <c r="U388" s="774"/>
      <c r="V388" s="774"/>
    </row>
    <row r="389" spans="1:22" hidden="1">
      <c r="A389" s="786">
        <v>389</v>
      </c>
      <c r="B389" s="767"/>
      <c r="C389" s="767"/>
      <c r="D389" s="767"/>
      <c r="E389" s="767"/>
      <c r="F389" s="806"/>
      <c r="G389" s="778"/>
      <c r="H389" s="788"/>
      <c r="I389" s="788"/>
      <c r="J389" s="788"/>
      <c r="K389" s="788"/>
      <c r="L389" s="788"/>
      <c r="M389" s="788"/>
      <c r="N389" s="788"/>
      <c r="O389" s="788"/>
      <c r="P389" s="772"/>
      <c r="R389" s="774"/>
    </row>
    <row r="390" spans="1:22" hidden="1">
      <c r="A390" s="786">
        <v>390</v>
      </c>
      <c r="B390" s="767"/>
      <c r="C390" s="767" t="s">
        <v>839</v>
      </c>
      <c r="D390" s="767" t="s">
        <v>840</v>
      </c>
      <c r="E390" s="767"/>
      <c r="F390" s="806" t="s">
        <v>1392</v>
      </c>
      <c r="G390" s="778"/>
      <c r="H390" s="788">
        <v>2801644.0164817371</v>
      </c>
      <c r="I390" s="788">
        <v>1171786.8410112702</v>
      </c>
      <c r="J390" s="788">
        <v>374402.20952071657</v>
      </c>
      <c r="K390" s="788">
        <v>635367.21995714516</v>
      </c>
      <c r="L390" s="788">
        <v>259010.5155541203</v>
      </c>
      <c r="M390" s="788">
        <v>244953.4031366478</v>
      </c>
      <c r="N390" s="788">
        <v>111615.24879842327</v>
      </c>
      <c r="O390" s="788">
        <v>4508.5785034139972</v>
      </c>
      <c r="P390" s="772">
        <v>0</v>
      </c>
      <c r="Q390" s="774"/>
      <c r="R390" s="774">
        <v>472</v>
      </c>
      <c r="S390" s="774"/>
      <c r="T390" s="774"/>
      <c r="U390" s="774"/>
      <c r="V390" s="774"/>
    </row>
    <row r="391" spans="1:22" hidden="1">
      <c r="A391" s="786">
        <v>391</v>
      </c>
      <c r="B391" s="767"/>
      <c r="C391" s="767"/>
      <c r="D391" s="767"/>
      <c r="E391" s="767"/>
      <c r="F391" s="806"/>
      <c r="G391" s="778"/>
      <c r="H391" s="788"/>
      <c r="I391" s="788"/>
      <c r="J391" s="788"/>
      <c r="K391" s="788"/>
      <c r="L391" s="788"/>
      <c r="M391" s="788"/>
      <c r="N391" s="788"/>
      <c r="O391" s="788"/>
      <c r="P391" s="772"/>
      <c r="Q391" s="774"/>
      <c r="R391" s="774"/>
      <c r="S391" s="774"/>
      <c r="T391" s="774"/>
      <c r="U391" s="774"/>
      <c r="V391" s="774"/>
    </row>
    <row r="392" spans="1:22" hidden="1">
      <c r="A392" s="786">
        <v>392</v>
      </c>
      <c r="B392" s="767"/>
      <c r="C392" s="767"/>
      <c r="D392" s="767"/>
      <c r="E392" s="767"/>
      <c r="F392" s="806"/>
      <c r="G392" s="778"/>
      <c r="H392" s="788"/>
      <c r="I392" s="788"/>
      <c r="J392" s="788"/>
      <c r="K392" s="788"/>
      <c r="L392" s="788"/>
      <c r="M392" s="788"/>
      <c r="N392" s="788"/>
      <c r="O392" s="788"/>
      <c r="P392" s="772"/>
      <c r="Q392" s="774"/>
      <c r="R392" s="774"/>
      <c r="S392" s="774"/>
      <c r="T392" s="774"/>
      <c r="U392" s="774"/>
      <c r="V392" s="774"/>
    </row>
    <row r="393" spans="1:22" hidden="1">
      <c r="A393" s="786">
        <v>393</v>
      </c>
      <c r="B393" s="767"/>
      <c r="C393" s="767" t="s">
        <v>841</v>
      </c>
      <c r="D393" s="767"/>
      <c r="E393" s="767"/>
      <c r="F393" s="806"/>
      <c r="G393" s="778"/>
      <c r="H393" s="788"/>
      <c r="I393" s="788"/>
      <c r="J393" s="788"/>
      <c r="K393" s="788"/>
      <c r="L393" s="788"/>
      <c r="M393" s="788"/>
      <c r="N393" s="788"/>
      <c r="O393" s="788"/>
      <c r="P393" s="772"/>
      <c r="Q393" s="774"/>
      <c r="R393" s="774"/>
      <c r="S393" s="774"/>
      <c r="T393" s="774"/>
      <c r="U393" s="774"/>
      <c r="V393" s="774"/>
    </row>
    <row r="394" spans="1:22" hidden="1">
      <c r="A394" s="786">
        <v>394</v>
      </c>
      <c r="B394" s="767"/>
      <c r="C394" s="767"/>
      <c r="D394" s="767"/>
      <c r="E394" s="822" t="s">
        <v>842</v>
      </c>
      <c r="F394" s="806" t="s">
        <v>1392</v>
      </c>
      <c r="G394" s="778"/>
      <c r="H394" s="788">
        <v>0</v>
      </c>
      <c r="I394" s="788">
        <v>0</v>
      </c>
      <c r="J394" s="788">
        <v>0</v>
      </c>
      <c r="K394" s="788">
        <v>0</v>
      </c>
      <c r="L394" s="788">
        <v>0</v>
      </c>
      <c r="M394" s="788">
        <v>0</v>
      </c>
      <c r="N394" s="788">
        <v>0</v>
      </c>
      <c r="O394" s="788">
        <v>0</v>
      </c>
      <c r="P394" s="772">
        <v>0</v>
      </c>
      <c r="Q394" s="774"/>
      <c r="R394" s="774">
        <v>475</v>
      </c>
      <c r="S394" s="774"/>
      <c r="T394" s="774"/>
      <c r="U394" s="774"/>
      <c r="V394" s="774"/>
    </row>
    <row r="395" spans="1:22" hidden="1">
      <c r="A395" s="786">
        <v>395</v>
      </c>
      <c r="B395" s="767"/>
      <c r="C395" s="767"/>
      <c r="D395" s="767"/>
      <c r="E395" s="822" t="s">
        <v>842</v>
      </c>
      <c r="F395" s="806" t="s">
        <v>1392</v>
      </c>
      <c r="G395" s="778"/>
      <c r="H395" s="788">
        <v>0</v>
      </c>
      <c r="I395" s="788">
        <v>0</v>
      </c>
      <c r="J395" s="788">
        <v>0</v>
      </c>
      <c r="K395" s="788">
        <v>0</v>
      </c>
      <c r="L395" s="788">
        <v>0</v>
      </c>
      <c r="M395" s="788">
        <v>0</v>
      </c>
      <c r="N395" s="788">
        <v>0</v>
      </c>
      <c r="O395" s="788">
        <v>0</v>
      </c>
      <c r="P395" s="772">
        <v>0</v>
      </c>
      <c r="Q395" s="774"/>
      <c r="R395" s="774">
        <v>476</v>
      </c>
      <c r="S395" s="774"/>
      <c r="T395" s="774"/>
      <c r="U395" s="774"/>
      <c r="V395" s="774"/>
    </row>
    <row r="396" spans="1:22" hidden="1">
      <c r="A396" s="786"/>
      <c r="B396" s="767"/>
      <c r="C396" s="767"/>
      <c r="D396" s="767"/>
      <c r="E396" s="822" t="s">
        <v>843</v>
      </c>
      <c r="F396" s="806" t="s">
        <v>1392</v>
      </c>
      <c r="G396" s="778"/>
      <c r="H396" s="788">
        <v>0</v>
      </c>
      <c r="I396" s="788">
        <v>0</v>
      </c>
      <c r="J396" s="788">
        <v>0</v>
      </c>
      <c r="K396" s="788">
        <v>0</v>
      </c>
      <c r="L396" s="788">
        <v>0</v>
      </c>
      <c r="M396" s="788">
        <v>0</v>
      </c>
      <c r="N396" s="788">
        <v>0</v>
      </c>
      <c r="O396" s="788">
        <v>0</v>
      </c>
      <c r="P396" s="772">
        <v>0</v>
      </c>
      <c r="Q396" s="774"/>
      <c r="R396" s="774">
        <v>477</v>
      </c>
      <c r="S396" s="774"/>
      <c r="T396" s="774"/>
      <c r="U396" s="774"/>
      <c r="V396" s="774"/>
    </row>
    <row r="397" spans="1:22" hidden="1">
      <c r="A397" s="786">
        <v>397</v>
      </c>
      <c r="B397" s="767"/>
      <c r="C397" s="767"/>
      <c r="D397" s="767"/>
      <c r="E397" s="822" t="s">
        <v>843</v>
      </c>
      <c r="F397" s="806" t="s">
        <v>1392</v>
      </c>
      <c r="G397" s="778"/>
      <c r="H397" s="788">
        <v>0</v>
      </c>
      <c r="I397" s="788">
        <v>0</v>
      </c>
      <c r="J397" s="788">
        <v>0</v>
      </c>
      <c r="K397" s="788">
        <v>0</v>
      </c>
      <c r="L397" s="788">
        <v>0</v>
      </c>
      <c r="M397" s="788">
        <v>0</v>
      </c>
      <c r="N397" s="788">
        <v>0</v>
      </c>
      <c r="O397" s="788">
        <v>0</v>
      </c>
      <c r="P397" s="772">
        <v>0</v>
      </c>
      <c r="Q397" s="774"/>
      <c r="R397" s="774">
        <v>478</v>
      </c>
      <c r="S397" s="774"/>
      <c r="T397" s="774"/>
      <c r="U397" s="774"/>
      <c r="V397" s="774"/>
    </row>
    <row r="398" spans="1:22" hidden="1">
      <c r="A398" s="786">
        <v>398</v>
      </c>
      <c r="B398" s="767"/>
      <c r="C398" s="767"/>
      <c r="D398" s="767"/>
      <c r="E398" s="822" t="s">
        <v>844</v>
      </c>
      <c r="F398" s="806" t="s">
        <v>1392</v>
      </c>
      <c r="G398" s="778"/>
      <c r="H398" s="788">
        <v>0</v>
      </c>
      <c r="I398" s="788">
        <v>0</v>
      </c>
      <c r="J398" s="788">
        <v>0</v>
      </c>
      <c r="K398" s="788">
        <v>0</v>
      </c>
      <c r="L398" s="788">
        <v>0</v>
      </c>
      <c r="M398" s="788">
        <v>0</v>
      </c>
      <c r="N398" s="788">
        <v>0</v>
      </c>
      <c r="O398" s="788">
        <v>0</v>
      </c>
      <c r="P398" s="772">
        <v>0</v>
      </c>
      <c r="Q398" s="774"/>
      <c r="R398" s="774">
        <v>479</v>
      </c>
      <c r="S398" s="774"/>
      <c r="T398" s="774"/>
      <c r="U398" s="774"/>
      <c r="V398" s="774"/>
    </row>
    <row r="399" spans="1:22" hidden="1">
      <c r="A399" s="786">
        <v>399</v>
      </c>
      <c r="B399" s="767"/>
      <c r="C399" s="767"/>
      <c r="D399" s="767"/>
      <c r="E399" s="822" t="s">
        <v>844</v>
      </c>
      <c r="F399" s="806" t="s">
        <v>1392</v>
      </c>
      <c r="G399" s="778"/>
      <c r="H399" s="788">
        <v>0</v>
      </c>
      <c r="I399" s="788">
        <v>0</v>
      </c>
      <c r="J399" s="788">
        <v>0</v>
      </c>
      <c r="K399" s="788">
        <v>0</v>
      </c>
      <c r="L399" s="788">
        <v>0</v>
      </c>
      <c r="M399" s="788">
        <v>0</v>
      </c>
      <c r="N399" s="788">
        <v>0</v>
      </c>
      <c r="O399" s="788">
        <v>0</v>
      </c>
      <c r="P399" s="772">
        <v>0</v>
      </c>
      <c r="Q399" s="774"/>
      <c r="R399" s="774">
        <v>479</v>
      </c>
      <c r="S399" s="774"/>
      <c r="T399" s="774"/>
      <c r="U399" s="774"/>
      <c r="V399" s="774"/>
    </row>
    <row r="400" spans="1:22" hidden="1">
      <c r="A400" s="786">
        <v>400</v>
      </c>
      <c r="B400" s="767"/>
      <c r="C400" s="767"/>
      <c r="D400" s="767"/>
      <c r="E400" s="822"/>
      <c r="F400" s="806"/>
      <c r="G400" s="778"/>
      <c r="H400" s="788">
        <v>0</v>
      </c>
      <c r="I400" s="788">
        <v>0</v>
      </c>
      <c r="J400" s="788">
        <v>0</v>
      </c>
      <c r="K400" s="788">
        <v>0</v>
      </c>
      <c r="L400" s="788">
        <v>0</v>
      </c>
      <c r="M400" s="788">
        <v>0</v>
      </c>
      <c r="N400" s="788">
        <v>0</v>
      </c>
      <c r="O400" s="788">
        <v>0</v>
      </c>
      <c r="P400" s="772">
        <v>0</v>
      </c>
      <c r="Q400" s="774"/>
      <c r="R400" s="774"/>
      <c r="S400" s="774"/>
      <c r="T400" s="774"/>
      <c r="U400" s="774"/>
      <c r="V400" s="774"/>
    </row>
    <row r="401" spans="1:22" hidden="1">
      <c r="A401" s="786">
        <v>401</v>
      </c>
      <c r="B401" s="767"/>
      <c r="C401" s="767"/>
      <c r="D401" s="767"/>
      <c r="E401" s="767"/>
      <c r="F401" s="806"/>
      <c r="G401" s="778"/>
      <c r="H401" s="788"/>
      <c r="I401" s="788"/>
      <c r="J401" s="788"/>
      <c r="K401" s="788"/>
      <c r="L401" s="788"/>
      <c r="M401" s="788"/>
      <c r="N401" s="788"/>
      <c r="O401" s="788"/>
      <c r="P401" s="772"/>
      <c r="R401" s="774"/>
    </row>
    <row r="402" spans="1:22" hidden="1">
      <c r="A402" s="786">
        <v>402</v>
      </c>
      <c r="B402" s="767"/>
      <c r="C402" s="767" t="s">
        <v>845</v>
      </c>
      <c r="D402" s="767"/>
      <c r="E402" s="767"/>
      <c r="F402" s="806"/>
      <c r="G402" s="778"/>
      <c r="H402" s="788">
        <v>28116474.995161958</v>
      </c>
      <c r="I402" s="788">
        <v>11705243.442225281</v>
      </c>
      <c r="J402" s="788">
        <v>3763545.1141412877</v>
      </c>
      <c r="K402" s="788">
        <v>6389913.1433620499</v>
      </c>
      <c r="L402" s="788">
        <v>2609647.8007637528</v>
      </c>
      <c r="M402" s="788">
        <v>2479008.1814045645</v>
      </c>
      <c r="N402" s="788">
        <v>1121770.1439066075</v>
      </c>
      <c r="O402" s="788">
        <v>47347.169358413681</v>
      </c>
      <c r="P402" s="772">
        <v>0</v>
      </c>
      <c r="Q402" s="774"/>
      <c r="R402" s="774"/>
      <c r="S402" s="774"/>
      <c r="T402" s="774"/>
      <c r="U402" s="774"/>
      <c r="V402" s="774"/>
    </row>
    <row r="403" spans="1:22" hidden="1">
      <c r="A403" s="786">
        <v>403</v>
      </c>
      <c r="B403" s="767"/>
      <c r="C403" s="767"/>
      <c r="D403" s="767"/>
      <c r="E403" s="767"/>
      <c r="F403" s="806"/>
      <c r="G403" s="778"/>
      <c r="H403" s="788"/>
      <c r="I403" s="788"/>
      <c r="J403" s="788"/>
      <c r="K403" s="788"/>
      <c r="L403" s="788"/>
      <c r="M403" s="788"/>
      <c r="N403" s="788"/>
      <c r="O403" s="788"/>
      <c r="P403" s="772"/>
      <c r="R403" s="774"/>
    </row>
    <row r="404" spans="1:22" hidden="1">
      <c r="A404" s="786">
        <v>404</v>
      </c>
      <c r="B404" s="767"/>
      <c r="C404" s="767" t="s">
        <v>846</v>
      </c>
      <c r="D404" s="767"/>
      <c r="E404" s="767"/>
      <c r="F404" s="806"/>
      <c r="G404" s="778"/>
      <c r="H404" s="788">
        <v>122196933.25547305</v>
      </c>
      <c r="I404" s="788">
        <v>50908366.555727839</v>
      </c>
      <c r="J404" s="788">
        <v>16352637.53016652</v>
      </c>
      <c r="K404" s="788">
        <v>27762164.311778981</v>
      </c>
      <c r="L404" s="788">
        <v>11334933.032119408</v>
      </c>
      <c r="M404" s="788">
        <v>10760218.124355998</v>
      </c>
      <c r="N404" s="788">
        <v>4874235.9133336283</v>
      </c>
      <c r="O404" s="788">
        <v>204377.78799067851</v>
      </c>
      <c r="P404" s="772">
        <v>0</v>
      </c>
      <c r="Q404" s="774"/>
      <c r="R404" s="774"/>
      <c r="S404" s="774"/>
      <c r="T404" s="774"/>
      <c r="U404" s="774"/>
      <c r="V404" s="774"/>
    </row>
    <row r="405" spans="1:22" hidden="1">
      <c r="A405" s="786">
        <v>405</v>
      </c>
      <c r="B405" s="767"/>
      <c r="C405" s="767"/>
      <c r="D405" s="767"/>
      <c r="E405" s="767"/>
      <c r="F405" s="806"/>
      <c r="H405" s="817"/>
      <c r="I405" s="817"/>
      <c r="J405" s="817"/>
      <c r="K405" s="817"/>
      <c r="L405" s="817"/>
      <c r="M405" s="817"/>
      <c r="N405" s="817"/>
      <c r="O405" s="817"/>
      <c r="P405" s="772"/>
      <c r="R405" s="774"/>
    </row>
    <row r="406" spans="1:22" hidden="1">
      <c r="A406" s="786">
        <v>406</v>
      </c>
      <c r="B406" s="767"/>
      <c r="C406" s="781" t="s">
        <v>714</v>
      </c>
      <c r="D406" s="767"/>
      <c r="E406" s="767"/>
      <c r="F406" s="806"/>
      <c r="G406" s="778"/>
      <c r="H406" s="817" t="s">
        <v>847</v>
      </c>
      <c r="I406" s="817"/>
      <c r="J406" s="817"/>
      <c r="K406" s="817"/>
      <c r="L406" s="817"/>
      <c r="M406" s="817"/>
      <c r="N406" s="817"/>
      <c r="O406" s="817"/>
      <c r="P406" s="772"/>
      <c r="R406" s="774"/>
    </row>
    <row r="407" spans="1:22" hidden="1">
      <c r="A407" s="786">
        <v>407</v>
      </c>
      <c r="B407" s="767"/>
      <c r="C407" s="767"/>
      <c r="D407" s="767"/>
      <c r="E407" s="767"/>
      <c r="F407" s="806"/>
      <c r="G407" s="778"/>
      <c r="H407" s="810"/>
      <c r="I407" s="810"/>
      <c r="J407" s="810"/>
      <c r="K407" s="810"/>
      <c r="L407" s="810"/>
      <c r="M407" s="810"/>
      <c r="N407" s="810"/>
      <c r="O407" s="810"/>
      <c r="P407" s="772"/>
      <c r="R407" s="774"/>
    </row>
    <row r="408" spans="1:22" hidden="1">
      <c r="A408" s="786">
        <v>408</v>
      </c>
      <c r="B408" s="767"/>
      <c r="C408" s="767"/>
      <c r="D408" s="767"/>
      <c r="E408" s="767"/>
      <c r="F408" s="806"/>
      <c r="G408" s="778"/>
      <c r="H408" s="810"/>
      <c r="I408" s="810"/>
      <c r="J408" s="810"/>
      <c r="K408" s="810"/>
      <c r="L408" s="810"/>
      <c r="M408" s="810"/>
      <c r="N408" s="810"/>
      <c r="O408" s="810"/>
      <c r="P408" s="772"/>
      <c r="R408" s="774"/>
    </row>
    <row r="409" spans="1:22" hidden="1">
      <c r="A409" s="786">
        <v>409</v>
      </c>
      <c r="B409" s="767"/>
      <c r="C409" s="777" t="s">
        <v>575</v>
      </c>
      <c r="D409" s="767"/>
      <c r="E409" s="777" t="s">
        <v>576</v>
      </c>
      <c r="F409" s="806" t="s">
        <v>577</v>
      </c>
      <c r="G409" s="778"/>
      <c r="H409" s="777" t="s">
        <v>578</v>
      </c>
      <c r="I409" s="777" t="s">
        <v>579</v>
      </c>
      <c r="J409" s="777" t="s">
        <v>580</v>
      </c>
      <c r="K409" s="777" t="s">
        <v>581</v>
      </c>
      <c r="L409" s="777" t="s">
        <v>582</v>
      </c>
      <c r="M409" s="777" t="s">
        <v>583</v>
      </c>
      <c r="N409" s="777" t="s">
        <v>584</v>
      </c>
      <c r="O409" s="777" t="s">
        <v>585</v>
      </c>
      <c r="P409" s="772"/>
      <c r="R409" s="774"/>
    </row>
    <row r="410" spans="1:22" ht="38.25" hidden="1">
      <c r="A410" s="786">
        <v>410</v>
      </c>
      <c r="B410" s="767"/>
      <c r="C410" s="797" t="s">
        <v>656</v>
      </c>
      <c r="D410" s="781"/>
      <c r="E410" s="782" t="s">
        <v>587</v>
      </c>
      <c r="F410" s="806" t="s">
        <v>1391</v>
      </c>
      <c r="G410" s="783"/>
      <c r="H410" s="784" t="s">
        <v>588</v>
      </c>
      <c r="I410" s="784" t="s">
        <v>589</v>
      </c>
      <c r="J410" s="784" t="s">
        <v>590</v>
      </c>
      <c r="K410" s="784" t="s">
        <v>591</v>
      </c>
      <c r="L410" s="784" t="s">
        <v>592</v>
      </c>
      <c r="M410" s="784" t="s">
        <v>593</v>
      </c>
      <c r="N410" s="784" t="s">
        <v>594</v>
      </c>
      <c r="O410" s="784" t="s">
        <v>595</v>
      </c>
      <c r="P410" s="772"/>
      <c r="R410" s="774"/>
    </row>
    <row r="411" spans="1:22" hidden="1">
      <c r="A411" s="786">
        <v>411</v>
      </c>
      <c r="B411" s="767"/>
      <c r="C411" s="767" t="s">
        <v>848</v>
      </c>
      <c r="D411" s="767" t="s">
        <v>849</v>
      </c>
      <c r="E411" s="767"/>
      <c r="F411" s="806" t="s">
        <v>1396</v>
      </c>
      <c r="G411" s="778"/>
      <c r="H411" s="788">
        <v>843427.54073049489</v>
      </c>
      <c r="I411" s="788">
        <v>376372.10152540909</v>
      </c>
      <c r="J411" s="788">
        <v>111950.23687214934</v>
      </c>
      <c r="K411" s="788">
        <v>179238.52992656917</v>
      </c>
      <c r="L411" s="788">
        <v>72577.025979977407</v>
      </c>
      <c r="M411" s="788">
        <v>71210.265049798851</v>
      </c>
      <c r="N411" s="788">
        <v>31098.319154162007</v>
      </c>
      <c r="O411" s="788">
        <v>981.06222242914237</v>
      </c>
      <c r="P411" s="772">
        <v>0</v>
      </c>
      <c r="Q411" s="774"/>
      <c r="R411" s="774">
        <v>491</v>
      </c>
      <c r="S411" s="774"/>
      <c r="T411" s="774"/>
      <c r="U411" s="774"/>
      <c r="V411" s="774"/>
    </row>
    <row r="412" spans="1:22" hidden="1">
      <c r="A412" s="786">
        <v>412</v>
      </c>
      <c r="B412" s="767"/>
      <c r="C412" s="767"/>
      <c r="D412" s="767"/>
      <c r="E412" s="767"/>
      <c r="F412" s="806"/>
      <c r="G412" s="778"/>
      <c r="H412" s="788"/>
      <c r="I412" s="788"/>
      <c r="J412" s="788"/>
      <c r="K412" s="788"/>
      <c r="L412" s="788"/>
      <c r="M412" s="788"/>
      <c r="N412" s="788"/>
      <c r="O412" s="788"/>
      <c r="P412" s="772"/>
      <c r="R412" s="774"/>
    </row>
    <row r="413" spans="1:22" hidden="1">
      <c r="A413" s="786">
        <v>413</v>
      </c>
      <c r="B413" s="767"/>
      <c r="C413" s="767" t="s">
        <v>850</v>
      </c>
      <c r="D413" s="767" t="s">
        <v>851</v>
      </c>
      <c r="E413" s="767"/>
      <c r="F413" s="806" t="s">
        <v>1396</v>
      </c>
      <c r="G413" s="778"/>
      <c r="H413" s="788">
        <v>1474313.7616648111</v>
      </c>
      <c r="I413" s="788">
        <v>657899.51357887103</v>
      </c>
      <c r="J413" s="788">
        <v>195689.33532724704</v>
      </c>
      <c r="K413" s="788">
        <v>313309.46469028038</v>
      </c>
      <c r="L413" s="788">
        <v>126864.84969451091</v>
      </c>
      <c r="M413" s="788">
        <v>124475.74766622898</v>
      </c>
      <c r="N413" s="788">
        <v>54359.95112741489</v>
      </c>
      <c r="O413" s="788">
        <v>1714.8995802579827</v>
      </c>
      <c r="P413" s="772">
        <v>0</v>
      </c>
      <c r="Q413" s="774"/>
      <c r="R413" s="774">
        <v>496</v>
      </c>
      <c r="S413" s="774"/>
      <c r="T413" s="774"/>
      <c r="U413" s="774"/>
      <c r="V413" s="774"/>
    </row>
    <row r="414" spans="1:22" hidden="1">
      <c r="A414" s="786">
        <v>414</v>
      </c>
      <c r="B414" s="767"/>
      <c r="C414" s="767"/>
      <c r="D414" s="767"/>
      <c r="E414" s="767"/>
      <c r="F414" s="806"/>
      <c r="G414" s="778"/>
      <c r="H414" s="788"/>
      <c r="I414" s="788"/>
      <c r="J414" s="788"/>
      <c r="K414" s="788"/>
      <c r="L414" s="788"/>
      <c r="M414" s="788"/>
      <c r="N414" s="788"/>
      <c r="O414" s="788"/>
      <c r="P414" s="772"/>
      <c r="R414" s="774"/>
    </row>
    <row r="415" spans="1:22" hidden="1">
      <c r="A415" s="786">
        <v>415</v>
      </c>
      <c r="B415" s="767"/>
      <c r="C415" s="767" t="s">
        <v>852</v>
      </c>
      <c r="D415" s="767" t="s">
        <v>853</v>
      </c>
      <c r="E415" s="767"/>
      <c r="F415" s="806" t="s">
        <v>1396</v>
      </c>
      <c r="G415" s="778"/>
      <c r="H415" s="788">
        <v>151287.89318070794</v>
      </c>
      <c r="I415" s="788">
        <v>67510.888063316379</v>
      </c>
      <c r="J415" s="788">
        <v>20080.818635350399</v>
      </c>
      <c r="K415" s="788">
        <v>32150.502870598866</v>
      </c>
      <c r="L415" s="788">
        <v>13018.338652212444</v>
      </c>
      <c r="M415" s="788">
        <v>12773.179024831374</v>
      </c>
      <c r="N415" s="788">
        <v>5578.190133819422</v>
      </c>
      <c r="O415" s="788">
        <v>175.97580057907356</v>
      </c>
      <c r="P415" s="772">
        <v>0</v>
      </c>
      <c r="Q415" s="774"/>
      <c r="R415" s="774">
        <v>502</v>
      </c>
      <c r="S415" s="774"/>
      <c r="T415" s="774"/>
      <c r="U415" s="774"/>
      <c r="V415" s="774"/>
    </row>
    <row r="416" spans="1:22" hidden="1">
      <c r="A416" s="786">
        <v>416</v>
      </c>
      <c r="B416" s="767"/>
      <c r="C416" s="767"/>
      <c r="D416" s="767"/>
      <c r="E416" s="767"/>
      <c r="F416" s="806"/>
      <c r="G416" s="778"/>
      <c r="H416" s="788"/>
      <c r="I416" s="788"/>
      <c r="J416" s="788"/>
      <c r="K416" s="788"/>
      <c r="L416" s="788"/>
      <c r="M416" s="788"/>
      <c r="N416" s="788"/>
      <c r="O416" s="788"/>
      <c r="P416" s="772"/>
      <c r="R416" s="774"/>
    </row>
    <row r="417" spans="1:22" hidden="1">
      <c r="A417" s="786">
        <v>417</v>
      </c>
      <c r="B417" s="767"/>
      <c r="C417" s="767" t="s">
        <v>854</v>
      </c>
      <c r="D417" s="767" t="s">
        <v>855</v>
      </c>
      <c r="E417" s="767"/>
      <c r="F417" s="806" t="s">
        <v>1396</v>
      </c>
      <c r="G417" s="778"/>
      <c r="H417" s="788">
        <v>29173.221221531807</v>
      </c>
      <c r="I417" s="788">
        <v>13018.29267977637</v>
      </c>
      <c r="J417" s="788">
        <v>3872.2342683349566</v>
      </c>
      <c r="K417" s="788">
        <v>6199.6615387270022</v>
      </c>
      <c r="L417" s="788">
        <v>2510.3586642202104</v>
      </c>
      <c r="M417" s="788">
        <v>2463.0839227071315</v>
      </c>
      <c r="N417" s="788">
        <v>1075.656295876237</v>
      </c>
      <c r="O417" s="788">
        <v>33.933851889902137</v>
      </c>
      <c r="P417" s="772">
        <v>0</v>
      </c>
      <c r="Q417" s="774"/>
      <c r="R417" s="774">
        <v>507</v>
      </c>
      <c r="S417" s="774"/>
      <c r="T417" s="774"/>
      <c r="U417" s="774"/>
      <c r="V417" s="774"/>
    </row>
    <row r="418" spans="1:22" hidden="1">
      <c r="A418" s="786">
        <v>418</v>
      </c>
      <c r="B418" s="767"/>
      <c r="C418" s="767"/>
      <c r="D418" s="767"/>
      <c r="E418" s="767"/>
      <c r="F418" s="806"/>
      <c r="G418" s="778"/>
      <c r="H418" s="788"/>
      <c r="I418" s="788"/>
      <c r="J418" s="788"/>
      <c r="K418" s="788"/>
      <c r="L418" s="788"/>
      <c r="M418" s="788"/>
      <c r="N418" s="788"/>
      <c r="O418" s="788"/>
      <c r="P418" s="772"/>
      <c r="R418" s="774"/>
    </row>
    <row r="419" spans="1:22" hidden="1">
      <c r="A419" s="786">
        <v>419</v>
      </c>
      <c r="B419" s="767"/>
      <c r="C419" s="767" t="s">
        <v>856</v>
      </c>
      <c r="D419" s="767" t="s">
        <v>857</v>
      </c>
      <c r="E419" s="767"/>
      <c r="F419" s="806" t="s">
        <v>1396</v>
      </c>
      <c r="G419" s="778"/>
      <c r="H419" s="788">
        <v>0</v>
      </c>
      <c r="I419" s="788">
        <v>0</v>
      </c>
      <c r="J419" s="788">
        <v>0</v>
      </c>
      <c r="K419" s="788">
        <v>0</v>
      </c>
      <c r="L419" s="788">
        <v>0</v>
      </c>
      <c r="M419" s="788">
        <v>0</v>
      </c>
      <c r="N419" s="788">
        <v>0</v>
      </c>
      <c r="O419" s="788">
        <v>0</v>
      </c>
      <c r="P419" s="772">
        <v>0</v>
      </c>
      <c r="Q419" s="774"/>
      <c r="R419" s="774">
        <v>511</v>
      </c>
      <c r="S419" s="774"/>
      <c r="T419" s="774"/>
      <c r="U419" s="774"/>
      <c r="V419" s="774"/>
    </row>
    <row r="420" spans="1:22" hidden="1">
      <c r="A420" s="786">
        <v>420</v>
      </c>
      <c r="B420" s="767"/>
      <c r="C420" s="767"/>
      <c r="D420" s="767"/>
      <c r="E420" s="767"/>
      <c r="F420" s="806"/>
      <c r="G420" s="778"/>
      <c r="H420" s="788"/>
      <c r="I420" s="788"/>
      <c r="J420" s="788"/>
      <c r="K420" s="788"/>
      <c r="L420" s="788"/>
      <c r="M420" s="788"/>
      <c r="N420" s="788"/>
      <c r="O420" s="788"/>
      <c r="P420" s="772"/>
      <c r="R420" s="774"/>
    </row>
    <row r="421" spans="1:22" hidden="1">
      <c r="A421" s="786">
        <v>421</v>
      </c>
      <c r="B421" s="767"/>
      <c r="C421" s="767" t="s">
        <v>858</v>
      </c>
      <c r="D421" s="767" t="s">
        <v>859</v>
      </c>
      <c r="E421" s="767"/>
      <c r="F421" s="806" t="s">
        <v>1396</v>
      </c>
      <c r="G421" s="778"/>
      <c r="H421" s="788">
        <v>0</v>
      </c>
      <c r="I421" s="788">
        <v>0</v>
      </c>
      <c r="J421" s="788">
        <v>0</v>
      </c>
      <c r="K421" s="788">
        <v>0</v>
      </c>
      <c r="L421" s="788">
        <v>0</v>
      </c>
      <c r="M421" s="788">
        <v>0</v>
      </c>
      <c r="N421" s="788">
        <v>0</v>
      </c>
      <c r="O421" s="788">
        <v>0</v>
      </c>
      <c r="P421" s="772">
        <v>0</v>
      </c>
      <c r="Q421" s="774"/>
      <c r="R421" s="774">
        <v>515</v>
      </c>
      <c r="S421" s="774"/>
      <c r="T421" s="774"/>
      <c r="U421" s="774"/>
      <c r="V421" s="774"/>
    </row>
    <row r="422" spans="1:22" hidden="1">
      <c r="A422" s="786">
        <v>422</v>
      </c>
      <c r="B422" s="767"/>
      <c r="C422" s="767"/>
      <c r="D422" s="767"/>
      <c r="E422" s="767"/>
      <c r="F422" s="806"/>
      <c r="G422" s="778"/>
      <c r="H422" s="788"/>
      <c r="I422" s="788"/>
      <c r="J422" s="788"/>
      <c r="K422" s="788"/>
      <c r="L422" s="788"/>
      <c r="M422" s="788"/>
      <c r="N422" s="788"/>
      <c r="O422" s="788"/>
      <c r="P422" s="772"/>
      <c r="Q422" s="774"/>
      <c r="R422" s="774"/>
      <c r="S422" s="774"/>
      <c r="T422" s="774"/>
      <c r="U422" s="774"/>
      <c r="V422" s="774"/>
    </row>
    <row r="423" spans="1:22" hidden="1">
      <c r="A423" s="786">
        <v>423</v>
      </c>
      <c r="B423" s="767"/>
      <c r="C423" s="767" t="s">
        <v>860</v>
      </c>
      <c r="D423" s="767" t="s">
        <v>861</v>
      </c>
      <c r="E423" s="767"/>
      <c r="F423" s="806"/>
      <c r="G423" s="778"/>
      <c r="H423" s="788"/>
      <c r="I423" s="788"/>
      <c r="J423" s="788"/>
      <c r="K423" s="788"/>
      <c r="L423" s="788"/>
      <c r="M423" s="788"/>
      <c r="N423" s="788"/>
      <c r="O423" s="788"/>
      <c r="P423" s="772"/>
      <c r="Q423" s="774"/>
      <c r="R423" s="774"/>
      <c r="S423" s="774"/>
      <c r="T423" s="774"/>
      <c r="U423" s="774"/>
      <c r="V423" s="774"/>
    </row>
    <row r="424" spans="1:22" hidden="1">
      <c r="A424" s="786">
        <v>424</v>
      </c>
      <c r="B424" s="767"/>
      <c r="C424" s="767"/>
      <c r="D424" s="767" t="s">
        <v>719</v>
      </c>
      <c r="E424" s="767"/>
      <c r="F424" s="806" t="s">
        <v>1396</v>
      </c>
      <c r="G424" s="778"/>
      <c r="H424" s="788">
        <v>26272270.42487859</v>
      </c>
      <c r="I424" s="788">
        <v>11723768.971417811</v>
      </c>
      <c r="J424" s="788">
        <v>3487183.8482852383</v>
      </c>
      <c r="K424" s="788">
        <v>5583174.4890735233</v>
      </c>
      <c r="L424" s="788">
        <v>2260731.5520287049</v>
      </c>
      <c r="M424" s="788">
        <v>2218157.7551940535</v>
      </c>
      <c r="N424" s="788">
        <v>968694.29929890553</v>
      </c>
      <c r="O424" s="788">
        <v>30559.509580357371</v>
      </c>
      <c r="P424" s="772">
        <v>0</v>
      </c>
      <c r="Q424" s="774"/>
      <c r="R424" s="774">
        <v>518</v>
      </c>
      <c r="S424" s="774"/>
      <c r="T424" s="774"/>
      <c r="U424" s="774"/>
      <c r="V424" s="774"/>
    </row>
    <row r="425" spans="1:22" hidden="1">
      <c r="A425" s="786">
        <v>425</v>
      </c>
      <c r="B425" s="767"/>
      <c r="C425" s="767"/>
      <c r="D425" s="767" t="s">
        <v>738</v>
      </c>
      <c r="F425" s="806" t="s">
        <v>1396</v>
      </c>
      <c r="G425" s="778"/>
      <c r="H425" s="788">
        <v>-15666520.784212762</v>
      </c>
      <c r="I425" s="788">
        <v>-6991046.7306281384</v>
      </c>
      <c r="J425" s="788">
        <v>-2079456.2995133374</v>
      </c>
      <c r="K425" s="788">
        <v>-3329324.7123449189</v>
      </c>
      <c r="L425" s="788">
        <v>-1348105.7127763238</v>
      </c>
      <c r="M425" s="788">
        <v>-1322718.3647403002</v>
      </c>
      <c r="N425" s="788">
        <v>-577645.90300287504</v>
      </c>
      <c r="O425" s="788">
        <v>-18223.061206870563</v>
      </c>
      <c r="P425" s="772">
        <v>0</v>
      </c>
      <c r="Q425" s="774"/>
      <c r="R425" s="774">
        <v>519</v>
      </c>
      <c r="S425" s="774"/>
      <c r="T425" s="774"/>
      <c r="U425" s="774"/>
      <c r="V425" s="774"/>
    </row>
    <row r="426" spans="1:22" hidden="1">
      <c r="A426" s="786">
        <v>426</v>
      </c>
      <c r="B426" s="767"/>
      <c r="C426" s="767"/>
      <c r="D426" s="767" t="s">
        <v>738</v>
      </c>
      <c r="F426" s="806" t="s">
        <v>1396</v>
      </c>
      <c r="G426" s="778"/>
      <c r="H426" s="788">
        <v>0</v>
      </c>
      <c r="I426" s="788">
        <v>0</v>
      </c>
      <c r="J426" s="788">
        <v>0</v>
      </c>
      <c r="K426" s="788">
        <v>0</v>
      </c>
      <c r="L426" s="788">
        <v>0</v>
      </c>
      <c r="M426" s="788">
        <v>0</v>
      </c>
      <c r="N426" s="788">
        <v>0</v>
      </c>
      <c r="O426" s="788">
        <v>0</v>
      </c>
      <c r="P426" s="772">
        <v>0</v>
      </c>
      <c r="Q426" s="774"/>
      <c r="R426" s="774">
        <v>520</v>
      </c>
      <c r="S426" s="774"/>
      <c r="T426" s="774"/>
      <c r="U426" s="774"/>
      <c r="V426" s="774"/>
    </row>
    <row r="427" spans="1:22" hidden="1">
      <c r="A427" s="786">
        <v>427</v>
      </c>
      <c r="B427" s="767"/>
      <c r="C427" s="767"/>
      <c r="D427" s="767"/>
      <c r="F427" s="806"/>
      <c r="G427" s="778"/>
      <c r="H427" s="788">
        <v>10605749.640665829</v>
      </c>
      <c r="I427" s="788">
        <v>4732722.2407896724</v>
      </c>
      <c r="J427" s="788">
        <v>1407727.5487719008</v>
      </c>
      <c r="K427" s="788">
        <v>2253849.7767286045</v>
      </c>
      <c r="L427" s="788">
        <v>912625.83925238112</v>
      </c>
      <c r="M427" s="788">
        <v>895439.39045375329</v>
      </c>
      <c r="N427" s="788">
        <v>391048.39629603049</v>
      </c>
      <c r="O427" s="788">
        <v>12336.448373486808</v>
      </c>
      <c r="P427" s="772">
        <v>0</v>
      </c>
      <c r="Q427" s="774"/>
      <c r="R427" s="774"/>
      <c r="S427" s="774"/>
      <c r="T427" s="774"/>
      <c r="U427" s="774"/>
      <c r="V427" s="774"/>
    </row>
    <row r="428" spans="1:22" hidden="1">
      <c r="A428" s="786">
        <v>428</v>
      </c>
      <c r="B428" s="767"/>
      <c r="C428" s="767"/>
      <c r="D428" s="767"/>
      <c r="E428" s="767"/>
      <c r="F428" s="806"/>
      <c r="G428" s="778"/>
      <c r="H428" s="788"/>
      <c r="I428" s="788"/>
      <c r="J428" s="788"/>
      <c r="K428" s="788"/>
      <c r="L428" s="788"/>
      <c r="M428" s="788"/>
      <c r="N428" s="788"/>
      <c r="O428" s="788"/>
      <c r="P428" s="772"/>
      <c r="R428" s="774"/>
    </row>
    <row r="429" spans="1:22" hidden="1">
      <c r="A429" s="786">
        <v>429</v>
      </c>
      <c r="B429" s="767"/>
      <c r="C429" s="767" t="s">
        <v>862</v>
      </c>
      <c r="D429" s="767" t="s">
        <v>863</v>
      </c>
      <c r="E429" s="767"/>
      <c r="F429" s="806" t="s">
        <v>1396</v>
      </c>
      <c r="G429" s="778"/>
      <c r="H429" s="788">
        <v>202059.89274835319</v>
      </c>
      <c r="I429" s="788">
        <v>90167.445091761649</v>
      </c>
      <c r="J429" s="788">
        <v>26819.912515481083</v>
      </c>
      <c r="K429" s="788">
        <v>42940.165437291136</v>
      </c>
      <c r="L429" s="788">
        <v>17387.274397996731</v>
      </c>
      <c r="M429" s="788">
        <v>17059.839551933568</v>
      </c>
      <c r="N429" s="788">
        <v>7450.2227274932038</v>
      </c>
      <c r="O429" s="788">
        <v>235.03302639584555</v>
      </c>
      <c r="P429" s="772">
        <v>0</v>
      </c>
      <c r="Q429" s="774"/>
      <c r="R429" s="774">
        <v>526</v>
      </c>
      <c r="S429" s="774"/>
      <c r="T429" s="774"/>
      <c r="U429" s="774"/>
      <c r="V429" s="774"/>
    </row>
    <row r="430" spans="1:22" hidden="1">
      <c r="A430" s="786">
        <v>430</v>
      </c>
      <c r="B430" s="767"/>
      <c r="C430" s="767"/>
      <c r="D430" s="767"/>
      <c r="E430" s="767"/>
      <c r="F430" s="806"/>
      <c r="G430" s="778"/>
      <c r="H430" s="788"/>
      <c r="I430" s="788"/>
      <c r="J430" s="788"/>
      <c r="K430" s="788"/>
      <c r="L430" s="788"/>
      <c r="M430" s="788"/>
      <c r="N430" s="788"/>
      <c r="O430" s="788"/>
      <c r="P430" s="772"/>
      <c r="R430" s="774"/>
    </row>
    <row r="431" spans="1:22" hidden="1">
      <c r="A431" s="786">
        <v>431</v>
      </c>
      <c r="B431" s="767"/>
      <c r="C431" s="767" t="s">
        <v>864</v>
      </c>
      <c r="D431" s="767" t="s">
        <v>865</v>
      </c>
      <c r="E431" s="767"/>
      <c r="F431" s="806" t="s">
        <v>1396</v>
      </c>
      <c r="G431" s="778"/>
      <c r="H431" s="788">
        <v>202757.90285246854</v>
      </c>
      <c r="I431" s="788">
        <v>90478.925944692222</v>
      </c>
      <c r="J431" s="788">
        <v>26912.561134030089</v>
      </c>
      <c r="K431" s="788">
        <v>43088.501007205261</v>
      </c>
      <c r="L431" s="788">
        <v>17447.33823871124</v>
      </c>
      <c r="M431" s="788">
        <v>17118.772278363682</v>
      </c>
      <c r="N431" s="788">
        <v>7475.9593082216543</v>
      </c>
      <c r="O431" s="788">
        <v>235.84494124442676</v>
      </c>
      <c r="P431" s="772">
        <v>0</v>
      </c>
      <c r="Q431" s="774"/>
      <c r="R431" s="774">
        <v>531</v>
      </c>
      <c r="S431" s="774"/>
      <c r="T431" s="774"/>
      <c r="U431" s="774"/>
      <c r="V431" s="774"/>
    </row>
    <row r="432" spans="1:22" hidden="1">
      <c r="A432" s="786">
        <v>432</v>
      </c>
      <c r="B432" s="767"/>
      <c r="C432" s="767"/>
      <c r="D432" s="767"/>
      <c r="E432" s="767"/>
      <c r="F432" s="806"/>
      <c r="G432" s="778"/>
      <c r="H432" s="788"/>
      <c r="I432" s="788"/>
      <c r="J432" s="788"/>
      <c r="K432" s="788"/>
      <c r="L432" s="788"/>
      <c r="M432" s="788"/>
      <c r="N432" s="788"/>
      <c r="O432" s="788"/>
      <c r="P432" s="772"/>
      <c r="R432" s="774"/>
    </row>
    <row r="433" spans="1:22" hidden="1">
      <c r="A433" s="786">
        <v>433</v>
      </c>
      <c r="B433" s="767"/>
      <c r="C433" s="767" t="s">
        <v>866</v>
      </c>
      <c r="D433" s="767" t="s">
        <v>751</v>
      </c>
      <c r="E433" s="767"/>
      <c r="F433" s="806" t="s">
        <v>1396</v>
      </c>
      <c r="G433" s="778"/>
      <c r="H433" s="788">
        <v>93751.012232638197</v>
      </c>
      <c r="I433" s="788">
        <v>41835.562381057309</v>
      </c>
      <c r="J433" s="788">
        <v>12443.805211005418</v>
      </c>
      <c r="K433" s="788">
        <v>19923.221379695595</v>
      </c>
      <c r="L433" s="788">
        <v>8067.2841730591963</v>
      </c>
      <c r="M433" s="788">
        <v>7915.3621471631905</v>
      </c>
      <c r="N433" s="788">
        <v>3456.7271741105437</v>
      </c>
      <c r="O433" s="788">
        <v>109.04976654695605</v>
      </c>
      <c r="P433" s="772">
        <v>0</v>
      </c>
      <c r="Q433" s="774"/>
      <c r="R433" s="774">
        <v>536</v>
      </c>
      <c r="S433" s="774"/>
      <c r="T433" s="774"/>
      <c r="U433" s="774"/>
      <c r="V433" s="774"/>
    </row>
    <row r="434" spans="1:22" hidden="1">
      <c r="A434" s="786">
        <v>434</v>
      </c>
      <c r="B434" s="767"/>
      <c r="C434" s="767"/>
      <c r="D434" s="767"/>
      <c r="E434" s="767"/>
      <c r="F434" s="806"/>
      <c r="G434" s="778"/>
      <c r="H434" s="788"/>
      <c r="I434" s="788"/>
      <c r="J434" s="788"/>
      <c r="K434" s="788"/>
      <c r="L434" s="788"/>
      <c r="M434" s="788"/>
      <c r="N434" s="788"/>
      <c r="O434" s="788"/>
      <c r="P434" s="772"/>
      <c r="R434" s="774"/>
    </row>
    <row r="435" spans="1:22" hidden="1">
      <c r="A435" s="786">
        <v>435</v>
      </c>
      <c r="B435" s="767"/>
      <c r="C435" s="767" t="s">
        <v>867</v>
      </c>
      <c r="D435" s="767" t="s">
        <v>754</v>
      </c>
      <c r="E435" s="767"/>
      <c r="F435" s="806" t="s">
        <v>1396</v>
      </c>
      <c r="G435" s="778"/>
      <c r="H435" s="788">
        <v>493861.66089494387</v>
      </c>
      <c r="I435" s="788">
        <v>220381.41061041411</v>
      </c>
      <c r="J435" s="788">
        <v>65551.48753072141</v>
      </c>
      <c r="K435" s="788">
        <v>104951.56229927822</v>
      </c>
      <c r="L435" s="788">
        <v>42496.846335185357</v>
      </c>
      <c r="M435" s="788">
        <v>41696.551359709825</v>
      </c>
      <c r="N435" s="788">
        <v>18209.350307927645</v>
      </c>
      <c r="O435" s="788">
        <v>574.45245170735893</v>
      </c>
      <c r="P435" s="772">
        <v>0</v>
      </c>
      <c r="Q435" s="774"/>
      <c r="R435" s="774">
        <v>541</v>
      </c>
      <c r="S435" s="774"/>
      <c r="T435" s="774"/>
      <c r="U435" s="774"/>
      <c r="V435" s="774"/>
    </row>
    <row r="436" spans="1:22" hidden="1">
      <c r="A436" s="786">
        <v>436</v>
      </c>
      <c r="B436" s="767"/>
      <c r="C436" s="767"/>
      <c r="D436" s="767"/>
      <c r="E436" s="767"/>
      <c r="F436" s="806"/>
      <c r="G436" s="778"/>
      <c r="H436" s="788"/>
      <c r="I436" s="788"/>
      <c r="J436" s="788"/>
      <c r="K436" s="788"/>
      <c r="L436" s="788"/>
      <c r="M436" s="788"/>
      <c r="N436" s="788"/>
      <c r="O436" s="788"/>
      <c r="P436" s="772"/>
      <c r="R436" s="774"/>
    </row>
    <row r="437" spans="1:22" hidden="1">
      <c r="A437" s="786">
        <v>437</v>
      </c>
      <c r="B437" s="767"/>
      <c r="C437" s="767" t="s">
        <v>868</v>
      </c>
      <c r="D437" s="767" t="s">
        <v>869</v>
      </c>
      <c r="E437" s="767"/>
      <c r="F437" s="806" t="s">
        <v>1396</v>
      </c>
      <c r="G437" s="778"/>
      <c r="H437" s="788">
        <v>617149.1295117999</v>
      </c>
      <c r="I437" s="788">
        <v>275397.35615907994</v>
      </c>
      <c r="J437" s="788">
        <v>81915.740117340407</v>
      </c>
      <c r="K437" s="788">
        <v>131151.63707287915</v>
      </c>
      <c r="L437" s="788">
        <v>53105.745595294255</v>
      </c>
      <c r="M437" s="788">
        <v>52105.665235599234</v>
      </c>
      <c r="N437" s="788">
        <v>22755.126751787961</v>
      </c>
      <c r="O437" s="788">
        <v>717.85857981903814</v>
      </c>
      <c r="P437" s="772">
        <v>0</v>
      </c>
      <c r="Q437" s="774"/>
      <c r="R437" s="774">
        <v>547</v>
      </c>
      <c r="S437" s="774"/>
      <c r="T437" s="774"/>
      <c r="U437" s="774"/>
      <c r="V437" s="774"/>
    </row>
    <row r="438" spans="1:22" hidden="1">
      <c r="A438" s="786">
        <v>438</v>
      </c>
      <c r="B438" s="767"/>
      <c r="C438" s="767"/>
      <c r="D438" s="767"/>
      <c r="E438" s="767"/>
      <c r="F438" s="806"/>
      <c r="G438" s="778"/>
      <c r="H438" s="788"/>
      <c r="I438" s="788"/>
      <c r="J438" s="788"/>
      <c r="K438" s="788"/>
      <c r="L438" s="788"/>
      <c r="M438" s="788"/>
      <c r="N438" s="788"/>
      <c r="O438" s="788"/>
      <c r="P438" s="772"/>
      <c r="R438" s="774"/>
    </row>
    <row r="439" spans="1:22" hidden="1">
      <c r="A439" s="786">
        <v>439</v>
      </c>
      <c r="B439" s="767"/>
      <c r="C439" s="767" t="s">
        <v>870</v>
      </c>
      <c r="D439" s="767" t="s">
        <v>871</v>
      </c>
      <c r="E439" s="767"/>
      <c r="F439" s="806" t="s">
        <v>1396</v>
      </c>
      <c r="G439" s="778"/>
      <c r="H439" s="788">
        <v>1466464.2155176939</v>
      </c>
      <c r="I439" s="788">
        <v>654396.72283901402</v>
      </c>
      <c r="J439" s="788">
        <v>194647.44552869062</v>
      </c>
      <c r="K439" s="788">
        <v>311641.3414146502</v>
      </c>
      <c r="L439" s="788">
        <v>126189.39544724156</v>
      </c>
      <c r="M439" s="788">
        <v>123813.01348378492</v>
      </c>
      <c r="N439" s="788">
        <v>54070.527698003338</v>
      </c>
      <c r="O439" s="788">
        <v>1705.7691063094073</v>
      </c>
      <c r="P439" s="772">
        <v>0</v>
      </c>
      <c r="Q439" s="774"/>
      <c r="R439" s="774">
        <v>553</v>
      </c>
      <c r="S439" s="774"/>
      <c r="T439" s="774"/>
      <c r="U439" s="774"/>
      <c r="V439" s="774"/>
    </row>
    <row r="440" spans="1:22" hidden="1">
      <c r="A440" s="786">
        <v>440</v>
      </c>
      <c r="B440" s="767"/>
      <c r="C440" s="767"/>
      <c r="D440" s="767"/>
      <c r="E440" s="767"/>
      <c r="F440" s="806"/>
      <c r="G440" s="778"/>
      <c r="H440" s="788"/>
      <c r="I440" s="788"/>
      <c r="J440" s="788"/>
      <c r="K440" s="788"/>
      <c r="L440" s="788"/>
      <c r="M440" s="788"/>
      <c r="N440" s="788"/>
      <c r="O440" s="788"/>
      <c r="P440" s="772"/>
      <c r="R440" s="774"/>
    </row>
    <row r="441" spans="1:22" hidden="1">
      <c r="A441" s="786">
        <v>441</v>
      </c>
      <c r="B441" s="767"/>
      <c r="C441" s="767" t="s">
        <v>872</v>
      </c>
      <c r="D441" s="767" t="s">
        <v>873</v>
      </c>
      <c r="E441" s="767"/>
      <c r="F441" s="806" t="s">
        <v>1396</v>
      </c>
      <c r="G441" s="778"/>
      <c r="H441" s="788">
        <v>2432.8435873462636</v>
      </c>
      <c r="I441" s="788">
        <v>1085.6349946304547</v>
      </c>
      <c r="J441" s="788">
        <v>322.91738498414958</v>
      </c>
      <c r="K441" s="788">
        <v>517.00861909198863</v>
      </c>
      <c r="L441" s="788">
        <v>209.34643904457363</v>
      </c>
      <c r="M441" s="788">
        <v>205.40405466198587</v>
      </c>
      <c r="N441" s="788">
        <v>89.702247884772035</v>
      </c>
      <c r="O441" s="788">
        <v>2.8298470483394742</v>
      </c>
      <c r="P441" s="772">
        <v>0</v>
      </c>
      <c r="Q441" s="774"/>
      <c r="R441" s="774">
        <v>556</v>
      </c>
      <c r="S441" s="774"/>
      <c r="T441" s="774"/>
      <c r="U441" s="774"/>
      <c r="V441" s="774"/>
    </row>
    <row r="442" spans="1:22" hidden="1">
      <c r="A442" s="786">
        <v>442</v>
      </c>
      <c r="B442" s="767"/>
      <c r="C442" s="767"/>
      <c r="D442" s="767"/>
      <c r="E442" s="767"/>
      <c r="F442" s="806"/>
      <c r="G442" s="778"/>
      <c r="H442" s="788"/>
      <c r="I442" s="788"/>
      <c r="J442" s="788"/>
      <c r="K442" s="788"/>
      <c r="L442" s="788"/>
      <c r="M442" s="788"/>
      <c r="N442" s="788"/>
      <c r="O442" s="788"/>
      <c r="P442" s="772"/>
      <c r="R442" s="774"/>
    </row>
    <row r="443" spans="1:22" hidden="1">
      <c r="A443" s="786">
        <v>443</v>
      </c>
      <c r="B443" s="767"/>
      <c r="C443" s="767" t="s">
        <v>874</v>
      </c>
      <c r="D443" s="767" t="s">
        <v>875</v>
      </c>
      <c r="E443" s="767"/>
      <c r="F443" s="806" t="s">
        <v>1396</v>
      </c>
      <c r="G443" s="778"/>
      <c r="H443" s="788">
        <v>7647.2498273168876</v>
      </c>
      <c r="I443" s="788">
        <v>3412.517791278492</v>
      </c>
      <c r="J443" s="788">
        <v>1015.0385044898442</v>
      </c>
      <c r="K443" s="788">
        <v>1625.1328665914059</v>
      </c>
      <c r="L443" s="788">
        <v>658.04662829939821</v>
      </c>
      <c r="M443" s="788">
        <v>645.65438144646873</v>
      </c>
      <c r="N443" s="788">
        <v>281.96448929748874</v>
      </c>
      <c r="O443" s="788">
        <v>8.8951659137908958</v>
      </c>
      <c r="P443" s="772">
        <v>0</v>
      </c>
      <c r="Q443" s="774"/>
      <c r="R443" s="774">
        <v>560</v>
      </c>
      <c r="S443" s="774"/>
      <c r="T443" s="774"/>
      <c r="U443" s="774"/>
      <c r="V443" s="774"/>
    </row>
    <row r="444" spans="1:22" hidden="1">
      <c r="A444" s="786">
        <v>444</v>
      </c>
      <c r="B444" s="767"/>
      <c r="C444" s="767"/>
      <c r="D444" s="767"/>
      <c r="E444" s="767"/>
      <c r="F444" s="806"/>
      <c r="G444" s="778"/>
      <c r="H444" s="810"/>
      <c r="I444" s="810"/>
      <c r="J444" s="810"/>
      <c r="K444" s="810"/>
      <c r="L444" s="810"/>
      <c r="M444" s="810"/>
      <c r="N444" s="810"/>
      <c r="O444" s="810"/>
      <c r="P444" s="772"/>
      <c r="R444" s="774"/>
    </row>
    <row r="445" spans="1:22" hidden="1">
      <c r="A445" s="786">
        <v>445</v>
      </c>
      <c r="B445" s="767"/>
      <c r="C445" s="767"/>
      <c r="D445" s="767"/>
      <c r="E445" s="767"/>
      <c r="F445" s="806"/>
      <c r="G445" s="778"/>
      <c r="H445" s="788"/>
      <c r="I445" s="788"/>
      <c r="J445" s="788"/>
      <c r="K445" s="788"/>
      <c r="L445" s="788"/>
      <c r="M445" s="788"/>
      <c r="N445" s="788"/>
      <c r="O445" s="788"/>
      <c r="P445" s="772"/>
      <c r="R445" s="774"/>
    </row>
    <row r="446" spans="1:22" hidden="1">
      <c r="A446" s="786">
        <v>446</v>
      </c>
      <c r="B446" s="767"/>
      <c r="C446" s="767" t="s">
        <v>876</v>
      </c>
      <c r="D446" s="767"/>
      <c r="E446" s="767"/>
      <c r="F446" s="806"/>
      <c r="G446" s="778"/>
      <c r="H446" s="788">
        <v>16190075.964635937</v>
      </c>
      <c r="I446" s="788">
        <v>7224678.6124489736</v>
      </c>
      <c r="J446" s="788">
        <v>2148949.0818017251</v>
      </c>
      <c r="K446" s="788">
        <v>3440586.505851462</v>
      </c>
      <c r="L446" s="788">
        <v>1393157.6894981347</v>
      </c>
      <c r="M446" s="788">
        <v>1366921.9286099824</v>
      </c>
      <c r="N446" s="788">
        <v>596950.09371202963</v>
      </c>
      <c r="O446" s="788">
        <v>18832.052713628069</v>
      </c>
      <c r="P446" s="772">
        <v>0</v>
      </c>
      <c r="Q446" s="774"/>
      <c r="R446" s="774"/>
      <c r="S446" s="774"/>
      <c r="T446" s="774"/>
      <c r="U446" s="774"/>
      <c r="V446" s="774"/>
    </row>
    <row r="447" spans="1:22" hidden="1">
      <c r="A447" s="786">
        <v>447</v>
      </c>
      <c r="B447" s="767"/>
      <c r="C447" s="767"/>
      <c r="D447" s="767"/>
      <c r="E447" s="767"/>
      <c r="F447" s="806"/>
      <c r="G447" s="778"/>
      <c r="H447" s="788"/>
      <c r="I447" s="788"/>
      <c r="J447" s="788"/>
      <c r="K447" s="788"/>
      <c r="L447" s="788"/>
      <c r="M447" s="788"/>
      <c r="N447" s="788"/>
      <c r="O447" s="788"/>
      <c r="P447" s="772"/>
      <c r="R447" s="774"/>
    </row>
    <row r="448" spans="1:22" hidden="1">
      <c r="A448" s="786">
        <v>448</v>
      </c>
      <c r="B448" s="767"/>
      <c r="C448" s="767"/>
      <c r="D448" s="767"/>
      <c r="E448" s="767"/>
      <c r="F448" s="806"/>
      <c r="G448" s="778"/>
      <c r="H448" s="788"/>
      <c r="I448" s="788"/>
      <c r="J448" s="788"/>
      <c r="K448" s="788"/>
      <c r="L448" s="788"/>
      <c r="M448" s="788"/>
      <c r="N448" s="788"/>
      <c r="O448" s="788"/>
      <c r="P448" s="772"/>
      <c r="R448" s="774"/>
    </row>
    <row r="449" spans="1:22" hidden="1">
      <c r="A449" s="786">
        <v>449</v>
      </c>
      <c r="B449" s="767"/>
      <c r="D449" s="767"/>
      <c r="E449" s="767"/>
      <c r="F449" s="806"/>
      <c r="G449" s="778"/>
      <c r="H449" s="788"/>
      <c r="I449" s="788"/>
      <c r="J449" s="788"/>
      <c r="K449" s="788"/>
      <c r="L449" s="788"/>
      <c r="M449" s="788"/>
      <c r="N449" s="788"/>
      <c r="O449" s="788"/>
      <c r="P449" s="772"/>
      <c r="R449" s="774"/>
    </row>
    <row r="450" spans="1:22" hidden="1">
      <c r="A450" s="786">
        <v>450</v>
      </c>
      <c r="B450" s="767"/>
      <c r="C450" s="767"/>
      <c r="D450" s="767"/>
      <c r="E450" s="767"/>
      <c r="F450" s="806"/>
      <c r="G450" s="778"/>
      <c r="H450" s="788"/>
      <c r="I450" s="788"/>
      <c r="J450" s="788"/>
      <c r="K450" s="788"/>
      <c r="L450" s="788"/>
      <c r="M450" s="788"/>
      <c r="N450" s="788"/>
      <c r="O450" s="788"/>
      <c r="P450" s="772"/>
      <c r="R450" s="774"/>
    </row>
    <row r="451" spans="1:22" hidden="1">
      <c r="A451" s="786">
        <v>451</v>
      </c>
      <c r="B451" s="767"/>
      <c r="C451" s="767"/>
      <c r="D451" s="767"/>
      <c r="E451" s="767"/>
      <c r="F451" s="806"/>
      <c r="G451" s="778"/>
      <c r="H451" s="788"/>
      <c r="I451" s="788"/>
      <c r="J451" s="788"/>
      <c r="K451" s="788"/>
      <c r="L451" s="788"/>
      <c r="M451" s="788"/>
      <c r="N451" s="788"/>
      <c r="O451" s="788"/>
      <c r="P451" s="772"/>
      <c r="R451" s="774"/>
    </row>
    <row r="452" spans="1:22" hidden="1">
      <c r="A452" s="786">
        <v>452</v>
      </c>
      <c r="B452" s="767"/>
      <c r="C452" s="767"/>
      <c r="D452" s="767"/>
      <c r="E452" s="767"/>
      <c r="F452" s="806"/>
      <c r="G452" s="778"/>
      <c r="H452" s="788"/>
      <c r="I452" s="788"/>
      <c r="J452" s="788"/>
      <c r="K452" s="788"/>
      <c r="L452" s="788"/>
      <c r="M452" s="788"/>
      <c r="N452" s="788"/>
      <c r="O452" s="788"/>
      <c r="P452" s="772"/>
      <c r="R452" s="774"/>
    </row>
    <row r="453" spans="1:22" hidden="1">
      <c r="A453" s="786">
        <v>453</v>
      </c>
      <c r="B453" s="767"/>
      <c r="C453" s="767"/>
      <c r="D453" s="767"/>
      <c r="E453" s="767"/>
      <c r="F453" s="806"/>
      <c r="G453" s="778"/>
      <c r="H453" s="788"/>
      <c r="I453" s="788"/>
      <c r="J453" s="788"/>
      <c r="K453" s="788"/>
      <c r="L453" s="788"/>
      <c r="M453" s="788"/>
      <c r="N453" s="788"/>
      <c r="O453" s="788"/>
      <c r="P453" s="772"/>
      <c r="R453" s="774"/>
    </row>
    <row r="454" spans="1:22" hidden="1">
      <c r="A454" s="786">
        <v>454</v>
      </c>
      <c r="B454" s="767"/>
      <c r="C454" s="767"/>
      <c r="D454" s="767"/>
      <c r="E454" s="767"/>
      <c r="F454" s="806"/>
      <c r="G454" s="778"/>
      <c r="H454" s="788"/>
      <c r="I454" s="788"/>
      <c r="J454" s="788"/>
      <c r="K454" s="788"/>
      <c r="L454" s="788"/>
      <c r="M454" s="788"/>
      <c r="N454" s="788"/>
      <c r="O454" s="788"/>
      <c r="P454" s="772"/>
      <c r="R454" s="774"/>
    </row>
    <row r="455" spans="1:22" hidden="1">
      <c r="A455" s="786">
        <v>455</v>
      </c>
      <c r="B455" s="767"/>
      <c r="C455" s="767"/>
      <c r="D455" s="767"/>
      <c r="E455" s="767"/>
      <c r="F455" s="806"/>
      <c r="G455" s="778"/>
      <c r="H455" s="788"/>
      <c r="I455" s="788"/>
      <c r="J455" s="788"/>
      <c r="K455" s="788"/>
      <c r="L455" s="788"/>
      <c r="M455" s="788"/>
      <c r="N455" s="788"/>
      <c r="O455" s="788"/>
      <c r="P455" s="772"/>
      <c r="R455" s="774"/>
    </row>
    <row r="456" spans="1:22" hidden="1">
      <c r="A456" s="786">
        <v>456</v>
      </c>
      <c r="B456" s="767"/>
      <c r="C456" s="767"/>
      <c r="D456" s="767"/>
      <c r="E456" s="767"/>
      <c r="F456" s="806"/>
      <c r="G456" s="778"/>
      <c r="H456" s="788"/>
      <c r="I456" s="788"/>
      <c r="J456" s="788"/>
      <c r="K456" s="788"/>
      <c r="L456" s="788"/>
      <c r="M456" s="788"/>
      <c r="N456" s="788"/>
      <c r="O456" s="788"/>
      <c r="P456" s="772"/>
      <c r="R456" s="774"/>
    </row>
    <row r="457" spans="1:22" hidden="1">
      <c r="A457" s="786">
        <v>457</v>
      </c>
      <c r="B457" s="767"/>
      <c r="C457" s="767"/>
      <c r="D457" s="767"/>
      <c r="E457" s="767"/>
      <c r="F457" s="806"/>
      <c r="H457" s="817"/>
      <c r="I457" s="817"/>
      <c r="J457" s="817"/>
      <c r="K457" s="817"/>
      <c r="L457" s="817"/>
      <c r="M457" s="817"/>
      <c r="N457" s="817"/>
      <c r="O457" s="817"/>
      <c r="P457" s="772"/>
      <c r="R457" s="774"/>
    </row>
    <row r="458" spans="1:22" hidden="1">
      <c r="A458" s="786">
        <v>458</v>
      </c>
      <c r="B458" s="767"/>
      <c r="C458" s="781" t="s">
        <v>714</v>
      </c>
      <c r="D458" s="767"/>
      <c r="E458" s="767"/>
      <c r="F458" s="806"/>
      <c r="G458" s="778"/>
      <c r="H458" s="817" t="s">
        <v>877</v>
      </c>
      <c r="I458" s="817"/>
      <c r="J458" s="817"/>
      <c r="K458" s="817"/>
      <c r="L458" s="817"/>
      <c r="M458" s="817"/>
      <c r="N458" s="817"/>
      <c r="O458" s="817"/>
      <c r="P458" s="772"/>
      <c r="R458" s="774"/>
    </row>
    <row r="459" spans="1:22" hidden="1">
      <c r="A459" s="786">
        <v>459</v>
      </c>
      <c r="B459" s="767"/>
      <c r="C459" s="767"/>
      <c r="D459" s="767"/>
      <c r="E459" s="767"/>
      <c r="F459" s="806"/>
      <c r="G459" s="778"/>
      <c r="H459" s="810"/>
      <c r="I459" s="810"/>
      <c r="J459" s="810"/>
      <c r="K459" s="810"/>
      <c r="L459" s="810"/>
      <c r="M459" s="810"/>
      <c r="N459" s="810"/>
      <c r="O459" s="810"/>
      <c r="P459" s="772"/>
      <c r="R459" s="774"/>
    </row>
    <row r="460" spans="1:22" hidden="1">
      <c r="A460" s="786">
        <v>460</v>
      </c>
      <c r="B460" s="767"/>
      <c r="C460" s="767"/>
      <c r="D460" s="767"/>
      <c r="E460" s="767"/>
      <c r="F460" s="806"/>
      <c r="G460" s="778"/>
      <c r="H460" s="810"/>
      <c r="I460" s="810"/>
      <c r="J460" s="810"/>
      <c r="K460" s="810"/>
      <c r="L460" s="810"/>
      <c r="M460" s="810"/>
      <c r="N460" s="810"/>
      <c r="O460" s="810"/>
      <c r="P460" s="772"/>
      <c r="R460" s="774"/>
    </row>
    <row r="461" spans="1:22" hidden="1">
      <c r="A461" s="786">
        <v>461</v>
      </c>
      <c r="B461" s="767"/>
      <c r="C461" s="777" t="s">
        <v>575</v>
      </c>
      <c r="D461" s="767"/>
      <c r="E461" s="777" t="s">
        <v>576</v>
      </c>
      <c r="F461" s="806" t="s">
        <v>577</v>
      </c>
      <c r="G461" s="778"/>
      <c r="H461" s="777" t="s">
        <v>578</v>
      </c>
      <c r="I461" s="777" t="s">
        <v>579</v>
      </c>
      <c r="J461" s="777" t="s">
        <v>580</v>
      </c>
      <c r="K461" s="777" t="s">
        <v>581</v>
      </c>
      <c r="L461" s="777" t="s">
        <v>582</v>
      </c>
      <c r="M461" s="777" t="s">
        <v>583</v>
      </c>
      <c r="N461" s="777" t="s">
        <v>584</v>
      </c>
      <c r="O461" s="777" t="s">
        <v>585</v>
      </c>
      <c r="P461" s="772"/>
      <c r="R461" s="774"/>
    </row>
    <row r="462" spans="1:22" ht="38.25" hidden="1">
      <c r="A462" s="786">
        <v>462</v>
      </c>
      <c r="B462" s="767"/>
      <c r="C462" s="797" t="s">
        <v>656</v>
      </c>
      <c r="D462" s="781"/>
      <c r="E462" s="782" t="s">
        <v>587</v>
      </c>
      <c r="F462" s="806" t="s">
        <v>1391</v>
      </c>
      <c r="G462" s="783"/>
      <c r="H462" s="784" t="s">
        <v>588</v>
      </c>
      <c r="I462" s="784" t="s">
        <v>589</v>
      </c>
      <c r="J462" s="784" t="s">
        <v>590</v>
      </c>
      <c r="K462" s="784" t="s">
        <v>591</v>
      </c>
      <c r="L462" s="784" t="s">
        <v>592</v>
      </c>
      <c r="M462" s="784" t="s">
        <v>593</v>
      </c>
      <c r="N462" s="784" t="s">
        <v>594</v>
      </c>
      <c r="O462" s="784" t="s">
        <v>595</v>
      </c>
      <c r="P462" s="772"/>
      <c r="R462" s="774"/>
    </row>
    <row r="463" spans="1:22" hidden="1">
      <c r="A463" s="786">
        <v>463</v>
      </c>
      <c r="B463" s="767"/>
      <c r="C463" s="767" t="s">
        <v>878</v>
      </c>
      <c r="D463" s="767" t="s">
        <v>849</v>
      </c>
      <c r="E463" s="767"/>
      <c r="F463" s="806" t="s">
        <v>1397</v>
      </c>
      <c r="G463" s="778"/>
      <c r="H463" s="788">
        <v>817883.82343339943</v>
      </c>
      <c r="I463" s="788">
        <v>438310.54362815793</v>
      </c>
      <c r="J463" s="788">
        <v>120700.05051274133</v>
      </c>
      <c r="K463" s="788">
        <v>134610.17095026581</v>
      </c>
      <c r="L463" s="788">
        <v>55699.410619361879</v>
      </c>
      <c r="M463" s="788">
        <v>19364.375917663343</v>
      </c>
      <c r="N463" s="788">
        <v>36024.910461430576</v>
      </c>
      <c r="O463" s="788">
        <v>13174.361343778568</v>
      </c>
      <c r="P463" s="772">
        <v>0</v>
      </c>
      <c r="Q463" s="774"/>
      <c r="R463" s="774">
        <v>568</v>
      </c>
      <c r="S463" s="774"/>
      <c r="T463" s="774"/>
      <c r="U463" s="774"/>
      <c r="V463" s="774"/>
    </row>
    <row r="464" spans="1:22" hidden="1">
      <c r="A464" s="786">
        <v>464</v>
      </c>
      <c r="B464" s="767"/>
      <c r="C464" s="767"/>
      <c r="D464" s="767"/>
      <c r="E464" s="767"/>
      <c r="F464" s="806"/>
      <c r="G464" s="778"/>
      <c r="H464" s="788"/>
      <c r="I464" s="788"/>
      <c r="J464" s="788"/>
      <c r="K464" s="788"/>
      <c r="L464" s="788"/>
      <c r="M464" s="788"/>
      <c r="N464" s="788"/>
      <c r="O464" s="788"/>
      <c r="P464" s="772"/>
      <c r="R464" s="774"/>
    </row>
    <row r="465" spans="1:22" hidden="1">
      <c r="A465" s="786">
        <v>465</v>
      </c>
      <c r="B465" s="767"/>
      <c r="C465" s="767" t="s">
        <v>879</v>
      </c>
      <c r="D465" s="767" t="s">
        <v>851</v>
      </c>
      <c r="E465" s="767"/>
      <c r="F465" s="806" t="s">
        <v>1398</v>
      </c>
      <c r="G465" s="778"/>
      <c r="H465" s="788">
        <v>784173.04647184501</v>
      </c>
      <c r="I465" s="788">
        <v>335282.71884209639</v>
      </c>
      <c r="J465" s="788">
        <v>102394.53574351885</v>
      </c>
      <c r="K465" s="788">
        <v>161126.44513469964</v>
      </c>
      <c r="L465" s="788">
        <v>68508.577231151343</v>
      </c>
      <c r="M465" s="788">
        <v>72350.048177207427</v>
      </c>
      <c r="N465" s="788">
        <v>43104.761417806803</v>
      </c>
      <c r="O465" s="788">
        <v>1405.9599253647809</v>
      </c>
      <c r="P465" s="772">
        <v>0</v>
      </c>
      <c r="Q465" s="774"/>
      <c r="R465" s="774">
        <v>573</v>
      </c>
      <c r="S465" s="774"/>
      <c r="T465" s="774"/>
      <c r="U465" s="774"/>
      <c r="V465" s="774"/>
    </row>
    <row r="466" spans="1:22" hidden="1">
      <c r="A466" s="786">
        <v>466</v>
      </c>
      <c r="B466" s="767"/>
      <c r="C466" s="767"/>
      <c r="D466" s="767"/>
      <c r="E466" s="767"/>
      <c r="F466" s="806"/>
      <c r="G466" s="778"/>
      <c r="H466" s="788"/>
      <c r="I466" s="788"/>
      <c r="J466" s="788"/>
      <c r="K466" s="788"/>
      <c r="L466" s="788"/>
      <c r="M466" s="788"/>
      <c r="N466" s="788"/>
      <c r="O466" s="788"/>
      <c r="P466" s="772"/>
      <c r="R466" s="774"/>
    </row>
    <row r="467" spans="1:22" hidden="1">
      <c r="A467" s="786">
        <v>467</v>
      </c>
      <c r="B467" s="767"/>
      <c r="C467" s="767" t="s">
        <v>880</v>
      </c>
      <c r="D467" s="767" t="s">
        <v>853</v>
      </c>
      <c r="E467" s="767"/>
      <c r="F467" s="806" t="s">
        <v>1399</v>
      </c>
      <c r="G467" s="778"/>
      <c r="H467" s="788">
        <v>297495.19448308781</v>
      </c>
      <c r="I467" s="788">
        <v>130991.44632853934</v>
      </c>
      <c r="J467" s="788">
        <v>40004.472582136572</v>
      </c>
      <c r="K467" s="788">
        <v>62950.414393145147</v>
      </c>
      <c r="L467" s="788">
        <v>26765.583530254462</v>
      </c>
      <c r="M467" s="788">
        <v>19393.405048347344</v>
      </c>
      <c r="N467" s="788">
        <v>16840.578784569927</v>
      </c>
      <c r="O467" s="788">
        <v>549.29381609504708</v>
      </c>
      <c r="P467" s="772">
        <v>0</v>
      </c>
      <c r="Q467" s="774"/>
      <c r="R467" s="774">
        <v>578</v>
      </c>
      <c r="S467" s="774"/>
      <c r="T467" s="774"/>
      <c r="U467" s="774"/>
      <c r="V467" s="774"/>
    </row>
    <row r="468" spans="1:22" hidden="1">
      <c r="A468" s="786">
        <v>468</v>
      </c>
      <c r="B468" s="767"/>
      <c r="C468" s="767"/>
      <c r="D468" s="767"/>
      <c r="E468" s="767"/>
      <c r="F468" s="806"/>
      <c r="G468" s="778"/>
      <c r="H468" s="788"/>
      <c r="I468" s="788"/>
      <c r="J468" s="788"/>
      <c r="K468" s="788"/>
      <c r="L468" s="788"/>
      <c r="M468" s="788"/>
      <c r="N468" s="788"/>
      <c r="O468" s="788"/>
      <c r="P468" s="772"/>
      <c r="R468" s="774"/>
    </row>
    <row r="469" spans="1:22" hidden="1">
      <c r="A469" s="786">
        <v>469</v>
      </c>
      <c r="B469" s="767"/>
      <c r="C469" s="767" t="s">
        <v>881</v>
      </c>
      <c r="D469" s="767" t="s">
        <v>882</v>
      </c>
      <c r="E469" s="767"/>
      <c r="F469" s="806" t="s">
        <v>1400</v>
      </c>
      <c r="G469" s="778"/>
      <c r="H469" s="788">
        <v>231847.2287062612</v>
      </c>
      <c r="I469" s="788">
        <v>121082.55588539327</v>
      </c>
      <c r="J469" s="788">
        <v>33068.99313011003</v>
      </c>
      <c r="K469" s="788">
        <v>45617.967183259731</v>
      </c>
      <c r="L469" s="788">
        <v>19396.083773149912</v>
      </c>
      <c r="M469" s="788">
        <v>0</v>
      </c>
      <c r="N469" s="788">
        <v>12203.779399191155</v>
      </c>
      <c r="O469" s="788">
        <v>477.84933515709389</v>
      </c>
      <c r="P469" s="772">
        <v>0</v>
      </c>
      <c r="Q469" s="774"/>
      <c r="R469" s="774">
        <v>583</v>
      </c>
      <c r="S469" s="774"/>
      <c r="T469" s="774"/>
      <c r="U469" s="774"/>
      <c r="V469" s="774"/>
    </row>
    <row r="470" spans="1:22" hidden="1">
      <c r="A470" s="786">
        <v>470</v>
      </c>
      <c r="B470" s="767"/>
      <c r="C470" s="767"/>
      <c r="D470" s="767"/>
      <c r="E470" s="767"/>
      <c r="F470" s="806"/>
      <c r="G470" s="778"/>
      <c r="H470" s="788"/>
      <c r="I470" s="788"/>
      <c r="J470" s="788"/>
      <c r="K470" s="788"/>
      <c r="L470" s="788"/>
      <c r="M470" s="788"/>
      <c r="N470" s="788"/>
      <c r="O470" s="788"/>
      <c r="P470" s="772"/>
      <c r="R470" s="774"/>
    </row>
    <row r="471" spans="1:22" hidden="1">
      <c r="A471" s="786">
        <v>471</v>
      </c>
      <c r="B471" s="767"/>
      <c r="C471" s="767" t="s">
        <v>883</v>
      </c>
      <c r="D471" s="767" t="s">
        <v>857</v>
      </c>
      <c r="E471" s="767"/>
      <c r="F471" s="806" t="s">
        <v>1401</v>
      </c>
      <c r="G471" s="778"/>
      <c r="H471" s="788">
        <v>0</v>
      </c>
      <c r="I471" s="788">
        <v>0</v>
      </c>
      <c r="J471" s="788">
        <v>0</v>
      </c>
      <c r="K471" s="788">
        <v>0</v>
      </c>
      <c r="L471" s="788">
        <v>0</v>
      </c>
      <c r="M471" s="788">
        <v>0</v>
      </c>
      <c r="N471" s="788">
        <v>0</v>
      </c>
      <c r="O471" s="788">
        <v>0</v>
      </c>
      <c r="P471" s="772">
        <v>0</v>
      </c>
      <c r="Q471" s="774"/>
      <c r="R471" s="774">
        <v>588</v>
      </c>
      <c r="S471" s="774"/>
      <c r="T471" s="774"/>
      <c r="U471" s="774"/>
      <c r="V471" s="774"/>
    </row>
    <row r="472" spans="1:22" hidden="1">
      <c r="A472" s="786">
        <v>472</v>
      </c>
      <c r="B472" s="767"/>
      <c r="C472" s="767"/>
      <c r="D472" s="767"/>
      <c r="E472" s="767"/>
      <c r="F472" s="806"/>
      <c r="G472" s="778"/>
      <c r="H472" s="788"/>
      <c r="I472" s="788"/>
      <c r="J472" s="788"/>
      <c r="K472" s="788"/>
      <c r="L472" s="788"/>
      <c r="M472" s="788"/>
      <c r="N472" s="788"/>
      <c r="O472" s="788"/>
      <c r="P472" s="772"/>
      <c r="R472" s="774"/>
    </row>
    <row r="473" spans="1:22" hidden="1">
      <c r="A473" s="786">
        <v>473</v>
      </c>
      <c r="B473" s="767"/>
      <c r="C473" s="767" t="s">
        <v>884</v>
      </c>
      <c r="D473" s="767" t="s">
        <v>885</v>
      </c>
      <c r="E473" s="767"/>
      <c r="F473" s="806" t="s">
        <v>1402</v>
      </c>
      <c r="G473" s="778"/>
      <c r="H473" s="788">
        <v>13699.437821732972</v>
      </c>
      <c r="I473" s="788">
        <v>0</v>
      </c>
      <c r="J473" s="788">
        <v>0</v>
      </c>
      <c r="K473" s="788">
        <v>0</v>
      </c>
      <c r="L473" s="788">
        <v>0</v>
      </c>
      <c r="M473" s="788">
        <v>0</v>
      </c>
      <c r="N473" s="788">
        <v>0</v>
      </c>
      <c r="O473" s="788">
        <v>13699.437821732972</v>
      </c>
      <c r="P473" s="772">
        <v>0</v>
      </c>
      <c r="Q473" s="774"/>
      <c r="R473" s="774">
        <v>593</v>
      </c>
      <c r="S473" s="774"/>
      <c r="T473" s="774"/>
      <c r="U473" s="774"/>
      <c r="V473" s="774"/>
    </row>
    <row r="474" spans="1:22" hidden="1">
      <c r="A474" s="786">
        <v>474</v>
      </c>
      <c r="B474" s="767"/>
      <c r="C474" s="767"/>
      <c r="D474" s="767"/>
      <c r="E474" s="767"/>
      <c r="F474" s="806"/>
      <c r="G474" s="778"/>
      <c r="H474" s="788"/>
      <c r="I474" s="788"/>
      <c r="J474" s="788"/>
      <c r="K474" s="788"/>
      <c r="L474" s="788"/>
      <c r="M474" s="788"/>
      <c r="N474" s="788"/>
      <c r="O474" s="788"/>
      <c r="P474" s="772"/>
      <c r="R474" s="774"/>
    </row>
    <row r="475" spans="1:22" hidden="1">
      <c r="A475" s="786">
        <v>475</v>
      </c>
      <c r="B475" s="767"/>
      <c r="C475" s="767" t="s">
        <v>886</v>
      </c>
      <c r="D475" s="767" t="s">
        <v>887</v>
      </c>
      <c r="E475" s="767"/>
      <c r="F475" s="806" t="s">
        <v>1403</v>
      </c>
      <c r="G475" s="778"/>
      <c r="H475" s="788">
        <v>306484.34999999998</v>
      </c>
      <c r="I475" s="788">
        <v>206408.33323976147</v>
      </c>
      <c r="J475" s="788">
        <v>53096.996465554046</v>
      </c>
      <c r="K475" s="788">
        <v>23176.591206487152</v>
      </c>
      <c r="L475" s="788">
        <v>4068.0993830411212</v>
      </c>
      <c r="M475" s="788">
        <v>2388.3684227441931</v>
      </c>
      <c r="N475" s="788">
        <v>17345.961282412001</v>
      </c>
      <c r="O475" s="788">
        <v>0</v>
      </c>
      <c r="P475" s="772">
        <v>0</v>
      </c>
      <c r="Q475" s="774"/>
      <c r="R475" s="774">
        <v>598</v>
      </c>
      <c r="S475" s="774"/>
      <c r="T475" s="774"/>
      <c r="U475" s="774"/>
      <c r="V475" s="774"/>
    </row>
    <row r="476" spans="1:22" hidden="1">
      <c r="A476" s="786">
        <v>476</v>
      </c>
      <c r="B476" s="767"/>
      <c r="C476" s="767"/>
      <c r="D476" s="767"/>
      <c r="E476" s="767"/>
      <c r="F476" s="806"/>
      <c r="G476" s="778"/>
      <c r="H476" s="788"/>
      <c r="I476" s="788"/>
      <c r="J476" s="788"/>
      <c r="K476" s="788"/>
      <c r="L476" s="788"/>
      <c r="M476" s="788"/>
      <c r="N476" s="788"/>
      <c r="O476" s="788"/>
      <c r="P476" s="772"/>
      <c r="R476" s="774"/>
    </row>
    <row r="477" spans="1:22" hidden="1">
      <c r="A477" s="786">
        <v>477</v>
      </c>
      <c r="B477" s="767"/>
      <c r="C477" s="767" t="s">
        <v>888</v>
      </c>
      <c r="D477" s="767" t="s">
        <v>889</v>
      </c>
      <c r="E477" s="767"/>
      <c r="F477" s="806" t="s">
        <v>1398</v>
      </c>
      <c r="G477" s="778"/>
      <c r="H477" s="788">
        <v>1297988.42</v>
      </c>
      <c r="I477" s="788">
        <v>554970.7280059926</v>
      </c>
      <c r="J477" s="788">
        <v>169486.72523792929</v>
      </c>
      <c r="K477" s="788">
        <v>266701.66856865364</v>
      </c>
      <c r="L477" s="788">
        <v>113397.59803884411</v>
      </c>
      <c r="M477" s="788">
        <v>119756.12416541924</v>
      </c>
      <c r="N477" s="788">
        <v>71348.385944791371</v>
      </c>
      <c r="O477" s="788">
        <v>2327.1900383700217</v>
      </c>
      <c r="P477" s="772">
        <v>0</v>
      </c>
      <c r="Q477" s="774"/>
      <c r="R477" s="774">
        <v>603</v>
      </c>
      <c r="S477" s="774"/>
      <c r="T477" s="774"/>
      <c r="U477" s="774"/>
      <c r="V477" s="774"/>
    </row>
    <row r="478" spans="1:22" hidden="1">
      <c r="A478" s="786">
        <v>478</v>
      </c>
      <c r="B478" s="767"/>
      <c r="C478" s="767"/>
      <c r="D478" s="767"/>
      <c r="E478" s="767"/>
      <c r="F478" s="806"/>
      <c r="G478" s="778"/>
      <c r="H478" s="788"/>
      <c r="I478" s="788"/>
      <c r="J478" s="788"/>
      <c r="K478" s="788"/>
      <c r="L478" s="788"/>
      <c r="M478" s="788"/>
      <c r="N478" s="788"/>
      <c r="O478" s="788"/>
      <c r="P478" s="772"/>
      <c r="R478" s="774"/>
    </row>
    <row r="479" spans="1:22" hidden="1">
      <c r="A479" s="786">
        <v>479</v>
      </c>
      <c r="B479" s="767"/>
      <c r="C479" s="767" t="s">
        <v>890</v>
      </c>
      <c r="D479" s="767" t="s">
        <v>891</v>
      </c>
      <c r="E479" s="767"/>
      <c r="F479" s="806" t="s">
        <v>1397</v>
      </c>
      <c r="G479" s="778"/>
      <c r="H479" s="788">
        <v>39801.438231571141</v>
      </c>
      <c r="I479" s="788">
        <v>21329.912059182669</v>
      </c>
      <c r="J479" s="788">
        <v>5873.7383811596874</v>
      </c>
      <c r="K479" s="788">
        <v>6550.6594590992236</v>
      </c>
      <c r="L479" s="788">
        <v>2710.5520219180298</v>
      </c>
      <c r="M479" s="788">
        <v>942.34656548695273</v>
      </c>
      <c r="N479" s="788">
        <v>1753.1135932110394</v>
      </c>
      <c r="O479" s="788">
        <v>641.11615151354067</v>
      </c>
      <c r="P479" s="772">
        <v>0</v>
      </c>
      <c r="Q479" s="774"/>
      <c r="R479" s="774">
        <v>609</v>
      </c>
      <c r="S479" s="774"/>
      <c r="T479" s="774"/>
      <c r="U479" s="774"/>
      <c r="V479" s="774"/>
    </row>
    <row r="480" spans="1:22" hidden="1">
      <c r="A480" s="786">
        <v>480</v>
      </c>
      <c r="B480" s="767"/>
      <c r="C480" s="767"/>
      <c r="D480" s="767"/>
      <c r="E480" s="767"/>
      <c r="F480" s="806"/>
      <c r="G480" s="778"/>
      <c r="H480" s="788"/>
      <c r="I480" s="788"/>
      <c r="J480" s="788"/>
      <c r="K480" s="788"/>
      <c r="L480" s="788"/>
      <c r="M480" s="788"/>
      <c r="N480" s="788"/>
      <c r="O480" s="788"/>
      <c r="P480" s="772"/>
      <c r="R480" s="774"/>
    </row>
    <row r="481" spans="1:22" hidden="1">
      <c r="A481" s="786">
        <v>481</v>
      </c>
      <c r="B481" s="767"/>
      <c r="C481" s="767" t="s">
        <v>892</v>
      </c>
      <c r="D481" s="767" t="s">
        <v>748</v>
      </c>
      <c r="E481" s="767"/>
      <c r="F481" s="806" t="s">
        <v>1397</v>
      </c>
      <c r="G481" s="778"/>
      <c r="H481" s="788">
        <v>146194.33491317555</v>
      </c>
      <c r="I481" s="788">
        <v>78346.72428433095</v>
      </c>
      <c r="J481" s="788">
        <v>21574.780064266433</v>
      </c>
      <c r="K481" s="788">
        <v>24061.173299664195</v>
      </c>
      <c r="L481" s="788">
        <v>9956.1063041572197</v>
      </c>
      <c r="M481" s="788">
        <v>3461.3254073266703</v>
      </c>
      <c r="N481" s="788">
        <v>6439.3470983527868</v>
      </c>
      <c r="O481" s="788">
        <v>2354.8784550772984</v>
      </c>
      <c r="P481" s="772">
        <v>0</v>
      </c>
      <c r="Q481" s="774"/>
      <c r="R481" s="774">
        <v>614</v>
      </c>
      <c r="S481" s="774"/>
      <c r="T481" s="774"/>
      <c r="U481" s="774"/>
      <c r="V481" s="774"/>
    </row>
    <row r="482" spans="1:22" hidden="1">
      <c r="A482" s="786">
        <v>482</v>
      </c>
      <c r="B482" s="767"/>
      <c r="C482" s="767"/>
      <c r="D482" s="767"/>
      <c r="E482" s="767"/>
      <c r="F482" s="806"/>
      <c r="G482" s="778"/>
      <c r="H482" s="788"/>
      <c r="I482" s="788"/>
      <c r="J482" s="788"/>
      <c r="K482" s="788"/>
      <c r="L482" s="788"/>
      <c r="M482" s="788"/>
      <c r="N482" s="788"/>
      <c r="O482" s="788"/>
      <c r="P482" s="772"/>
      <c r="R482" s="774"/>
    </row>
    <row r="483" spans="1:22" hidden="1">
      <c r="A483" s="786">
        <v>483</v>
      </c>
      <c r="B483" s="767"/>
      <c r="C483" s="767" t="s">
        <v>893</v>
      </c>
      <c r="D483" s="767" t="s">
        <v>751</v>
      </c>
      <c r="E483" s="767"/>
      <c r="F483" s="806" t="s">
        <v>1397</v>
      </c>
      <c r="G483" s="778"/>
      <c r="H483" s="788">
        <v>370175.74577522452</v>
      </c>
      <c r="I483" s="788">
        <v>198380.17053275256</v>
      </c>
      <c r="J483" s="788">
        <v>54629.068253358877</v>
      </c>
      <c r="K483" s="788">
        <v>60924.814738682428</v>
      </c>
      <c r="L483" s="788">
        <v>25209.657257564922</v>
      </c>
      <c r="M483" s="788">
        <v>8764.3527007311404</v>
      </c>
      <c r="N483" s="788">
        <v>16304.941746572727</v>
      </c>
      <c r="O483" s="788">
        <v>5962.7405455618991</v>
      </c>
      <c r="P483" s="772">
        <v>0</v>
      </c>
      <c r="Q483" s="774"/>
      <c r="R483" s="774">
        <v>619</v>
      </c>
      <c r="S483" s="774"/>
      <c r="T483" s="774"/>
      <c r="U483" s="774"/>
      <c r="V483" s="774"/>
    </row>
    <row r="484" spans="1:22" hidden="1">
      <c r="A484" s="786">
        <v>484</v>
      </c>
      <c r="B484" s="767"/>
      <c r="C484" s="767"/>
      <c r="D484" s="767"/>
      <c r="E484" s="767"/>
      <c r="F484" s="806"/>
      <c r="G484" s="778"/>
      <c r="H484" s="788"/>
      <c r="I484" s="788"/>
      <c r="J484" s="788"/>
      <c r="K484" s="788"/>
      <c r="L484" s="788"/>
      <c r="M484" s="788"/>
      <c r="N484" s="788"/>
      <c r="O484" s="788"/>
      <c r="P484" s="772"/>
      <c r="R484" s="774"/>
    </row>
    <row r="485" spans="1:22" hidden="1">
      <c r="A485" s="786">
        <v>485</v>
      </c>
      <c r="B485" s="767"/>
      <c r="C485" s="767" t="s">
        <v>894</v>
      </c>
      <c r="D485" s="767" t="s">
        <v>754</v>
      </c>
      <c r="E485" s="767"/>
      <c r="F485" s="806" t="s">
        <v>1404</v>
      </c>
      <c r="G485" s="778"/>
      <c r="H485" s="788">
        <v>132249.70911268727</v>
      </c>
      <c r="I485" s="788">
        <v>56544.970828667938</v>
      </c>
      <c r="J485" s="788">
        <v>17268.698060633</v>
      </c>
      <c r="K485" s="788">
        <v>27173.75405249976</v>
      </c>
      <c r="L485" s="788">
        <v>11553.877618349296</v>
      </c>
      <c r="M485" s="788">
        <v>12201.736426384719</v>
      </c>
      <c r="N485" s="788">
        <v>7269.5589124426851</v>
      </c>
      <c r="O485" s="788">
        <v>237.11321370985635</v>
      </c>
      <c r="P485" s="772">
        <v>0</v>
      </c>
      <c r="Q485" s="774"/>
      <c r="R485" s="774">
        <v>624</v>
      </c>
      <c r="S485" s="774"/>
      <c r="T485" s="774"/>
      <c r="U485" s="774"/>
      <c r="V485" s="774"/>
    </row>
    <row r="486" spans="1:22" hidden="1">
      <c r="A486" s="786">
        <v>486</v>
      </c>
      <c r="B486" s="767"/>
      <c r="C486" s="767"/>
      <c r="D486" s="767"/>
      <c r="E486" s="767"/>
      <c r="F486" s="806"/>
      <c r="G486" s="778"/>
      <c r="H486" s="788"/>
      <c r="I486" s="788"/>
      <c r="J486" s="788"/>
      <c r="K486" s="788"/>
      <c r="L486" s="788"/>
      <c r="M486" s="788"/>
      <c r="N486" s="788"/>
      <c r="O486" s="788"/>
      <c r="P486" s="772"/>
      <c r="R486" s="774"/>
    </row>
    <row r="487" spans="1:22" hidden="1">
      <c r="A487" s="786">
        <v>487</v>
      </c>
      <c r="B487" s="767"/>
      <c r="C487" s="767" t="s">
        <v>895</v>
      </c>
      <c r="D487" s="767" t="s">
        <v>869</v>
      </c>
      <c r="E487" s="767"/>
      <c r="F487" s="806" t="s">
        <v>1399</v>
      </c>
      <c r="G487" s="778"/>
      <c r="H487" s="788">
        <v>399651.32136836433</v>
      </c>
      <c r="I487" s="788">
        <v>175972.26975083121</v>
      </c>
      <c r="J487" s="788">
        <v>53741.507844773841</v>
      </c>
      <c r="K487" s="788">
        <v>84566.79892466891</v>
      </c>
      <c r="L487" s="788">
        <v>35956.549965951228</v>
      </c>
      <c r="M487" s="788">
        <v>26052.857649922593</v>
      </c>
      <c r="N487" s="788">
        <v>22623.422793621045</v>
      </c>
      <c r="O487" s="788">
        <v>737.91443859553374</v>
      </c>
      <c r="P487" s="772">
        <v>0</v>
      </c>
      <c r="Q487" s="774"/>
      <c r="R487" s="774">
        <v>629</v>
      </c>
      <c r="S487" s="774"/>
      <c r="T487" s="774"/>
      <c r="U487" s="774"/>
      <c r="V487" s="774"/>
    </row>
    <row r="488" spans="1:22" hidden="1">
      <c r="A488" s="786">
        <v>488</v>
      </c>
      <c r="B488" s="767"/>
      <c r="C488" s="767"/>
      <c r="D488" s="767"/>
      <c r="E488" s="767"/>
      <c r="F488" s="806"/>
      <c r="G488" s="778"/>
      <c r="H488" s="788"/>
      <c r="I488" s="788"/>
      <c r="J488" s="788"/>
      <c r="K488" s="788"/>
      <c r="L488" s="788"/>
      <c r="M488" s="788"/>
      <c r="N488" s="788"/>
      <c r="O488" s="788"/>
      <c r="P488" s="772"/>
      <c r="R488" s="774"/>
    </row>
    <row r="489" spans="1:22" hidden="1">
      <c r="A489" s="786">
        <v>489</v>
      </c>
      <c r="B489" s="767"/>
      <c r="C489" s="767" t="s">
        <v>896</v>
      </c>
      <c r="D489" s="767" t="s">
        <v>871</v>
      </c>
      <c r="E489" s="767"/>
      <c r="F489" s="806" t="s">
        <v>1405</v>
      </c>
      <c r="G489" s="778"/>
      <c r="H489" s="788">
        <v>5771571.5869806986</v>
      </c>
      <c r="I489" s="788">
        <v>3278369.3040140495</v>
      </c>
      <c r="J489" s="788">
        <v>901516.36238645797</v>
      </c>
      <c r="K489" s="788">
        <v>942734.24831298308</v>
      </c>
      <c r="L489" s="788">
        <v>394101.00560812943</v>
      </c>
      <c r="M489" s="788">
        <v>0</v>
      </c>
      <c r="N489" s="788">
        <v>245247.78171595241</v>
      </c>
      <c r="O489" s="788">
        <v>9602.8849431256676</v>
      </c>
      <c r="P489" s="772">
        <v>0</v>
      </c>
      <c r="Q489" s="774"/>
      <c r="R489" s="774">
        <v>634</v>
      </c>
      <c r="S489" s="774"/>
      <c r="T489" s="774"/>
      <c r="U489" s="774"/>
      <c r="V489" s="774"/>
    </row>
    <row r="490" spans="1:22" hidden="1">
      <c r="A490" s="786">
        <v>490</v>
      </c>
      <c r="B490" s="767"/>
      <c r="C490" s="767"/>
      <c r="D490" s="767"/>
      <c r="E490" s="767"/>
      <c r="F490" s="806"/>
      <c r="G490" s="778"/>
      <c r="H490" s="788"/>
      <c r="I490" s="788"/>
      <c r="J490" s="788"/>
      <c r="K490" s="788"/>
      <c r="L490" s="788"/>
      <c r="M490" s="788"/>
      <c r="N490" s="788"/>
      <c r="O490" s="788"/>
      <c r="P490" s="772"/>
      <c r="R490" s="774"/>
    </row>
    <row r="491" spans="1:22" hidden="1">
      <c r="A491" s="786">
        <v>491</v>
      </c>
      <c r="B491" s="767"/>
      <c r="C491" s="767" t="s">
        <v>897</v>
      </c>
      <c r="D491" s="767" t="s">
        <v>873</v>
      </c>
      <c r="E491" s="767"/>
      <c r="F491" s="806" t="s">
        <v>1406</v>
      </c>
      <c r="G491" s="778"/>
      <c r="H491" s="788">
        <v>1202186.066849133</v>
      </c>
      <c r="I491" s="788">
        <v>807059.46406862838</v>
      </c>
      <c r="J491" s="788">
        <v>184403.27992781153</v>
      </c>
      <c r="K491" s="788">
        <v>132999.1176246074</v>
      </c>
      <c r="L491" s="788">
        <v>50992.125053472606</v>
      </c>
      <c r="M491" s="788">
        <v>0</v>
      </c>
      <c r="N491" s="788">
        <v>24819.904329002085</v>
      </c>
      <c r="O491" s="788">
        <v>1912.1758456108562</v>
      </c>
      <c r="P491" s="772">
        <v>0</v>
      </c>
      <c r="Q491" s="774"/>
      <c r="R491" s="774">
        <v>639</v>
      </c>
      <c r="S491" s="774"/>
      <c r="T491" s="774"/>
      <c r="U491" s="774"/>
      <c r="V491" s="774"/>
    </row>
    <row r="492" spans="1:22" hidden="1">
      <c r="A492" s="786">
        <v>492</v>
      </c>
      <c r="B492" s="767"/>
      <c r="C492" s="767"/>
      <c r="D492" s="767"/>
      <c r="E492" s="767"/>
      <c r="F492" s="806"/>
      <c r="G492" s="778"/>
      <c r="H492" s="788"/>
      <c r="I492" s="788"/>
      <c r="J492" s="788"/>
      <c r="K492" s="788"/>
      <c r="L492" s="788"/>
      <c r="M492" s="788"/>
      <c r="N492" s="788"/>
      <c r="O492" s="788"/>
      <c r="P492" s="772"/>
      <c r="R492" s="774"/>
    </row>
    <row r="493" spans="1:22" hidden="1">
      <c r="A493" s="786">
        <v>493</v>
      </c>
      <c r="B493" s="767"/>
      <c r="C493" s="767" t="s">
        <v>898</v>
      </c>
      <c r="D493" s="767" t="s">
        <v>899</v>
      </c>
      <c r="E493" s="767"/>
      <c r="F493" s="806" t="s">
        <v>1407</v>
      </c>
      <c r="G493" s="778"/>
      <c r="H493" s="788">
        <v>61697.016684288443</v>
      </c>
      <c r="I493" s="788">
        <v>33101.5766829067</v>
      </c>
      <c r="J493" s="788">
        <v>14782.649533391676</v>
      </c>
      <c r="K493" s="788">
        <v>5384.2303623019598</v>
      </c>
      <c r="L493" s="788">
        <v>656.39749448341649</v>
      </c>
      <c r="M493" s="788">
        <v>0</v>
      </c>
      <c r="N493" s="788">
        <v>7644.6262620599446</v>
      </c>
      <c r="O493" s="788">
        <v>127.53634914474263</v>
      </c>
      <c r="P493" s="772">
        <v>0</v>
      </c>
      <c r="Q493" s="774"/>
      <c r="R493" s="774">
        <v>644</v>
      </c>
      <c r="S493" s="774"/>
      <c r="T493" s="774"/>
      <c r="U493" s="774"/>
      <c r="V493" s="774"/>
    </row>
    <row r="494" spans="1:22" hidden="1">
      <c r="A494" s="786">
        <v>494</v>
      </c>
      <c r="B494" s="767"/>
      <c r="C494" s="767"/>
      <c r="D494" s="767"/>
      <c r="E494" s="767"/>
      <c r="F494" s="806"/>
      <c r="G494" s="778"/>
      <c r="H494" s="788"/>
      <c r="I494" s="788"/>
      <c r="J494" s="788"/>
      <c r="K494" s="788"/>
      <c r="L494" s="788"/>
      <c r="M494" s="788"/>
      <c r="N494" s="788"/>
      <c r="O494" s="788"/>
      <c r="P494" s="772"/>
      <c r="R494" s="774"/>
    </row>
    <row r="495" spans="1:22" hidden="1">
      <c r="A495" s="786">
        <v>495</v>
      </c>
      <c r="B495" s="767"/>
      <c r="C495" s="767" t="s">
        <v>900</v>
      </c>
      <c r="D495" s="767" t="s">
        <v>901</v>
      </c>
      <c r="E495" s="767"/>
      <c r="F495" s="806" t="s">
        <v>1402</v>
      </c>
      <c r="G495" s="778"/>
      <c r="H495" s="788">
        <v>140544.63</v>
      </c>
      <c r="I495" s="788">
        <v>0</v>
      </c>
      <c r="J495" s="788">
        <v>0</v>
      </c>
      <c r="K495" s="788">
        <v>0</v>
      </c>
      <c r="L495" s="788">
        <v>0</v>
      </c>
      <c r="M495" s="788">
        <v>0</v>
      </c>
      <c r="N495" s="788">
        <v>0</v>
      </c>
      <c r="O495" s="788">
        <v>140544.63</v>
      </c>
      <c r="P495" s="772">
        <v>0</v>
      </c>
      <c r="Q495" s="774"/>
      <c r="R495" s="774">
        <v>649</v>
      </c>
      <c r="S495" s="774"/>
      <c r="T495" s="774"/>
      <c r="U495" s="774"/>
      <c r="V495" s="774"/>
    </row>
    <row r="496" spans="1:22" hidden="1">
      <c r="A496" s="786">
        <v>496</v>
      </c>
      <c r="B496" s="767"/>
      <c r="C496" s="767"/>
      <c r="D496" s="767"/>
      <c r="E496" s="767"/>
      <c r="F496" s="806"/>
      <c r="G496" s="778"/>
      <c r="H496" s="788"/>
      <c r="I496" s="788"/>
      <c r="J496" s="788"/>
      <c r="K496" s="788"/>
      <c r="L496" s="788"/>
      <c r="M496" s="788"/>
      <c r="N496" s="788"/>
      <c r="O496" s="788"/>
      <c r="P496" s="772"/>
      <c r="R496" s="774"/>
    </row>
    <row r="497" spans="1:22" hidden="1">
      <c r="A497" s="786">
        <v>497</v>
      </c>
      <c r="B497" s="767"/>
      <c r="C497" s="767" t="s">
        <v>902</v>
      </c>
      <c r="D497" s="767" t="s">
        <v>903</v>
      </c>
      <c r="E497" s="767"/>
      <c r="F497" s="806" t="s">
        <v>1403</v>
      </c>
      <c r="G497" s="778"/>
      <c r="H497" s="788">
        <v>14958.516302110911</v>
      </c>
      <c r="I497" s="788">
        <v>10074.127496749879</v>
      </c>
      <c r="J497" s="788">
        <v>2591.49378173181</v>
      </c>
      <c r="K497" s="788">
        <v>1131.1749438090346</v>
      </c>
      <c r="L497" s="788">
        <v>198.5508589258406</v>
      </c>
      <c r="M497" s="788">
        <v>116.56858820708443</v>
      </c>
      <c r="N497" s="788">
        <v>846.60063268726321</v>
      </c>
      <c r="O497" s="788">
        <v>0</v>
      </c>
      <c r="P497" s="772">
        <v>0</v>
      </c>
      <c r="Q497" s="774"/>
      <c r="R497" s="774">
        <v>654</v>
      </c>
      <c r="S497" s="774"/>
      <c r="T497" s="774"/>
      <c r="U497" s="774"/>
      <c r="V497" s="774"/>
    </row>
    <row r="498" spans="1:22" hidden="1">
      <c r="A498" s="786">
        <v>498</v>
      </c>
      <c r="B498" s="767"/>
      <c r="C498" s="767"/>
      <c r="D498" s="767"/>
      <c r="E498" s="767"/>
      <c r="F498" s="806"/>
      <c r="G498" s="778"/>
      <c r="H498" s="788"/>
      <c r="I498" s="788"/>
      <c r="J498" s="788"/>
      <c r="K498" s="788"/>
      <c r="L498" s="788"/>
      <c r="M498" s="788"/>
      <c r="N498" s="788"/>
      <c r="O498" s="788"/>
      <c r="P498" s="772"/>
      <c r="R498" s="774"/>
    </row>
    <row r="499" spans="1:22" hidden="1">
      <c r="A499" s="786">
        <v>499</v>
      </c>
      <c r="B499" s="767"/>
      <c r="C499" s="767" t="s">
        <v>904</v>
      </c>
      <c r="D499" s="767" t="s">
        <v>905</v>
      </c>
      <c r="E499" s="767"/>
      <c r="F499" s="806" t="s">
        <v>1397</v>
      </c>
      <c r="G499" s="778"/>
      <c r="H499" s="808">
        <v>346338.31724496215</v>
      </c>
      <c r="I499" s="808">
        <v>185605.50014749402</v>
      </c>
      <c r="J499" s="808">
        <v>51111.235102412807</v>
      </c>
      <c r="K499" s="808">
        <v>57001.567649623634</v>
      </c>
      <c r="L499" s="808">
        <v>23586.284008485258</v>
      </c>
      <c r="M499" s="808">
        <v>8199.9731229169065</v>
      </c>
      <c r="N499" s="808">
        <v>15254.986723830576</v>
      </c>
      <c r="O499" s="808">
        <v>5578.7704901989628</v>
      </c>
      <c r="P499" s="772">
        <v>0</v>
      </c>
      <c r="Q499" s="774"/>
      <c r="R499" s="774">
        <v>659</v>
      </c>
      <c r="S499" s="774"/>
      <c r="T499" s="774"/>
      <c r="U499" s="774"/>
      <c r="V499" s="774"/>
    </row>
    <row r="500" spans="1:22" hidden="1">
      <c r="A500" s="786">
        <v>500</v>
      </c>
      <c r="B500" s="767"/>
      <c r="C500" s="767"/>
      <c r="D500" s="767"/>
      <c r="E500" s="767"/>
      <c r="F500" s="806"/>
      <c r="G500" s="778"/>
      <c r="H500" s="788"/>
      <c r="I500" s="788"/>
      <c r="J500" s="788"/>
      <c r="K500" s="788"/>
      <c r="L500" s="788"/>
      <c r="M500" s="788"/>
      <c r="N500" s="788"/>
      <c r="O500" s="788"/>
      <c r="P500" s="772"/>
      <c r="R500" s="774"/>
    </row>
    <row r="501" spans="1:22" hidden="1">
      <c r="A501" s="786">
        <v>501</v>
      </c>
      <c r="B501" s="767"/>
      <c r="C501" s="767" t="s">
        <v>906</v>
      </c>
      <c r="D501" s="767"/>
      <c r="E501" s="767"/>
      <c r="F501" s="806"/>
      <c r="G501" s="778"/>
      <c r="H501" s="788">
        <v>12374940.184378546</v>
      </c>
      <c r="I501" s="788">
        <v>6631830.3457955364</v>
      </c>
      <c r="J501" s="788">
        <v>1826244.5870079878</v>
      </c>
      <c r="K501" s="788">
        <v>2036710.7968044505</v>
      </c>
      <c r="L501" s="788">
        <v>842756.45876724005</v>
      </c>
      <c r="M501" s="788">
        <v>292991.48219235754</v>
      </c>
      <c r="N501" s="788">
        <v>545072.66109793435</v>
      </c>
      <c r="O501" s="788">
        <v>199333.85271303685</v>
      </c>
      <c r="P501" s="772">
        <v>0</v>
      </c>
      <c r="Q501" s="774"/>
      <c r="R501" s="774"/>
      <c r="S501" s="774"/>
      <c r="T501" s="774"/>
      <c r="U501" s="774"/>
      <c r="V501" s="774"/>
    </row>
    <row r="502" spans="1:22" hidden="1">
      <c r="A502" s="786">
        <v>502</v>
      </c>
      <c r="B502" s="767"/>
      <c r="C502" s="767"/>
      <c r="D502" s="767"/>
      <c r="E502" s="767"/>
      <c r="F502" s="806"/>
      <c r="G502" s="778"/>
      <c r="H502" s="788"/>
      <c r="I502" s="788"/>
      <c r="J502" s="788"/>
      <c r="K502" s="788"/>
      <c r="L502" s="788"/>
      <c r="M502" s="788"/>
      <c r="N502" s="788"/>
      <c r="O502" s="788"/>
      <c r="P502" s="772"/>
      <c r="R502" s="774"/>
    </row>
    <row r="503" spans="1:22" hidden="1">
      <c r="A503" s="786">
        <v>503</v>
      </c>
      <c r="B503" s="767"/>
      <c r="C503" s="767"/>
      <c r="D503" s="767"/>
      <c r="E503" s="767"/>
      <c r="F503" s="806"/>
      <c r="G503" s="778"/>
      <c r="H503" s="788"/>
      <c r="I503" s="788"/>
      <c r="J503" s="788"/>
      <c r="K503" s="788"/>
      <c r="L503" s="788"/>
      <c r="M503" s="788"/>
      <c r="N503" s="788"/>
      <c r="O503" s="788"/>
      <c r="P503" s="772"/>
      <c r="R503" s="774"/>
    </row>
    <row r="504" spans="1:22" hidden="1">
      <c r="A504" s="786">
        <v>504</v>
      </c>
      <c r="B504" s="767"/>
      <c r="D504" s="795"/>
      <c r="E504" s="795"/>
      <c r="F504" s="806"/>
      <c r="H504" s="817" t="s">
        <v>907</v>
      </c>
      <c r="I504" s="817"/>
      <c r="J504" s="817"/>
      <c r="K504" s="817"/>
      <c r="L504" s="817"/>
      <c r="M504" s="817"/>
      <c r="N504" s="817"/>
      <c r="O504" s="817"/>
      <c r="P504" s="772"/>
      <c r="R504" s="774"/>
    </row>
    <row r="505" spans="1:22" hidden="1">
      <c r="A505" s="786">
        <v>505</v>
      </c>
      <c r="B505" s="767"/>
      <c r="C505" s="767"/>
      <c r="D505" s="767"/>
      <c r="E505" s="767"/>
      <c r="F505" s="806"/>
      <c r="G505" s="778"/>
      <c r="H505" s="788"/>
      <c r="I505" s="788"/>
      <c r="J505" s="788"/>
      <c r="K505" s="788"/>
      <c r="L505" s="788"/>
      <c r="M505" s="788"/>
      <c r="N505" s="788"/>
      <c r="O505" s="788"/>
      <c r="P505" s="772"/>
      <c r="R505" s="774"/>
    </row>
    <row r="506" spans="1:22" hidden="1">
      <c r="A506" s="786">
        <v>506</v>
      </c>
      <c r="B506" s="767"/>
      <c r="C506" s="767"/>
      <c r="D506" s="767"/>
      <c r="E506" s="767"/>
      <c r="F506" s="806"/>
      <c r="G506" s="778"/>
      <c r="H506" s="788"/>
      <c r="I506" s="788"/>
      <c r="J506" s="788"/>
      <c r="K506" s="788"/>
      <c r="L506" s="788"/>
      <c r="M506" s="788"/>
      <c r="N506" s="788"/>
      <c r="O506" s="788"/>
      <c r="P506" s="772"/>
      <c r="R506" s="774"/>
    </row>
    <row r="507" spans="1:22" hidden="1">
      <c r="A507" s="786">
        <v>507</v>
      </c>
      <c r="B507" s="767"/>
      <c r="C507" s="767" t="s">
        <v>908</v>
      </c>
      <c r="D507" s="767" t="s">
        <v>909</v>
      </c>
      <c r="E507" s="767"/>
      <c r="F507" s="806" t="s">
        <v>1408</v>
      </c>
      <c r="G507" s="778"/>
      <c r="H507" s="788">
        <v>186536.21136434379</v>
      </c>
      <c r="I507" s="788">
        <v>149840.80176561468</v>
      </c>
      <c r="J507" s="788">
        <v>23288.771247965997</v>
      </c>
      <c r="K507" s="788">
        <v>5374.3558914192599</v>
      </c>
      <c r="L507" s="788">
        <v>1932.2836372789102</v>
      </c>
      <c r="M507" s="788">
        <v>1401.0338596532299</v>
      </c>
      <c r="N507" s="788">
        <v>2420.9942753267146</v>
      </c>
      <c r="O507" s="788">
        <v>2277.9706870849755</v>
      </c>
      <c r="P507" s="772">
        <v>0</v>
      </c>
      <c r="Q507" s="774"/>
      <c r="R507" s="774">
        <v>666</v>
      </c>
      <c r="S507" s="774"/>
      <c r="T507" s="774"/>
      <c r="U507" s="774"/>
      <c r="V507" s="774"/>
    </row>
    <row r="508" spans="1:22" hidden="1">
      <c r="A508" s="786">
        <v>508</v>
      </c>
      <c r="B508" s="767"/>
      <c r="C508" s="767"/>
      <c r="D508" s="767"/>
      <c r="E508" s="767"/>
      <c r="F508" s="806"/>
      <c r="G508" s="778"/>
      <c r="H508" s="788"/>
      <c r="I508" s="788"/>
      <c r="J508" s="788"/>
      <c r="K508" s="788"/>
      <c r="L508" s="788"/>
      <c r="M508" s="788"/>
      <c r="N508" s="788"/>
      <c r="O508" s="788"/>
      <c r="P508" s="772"/>
      <c r="R508" s="774"/>
    </row>
    <row r="509" spans="1:22" hidden="1">
      <c r="A509" s="786">
        <v>509</v>
      </c>
      <c r="B509" s="767"/>
      <c r="C509" s="767" t="s">
        <v>910</v>
      </c>
      <c r="D509" s="767" t="s">
        <v>911</v>
      </c>
      <c r="E509" s="767"/>
      <c r="F509" s="806" t="s">
        <v>1409</v>
      </c>
      <c r="G509" s="778"/>
      <c r="H509" s="788">
        <v>694034.80347068934</v>
      </c>
      <c r="I509" s="788">
        <v>565490.71958746191</v>
      </c>
      <c r="J509" s="788">
        <v>105043.14405123804</v>
      </c>
      <c r="K509" s="788">
        <v>7316.3434196561102</v>
      </c>
      <c r="L509" s="788">
        <v>2799.8192956276075</v>
      </c>
      <c r="M509" s="788">
        <v>619.40840051579573</v>
      </c>
      <c r="N509" s="788">
        <v>12765.368716189862</v>
      </c>
      <c r="O509" s="788">
        <v>0</v>
      </c>
      <c r="P509" s="772">
        <v>0</v>
      </c>
      <c r="Q509" s="774"/>
      <c r="R509" s="774">
        <v>671</v>
      </c>
      <c r="S509" s="774"/>
      <c r="T509" s="774"/>
      <c r="U509" s="774"/>
      <c r="V509" s="774"/>
    </row>
    <row r="510" spans="1:22" hidden="1">
      <c r="A510" s="786">
        <v>510</v>
      </c>
      <c r="B510" s="767"/>
      <c r="C510" s="767"/>
      <c r="D510" s="767"/>
      <c r="E510" s="767"/>
      <c r="F510" s="806"/>
      <c r="G510" s="778"/>
      <c r="H510" s="788"/>
      <c r="I510" s="788"/>
      <c r="J510" s="788"/>
      <c r="K510" s="788"/>
      <c r="L510" s="788"/>
      <c r="M510" s="788"/>
      <c r="N510" s="788"/>
      <c r="O510" s="788"/>
      <c r="P510" s="772"/>
      <c r="R510" s="774"/>
    </row>
    <row r="511" spans="1:22" hidden="1">
      <c r="A511" s="786">
        <v>511</v>
      </c>
      <c r="B511" s="767"/>
      <c r="C511" s="767" t="s">
        <v>912</v>
      </c>
      <c r="D511" s="767" t="s">
        <v>913</v>
      </c>
      <c r="E511" s="767"/>
      <c r="F511" s="806" t="s">
        <v>1410</v>
      </c>
      <c r="G511" s="778"/>
      <c r="H511" s="788">
        <v>4463687.8988864422</v>
      </c>
      <c r="I511" s="788">
        <v>3639606.4155410551</v>
      </c>
      <c r="J511" s="788">
        <v>631734.16036057053</v>
      </c>
      <c r="K511" s="788">
        <v>36768.3588511173</v>
      </c>
      <c r="L511" s="788">
        <v>9407.0394660471411</v>
      </c>
      <c r="M511" s="788">
        <v>145.89698149667748</v>
      </c>
      <c r="N511" s="788">
        <v>61828.207787977059</v>
      </c>
      <c r="O511" s="788">
        <v>84197.819898177753</v>
      </c>
      <c r="P511" s="772">
        <v>0</v>
      </c>
      <c r="Q511" s="774"/>
      <c r="R511" s="774">
        <v>676</v>
      </c>
      <c r="S511" s="774"/>
      <c r="T511" s="774"/>
      <c r="U511" s="774"/>
      <c r="V511" s="774"/>
    </row>
    <row r="512" spans="1:22" hidden="1">
      <c r="A512" s="786">
        <v>512</v>
      </c>
      <c r="B512" s="767"/>
      <c r="C512" s="767"/>
      <c r="D512" s="767"/>
      <c r="E512" s="767"/>
      <c r="F512" s="806"/>
      <c r="G512" s="778"/>
      <c r="H512" s="788"/>
      <c r="I512" s="788"/>
      <c r="J512" s="788"/>
      <c r="K512" s="788"/>
      <c r="L512" s="788"/>
      <c r="M512" s="788"/>
      <c r="N512" s="788"/>
      <c r="O512" s="788"/>
      <c r="P512" s="772"/>
      <c r="R512" s="774"/>
    </row>
    <row r="513" spans="1:22" hidden="1">
      <c r="A513" s="786">
        <v>513</v>
      </c>
      <c r="B513" s="767"/>
      <c r="C513" s="767" t="s">
        <v>914</v>
      </c>
      <c r="D513" s="767" t="s">
        <v>915</v>
      </c>
      <c r="E513" s="767"/>
      <c r="F513" s="806" t="s">
        <v>638</v>
      </c>
      <c r="G513" s="778"/>
      <c r="H513" s="788">
        <v>1736985.1259695257</v>
      </c>
      <c r="I513" s="788">
        <v>1333283.5437749038</v>
      </c>
      <c r="J513" s="788">
        <v>124016.81304689193</v>
      </c>
      <c r="K513" s="788">
        <v>154560.98354948024</v>
      </c>
      <c r="L513" s="788">
        <v>59213.757230534677</v>
      </c>
      <c r="M513" s="788">
        <v>51019.380547061148</v>
      </c>
      <c r="N513" s="788">
        <v>14890.647820653856</v>
      </c>
      <c r="O513" s="788">
        <v>0</v>
      </c>
      <c r="P513" s="772">
        <v>0</v>
      </c>
      <c r="Q513" s="774"/>
      <c r="R513" s="774">
        <v>682</v>
      </c>
      <c r="S513" s="774"/>
      <c r="T513" s="774"/>
      <c r="U513" s="774"/>
      <c r="V513" s="774"/>
    </row>
    <row r="514" spans="1:22" hidden="1">
      <c r="A514" s="786">
        <v>514</v>
      </c>
      <c r="B514" s="767"/>
      <c r="C514" s="767"/>
      <c r="D514" s="767"/>
      <c r="E514" s="767"/>
      <c r="F514" s="806"/>
      <c r="G514" s="778"/>
      <c r="H514" s="788"/>
      <c r="I514" s="788"/>
      <c r="J514" s="788"/>
      <c r="K514" s="788"/>
      <c r="L514" s="788"/>
      <c r="M514" s="788"/>
      <c r="N514" s="788"/>
      <c r="O514" s="788"/>
      <c r="P514" s="772"/>
      <c r="R514" s="774"/>
    </row>
    <row r="515" spans="1:22" hidden="1">
      <c r="A515" s="786">
        <v>515</v>
      </c>
      <c r="B515" s="767"/>
      <c r="C515" s="767" t="s">
        <v>916</v>
      </c>
      <c r="D515" s="767" t="s">
        <v>917</v>
      </c>
      <c r="E515" s="767"/>
      <c r="F515" s="806" t="s">
        <v>1408</v>
      </c>
      <c r="G515" s="778"/>
      <c r="H515" s="808">
        <v>21765.768565043971</v>
      </c>
      <c r="I515" s="808">
        <v>17484.005861257749</v>
      </c>
      <c r="J515" s="808">
        <v>2717.4241475152594</v>
      </c>
      <c r="K515" s="808">
        <v>627.10068818934008</v>
      </c>
      <c r="L515" s="808">
        <v>225.46634856267596</v>
      </c>
      <c r="M515" s="808">
        <v>163.4780642212159</v>
      </c>
      <c r="N515" s="808">
        <v>282.49100112328205</v>
      </c>
      <c r="O515" s="808">
        <v>265.8024541744461</v>
      </c>
      <c r="P515" s="772">
        <v>0</v>
      </c>
      <c r="Q515" s="774"/>
      <c r="R515" s="774">
        <v>687</v>
      </c>
      <c r="S515" s="774"/>
      <c r="T515" s="774"/>
      <c r="U515" s="774"/>
      <c r="V515" s="774"/>
    </row>
    <row r="516" spans="1:22" hidden="1">
      <c r="A516" s="786">
        <v>516</v>
      </c>
      <c r="B516" s="767"/>
      <c r="C516" s="767"/>
      <c r="D516" s="767"/>
      <c r="E516" s="767"/>
      <c r="F516" s="806"/>
      <c r="G516" s="778"/>
      <c r="H516" s="788"/>
      <c r="I516" s="788"/>
      <c r="J516" s="788"/>
      <c r="K516" s="788"/>
      <c r="L516" s="788"/>
      <c r="M516" s="788"/>
      <c r="N516" s="788"/>
      <c r="O516" s="788"/>
      <c r="P516" s="772"/>
      <c r="R516" s="774"/>
    </row>
    <row r="517" spans="1:22" hidden="1">
      <c r="A517" s="786">
        <v>517</v>
      </c>
      <c r="B517" s="767"/>
      <c r="C517" s="767" t="s">
        <v>918</v>
      </c>
      <c r="D517" s="767"/>
      <c r="E517" s="767"/>
      <c r="F517" s="806"/>
      <c r="G517" s="778"/>
      <c r="H517" s="808">
        <v>7103009.808256045</v>
      </c>
      <c r="I517" s="808">
        <v>5705705.4865302937</v>
      </c>
      <c r="J517" s="808">
        <v>886800.31285418174</v>
      </c>
      <c r="K517" s="808">
        <v>204647.14239986223</v>
      </c>
      <c r="L517" s="808">
        <v>73578.365978051021</v>
      </c>
      <c r="M517" s="808">
        <v>53349.197852948062</v>
      </c>
      <c r="N517" s="808">
        <v>92187.709601270777</v>
      </c>
      <c r="O517" s="808">
        <v>86741.593039437183</v>
      </c>
      <c r="P517" s="772">
        <v>0</v>
      </c>
      <c r="Q517" s="774"/>
      <c r="R517" s="774"/>
      <c r="S517" s="774"/>
      <c r="T517" s="774"/>
      <c r="U517" s="774"/>
      <c r="V517" s="774"/>
    </row>
    <row r="518" spans="1:22" hidden="1">
      <c r="A518" s="786">
        <v>518</v>
      </c>
      <c r="B518" s="767"/>
      <c r="C518" s="767"/>
      <c r="D518" s="767"/>
      <c r="E518" s="767"/>
      <c r="F518" s="806"/>
      <c r="H518" s="817"/>
      <c r="I518" s="817"/>
      <c r="J518" s="817"/>
      <c r="K518" s="817"/>
      <c r="L518" s="817"/>
      <c r="M518" s="817"/>
      <c r="N518" s="817"/>
      <c r="O518" s="817"/>
      <c r="P518" s="772"/>
      <c r="R518" s="774"/>
    </row>
    <row r="519" spans="1:22" hidden="1">
      <c r="A519" s="786">
        <v>519</v>
      </c>
      <c r="B519" s="767"/>
      <c r="C519" s="781" t="s">
        <v>714</v>
      </c>
      <c r="D519" s="767"/>
      <c r="E519" s="767"/>
      <c r="F519" s="806"/>
      <c r="G519" s="778"/>
      <c r="H519" s="817" t="s">
        <v>919</v>
      </c>
      <c r="I519" s="817"/>
      <c r="J519" s="817"/>
      <c r="K519" s="817"/>
      <c r="L519" s="817"/>
      <c r="M519" s="817"/>
      <c r="N519" s="817"/>
      <c r="O519" s="817"/>
      <c r="P519" s="772"/>
      <c r="R519" s="774"/>
    </row>
    <row r="520" spans="1:22" hidden="1">
      <c r="A520" s="786">
        <v>520</v>
      </c>
      <c r="B520" s="767"/>
      <c r="C520" s="767"/>
      <c r="D520" s="767"/>
      <c r="E520" s="767"/>
      <c r="F520" s="806"/>
      <c r="G520" s="778"/>
      <c r="H520" s="810"/>
      <c r="I520" s="810"/>
      <c r="J520" s="810"/>
      <c r="K520" s="810"/>
      <c r="L520" s="810"/>
      <c r="M520" s="810"/>
      <c r="N520" s="810"/>
      <c r="O520" s="810"/>
      <c r="P520" s="772"/>
      <c r="R520" s="774"/>
    </row>
    <row r="521" spans="1:22" hidden="1">
      <c r="A521" s="786">
        <v>521</v>
      </c>
      <c r="B521" s="767"/>
      <c r="C521" s="777" t="s">
        <v>575</v>
      </c>
      <c r="D521" s="767"/>
      <c r="E521" s="777" t="s">
        <v>576</v>
      </c>
      <c r="F521" s="806" t="s">
        <v>577</v>
      </c>
      <c r="G521" s="778"/>
      <c r="H521" s="777" t="s">
        <v>578</v>
      </c>
      <c r="I521" s="777" t="s">
        <v>579</v>
      </c>
      <c r="J521" s="777" t="s">
        <v>580</v>
      </c>
      <c r="K521" s="777" t="s">
        <v>581</v>
      </c>
      <c r="L521" s="777" t="s">
        <v>582</v>
      </c>
      <c r="M521" s="777" t="s">
        <v>583</v>
      </c>
      <c r="N521" s="777" t="s">
        <v>584</v>
      </c>
      <c r="O521" s="777" t="s">
        <v>585</v>
      </c>
      <c r="P521" s="772"/>
      <c r="R521" s="774"/>
    </row>
    <row r="522" spans="1:22" ht="38.25" hidden="1">
      <c r="A522" s="786">
        <v>522</v>
      </c>
      <c r="B522" s="767"/>
      <c r="C522" s="797" t="s">
        <v>656</v>
      </c>
      <c r="D522" s="781"/>
      <c r="E522" s="782" t="s">
        <v>587</v>
      </c>
      <c r="F522" s="806" t="s">
        <v>1391</v>
      </c>
      <c r="G522" s="783"/>
      <c r="H522" s="784" t="s">
        <v>588</v>
      </c>
      <c r="I522" s="784" t="s">
        <v>589</v>
      </c>
      <c r="J522" s="784" t="s">
        <v>590</v>
      </c>
      <c r="K522" s="784" t="s">
        <v>591</v>
      </c>
      <c r="L522" s="784" t="s">
        <v>592</v>
      </c>
      <c r="M522" s="784" t="s">
        <v>593</v>
      </c>
      <c r="N522" s="784" t="s">
        <v>594</v>
      </c>
      <c r="O522" s="784" t="s">
        <v>595</v>
      </c>
      <c r="P522" s="772"/>
      <c r="R522" s="774"/>
    </row>
    <row r="523" spans="1:22" hidden="1">
      <c r="A523" s="786">
        <v>523</v>
      </c>
      <c r="B523" s="767"/>
      <c r="C523" s="767" t="s">
        <v>920</v>
      </c>
      <c r="D523" s="767" t="s">
        <v>909</v>
      </c>
      <c r="E523" s="767"/>
      <c r="F523" s="806" t="s">
        <v>1395</v>
      </c>
      <c r="G523" s="778"/>
      <c r="H523" s="788">
        <v>11.432061146930687</v>
      </c>
      <c r="I523" s="788">
        <v>9.0031767302173336</v>
      </c>
      <c r="J523" s="788">
        <v>1.6645474081039533</v>
      </c>
      <c r="K523" s="788">
        <v>8.9882828664664072E-2</v>
      </c>
      <c r="L523" s="788">
        <v>5.3854891356287082E-3</v>
      </c>
      <c r="M523" s="788">
        <v>8.3525386664668001E-5</v>
      </c>
      <c r="N523" s="788">
        <v>0.42896104594374213</v>
      </c>
      <c r="O523" s="788">
        <v>0.24002411947870098</v>
      </c>
      <c r="P523" s="772">
        <v>0</v>
      </c>
      <c r="Q523" s="774"/>
      <c r="R523" s="774">
        <v>694</v>
      </c>
      <c r="S523" s="774"/>
      <c r="T523" s="774"/>
      <c r="U523" s="774"/>
      <c r="V523" s="774"/>
    </row>
    <row r="524" spans="1:22" hidden="1">
      <c r="A524" s="786">
        <v>524</v>
      </c>
      <c r="B524" s="767"/>
      <c r="C524" s="767"/>
      <c r="D524" s="767"/>
      <c r="E524" s="767"/>
      <c r="F524" s="806"/>
      <c r="G524" s="778"/>
      <c r="H524" s="788"/>
      <c r="I524" s="788"/>
      <c r="J524" s="788"/>
      <c r="K524" s="788"/>
      <c r="L524" s="788"/>
      <c r="M524" s="788"/>
      <c r="N524" s="788"/>
      <c r="O524" s="788"/>
      <c r="P524" s="772"/>
      <c r="R524" s="774"/>
    </row>
    <row r="525" spans="1:22" hidden="1">
      <c r="A525" s="786">
        <v>525</v>
      </c>
      <c r="B525" s="767"/>
      <c r="C525" s="767" t="s">
        <v>921</v>
      </c>
      <c r="D525" s="767" t="s">
        <v>922</v>
      </c>
      <c r="E525" s="767"/>
      <c r="F525" s="806" t="s">
        <v>1395</v>
      </c>
      <c r="G525" s="778"/>
      <c r="H525" s="788">
        <v>574192.51089629158</v>
      </c>
      <c r="I525" s="788">
        <v>452198.1282574308</v>
      </c>
      <c r="J525" s="788">
        <v>83604.40374496521</v>
      </c>
      <c r="K525" s="788">
        <v>4514.5006149027686</v>
      </c>
      <c r="L525" s="788">
        <v>270.49431326927242</v>
      </c>
      <c r="M525" s="788">
        <v>4.1951885032950242</v>
      </c>
      <c r="N525" s="788">
        <v>21545.215414918053</v>
      </c>
      <c r="O525" s="788">
        <v>12055.573362302137</v>
      </c>
      <c r="P525" s="772">
        <v>0</v>
      </c>
      <c r="Q525" s="774"/>
      <c r="R525" s="774">
        <v>699</v>
      </c>
      <c r="S525" s="774"/>
      <c r="T525" s="774"/>
      <c r="U525" s="774"/>
      <c r="V525" s="774"/>
    </row>
    <row r="526" spans="1:22" hidden="1">
      <c r="A526" s="786">
        <v>526</v>
      </c>
      <c r="B526" s="767"/>
      <c r="C526" s="767"/>
      <c r="D526" s="767"/>
      <c r="E526" s="767"/>
      <c r="F526" s="806"/>
      <c r="G526" s="778"/>
      <c r="H526" s="788"/>
      <c r="I526" s="788"/>
      <c r="J526" s="788"/>
      <c r="K526" s="788"/>
      <c r="L526" s="788"/>
      <c r="M526" s="788"/>
      <c r="N526" s="788"/>
      <c r="O526" s="788"/>
      <c r="P526" s="772"/>
      <c r="R526" s="774"/>
    </row>
    <row r="527" spans="1:22" hidden="1">
      <c r="A527" s="786">
        <v>527</v>
      </c>
      <c r="B527" s="767"/>
      <c r="C527" s="767" t="s">
        <v>923</v>
      </c>
      <c r="D527" s="767" t="s">
        <v>924</v>
      </c>
      <c r="E527" s="767"/>
      <c r="F527" s="806" t="s">
        <v>1395</v>
      </c>
      <c r="G527" s="778"/>
      <c r="H527" s="788">
        <v>462371.22104723571</v>
      </c>
      <c r="I527" s="788">
        <v>364134.67042837595</v>
      </c>
      <c r="J527" s="788">
        <v>67322.839484870245</v>
      </c>
      <c r="K527" s="788">
        <v>3635.3228614437694</v>
      </c>
      <c r="L527" s="788">
        <v>217.81681846985362</v>
      </c>
      <c r="M527" s="788">
        <v>3.378195281167979</v>
      </c>
      <c r="N527" s="788">
        <v>17349.386085811664</v>
      </c>
      <c r="O527" s="788">
        <v>9707.8071729830499</v>
      </c>
      <c r="P527" s="772">
        <v>0</v>
      </c>
      <c r="Q527" s="774"/>
      <c r="R527" s="774">
        <v>705</v>
      </c>
      <c r="S527" s="774"/>
      <c r="T527" s="774"/>
      <c r="U527" s="774"/>
      <c r="V527" s="774"/>
    </row>
    <row r="528" spans="1:22" hidden="1">
      <c r="A528" s="786">
        <v>528</v>
      </c>
      <c r="B528" s="767"/>
      <c r="C528" s="767"/>
      <c r="D528" s="767"/>
      <c r="E528" s="767"/>
      <c r="F528" s="806"/>
      <c r="G528" s="778"/>
      <c r="H528" s="788"/>
      <c r="I528" s="788"/>
      <c r="J528" s="788"/>
      <c r="K528" s="788"/>
      <c r="L528" s="788"/>
      <c r="M528" s="788"/>
      <c r="N528" s="788"/>
      <c r="O528" s="788"/>
      <c r="P528" s="772"/>
      <c r="R528" s="774"/>
    </row>
    <row r="529" spans="1:22" hidden="1">
      <c r="A529" s="786">
        <v>529</v>
      </c>
      <c r="B529" s="767"/>
      <c r="C529" s="767" t="s">
        <v>925</v>
      </c>
      <c r="D529" s="767" t="s">
        <v>926</v>
      </c>
      <c r="E529" s="767"/>
      <c r="F529" s="806" t="s">
        <v>1395</v>
      </c>
      <c r="G529" s="778"/>
      <c r="H529" s="808">
        <v>1138.6954659693408</v>
      </c>
      <c r="I529" s="808">
        <v>896.76536805190256</v>
      </c>
      <c r="J529" s="808">
        <v>165.79797484794554</v>
      </c>
      <c r="K529" s="808">
        <v>8.9528185821881365</v>
      </c>
      <c r="L529" s="808">
        <v>0.53642400805510104</v>
      </c>
      <c r="M529" s="808">
        <v>8.3195827826663508E-3</v>
      </c>
      <c r="N529" s="808">
        <v>42.726853173344622</v>
      </c>
      <c r="O529" s="808">
        <v>23.907707723122208</v>
      </c>
      <c r="P529" s="772">
        <v>0</v>
      </c>
      <c r="Q529" s="774"/>
      <c r="R529" s="774">
        <v>710</v>
      </c>
      <c r="S529" s="774"/>
      <c r="T529" s="774"/>
      <c r="U529" s="774"/>
      <c r="V529" s="774"/>
    </row>
    <row r="530" spans="1:22" hidden="1">
      <c r="A530" s="786">
        <v>530</v>
      </c>
      <c r="B530" s="767"/>
      <c r="C530" s="767"/>
      <c r="D530" s="767"/>
      <c r="E530" s="767"/>
      <c r="F530" s="806"/>
      <c r="G530" s="778"/>
      <c r="H530" s="788"/>
      <c r="I530" s="788"/>
      <c r="J530" s="788"/>
      <c r="K530" s="788"/>
      <c r="L530" s="788"/>
      <c r="M530" s="788"/>
      <c r="N530" s="788"/>
      <c r="O530" s="788"/>
      <c r="P530" s="772"/>
      <c r="R530" s="774"/>
    </row>
    <row r="531" spans="1:22" hidden="1">
      <c r="A531" s="786">
        <v>531</v>
      </c>
      <c r="B531" s="767"/>
      <c r="C531" s="767" t="s">
        <v>927</v>
      </c>
      <c r="D531" s="767"/>
      <c r="E531" s="767"/>
      <c r="F531" s="806"/>
      <c r="G531" s="778"/>
      <c r="H531" s="788">
        <v>1037713.8594706436</v>
      </c>
      <c r="I531" s="788">
        <v>817238.56723058899</v>
      </c>
      <c r="J531" s="788">
        <v>151094.70575209151</v>
      </c>
      <c r="K531" s="788">
        <v>8158.8661777573907</v>
      </c>
      <c r="L531" s="788">
        <v>488.85294123631678</v>
      </c>
      <c r="M531" s="788">
        <v>7.5817868926323344</v>
      </c>
      <c r="N531" s="788">
        <v>38937.757314949005</v>
      </c>
      <c r="O531" s="788">
        <v>21787.528267127786</v>
      </c>
      <c r="P531" s="772">
        <v>0</v>
      </c>
      <c r="Q531" s="774"/>
      <c r="R531" s="774"/>
      <c r="S531" s="774"/>
      <c r="T531" s="774"/>
      <c r="U531" s="774"/>
      <c r="V531" s="774"/>
    </row>
    <row r="532" spans="1:22" hidden="1">
      <c r="A532" s="786">
        <v>532</v>
      </c>
      <c r="B532" s="767"/>
      <c r="C532" s="767"/>
      <c r="D532" s="767"/>
      <c r="E532" s="767"/>
      <c r="F532" s="806"/>
      <c r="G532" s="778"/>
      <c r="H532" s="810"/>
      <c r="I532" s="810"/>
      <c r="J532" s="810"/>
      <c r="K532" s="810"/>
      <c r="L532" s="810"/>
      <c r="M532" s="810"/>
      <c r="N532" s="810"/>
      <c r="O532" s="810"/>
      <c r="P532" s="772"/>
      <c r="R532" s="774"/>
    </row>
    <row r="533" spans="1:22" hidden="1">
      <c r="A533" s="786">
        <v>533</v>
      </c>
      <c r="B533" s="767"/>
      <c r="C533" s="767"/>
      <c r="D533" s="767"/>
      <c r="E533" s="767"/>
      <c r="F533" s="806"/>
      <c r="G533" s="778"/>
      <c r="H533" s="788"/>
      <c r="I533" s="788"/>
      <c r="J533" s="788"/>
      <c r="K533" s="788"/>
      <c r="L533" s="788"/>
      <c r="M533" s="788"/>
      <c r="N533" s="788"/>
      <c r="O533" s="788"/>
      <c r="P533" s="772"/>
      <c r="R533" s="774"/>
    </row>
    <row r="534" spans="1:22" hidden="1">
      <c r="A534" s="786">
        <v>534</v>
      </c>
      <c r="B534" s="767"/>
      <c r="D534" s="768"/>
      <c r="E534" s="795"/>
      <c r="F534" s="806"/>
      <c r="H534" s="817" t="s">
        <v>928</v>
      </c>
      <c r="I534" s="817"/>
      <c r="J534" s="817"/>
      <c r="K534" s="817"/>
      <c r="L534" s="817"/>
      <c r="M534" s="817"/>
      <c r="N534" s="817"/>
      <c r="O534" s="817"/>
      <c r="P534" s="772"/>
      <c r="R534" s="774"/>
    </row>
    <row r="535" spans="1:22" hidden="1">
      <c r="A535" s="786">
        <v>535</v>
      </c>
      <c r="B535" s="767"/>
      <c r="C535" s="767"/>
      <c r="D535" s="767"/>
      <c r="E535" s="767"/>
      <c r="F535" s="806"/>
      <c r="G535" s="778"/>
      <c r="H535" s="810"/>
      <c r="I535" s="810"/>
      <c r="J535" s="810"/>
      <c r="K535" s="810"/>
      <c r="L535" s="810"/>
      <c r="M535" s="810"/>
      <c r="N535" s="810"/>
      <c r="O535" s="810"/>
      <c r="P535" s="772"/>
      <c r="R535" s="774"/>
    </row>
    <row r="536" spans="1:22" hidden="1">
      <c r="A536" s="786">
        <v>536</v>
      </c>
      <c r="B536" s="767"/>
      <c r="C536" s="767"/>
      <c r="D536" s="767"/>
      <c r="E536" s="767"/>
      <c r="F536" s="806"/>
      <c r="G536" s="778"/>
      <c r="H536" s="788"/>
      <c r="I536" s="788"/>
      <c r="J536" s="788"/>
      <c r="K536" s="788"/>
      <c r="L536" s="788"/>
      <c r="M536" s="788"/>
      <c r="N536" s="788"/>
      <c r="O536" s="788"/>
      <c r="P536" s="772"/>
      <c r="R536" s="774"/>
    </row>
    <row r="537" spans="1:22" hidden="1">
      <c r="A537" s="786">
        <v>537</v>
      </c>
      <c r="B537" s="767"/>
      <c r="C537" s="767" t="s">
        <v>929</v>
      </c>
      <c r="D537" s="767" t="s">
        <v>909</v>
      </c>
      <c r="E537" s="767"/>
      <c r="F537" s="806" t="s">
        <v>1395</v>
      </c>
      <c r="G537" s="778"/>
      <c r="H537" s="788">
        <v>0</v>
      </c>
      <c r="I537" s="788">
        <v>0</v>
      </c>
      <c r="J537" s="788">
        <v>0</v>
      </c>
      <c r="K537" s="788">
        <v>0</v>
      </c>
      <c r="L537" s="788">
        <v>0</v>
      </c>
      <c r="M537" s="788">
        <v>0</v>
      </c>
      <c r="N537" s="788">
        <v>0</v>
      </c>
      <c r="O537" s="788">
        <v>0</v>
      </c>
      <c r="P537" s="772">
        <v>0</v>
      </c>
      <c r="Q537" s="774"/>
      <c r="R537" s="774">
        <v>717</v>
      </c>
      <c r="S537" s="774"/>
      <c r="T537" s="774"/>
      <c r="U537" s="774"/>
      <c r="V537" s="774"/>
    </row>
    <row r="538" spans="1:22" hidden="1">
      <c r="A538" s="786">
        <v>538</v>
      </c>
      <c r="B538" s="767"/>
      <c r="C538" s="767"/>
      <c r="D538" s="767"/>
      <c r="E538" s="767"/>
      <c r="F538" s="806"/>
      <c r="G538" s="778"/>
      <c r="H538" s="788"/>
      <c r="I538" s="788"/>
      <c r="J538" s="788"/>
      <c r="K538" s="788"/>
      <c r="L538" s="788"/>
      <c r="M538" s="788"/>
      <c r="N538" s="788"/>
      <c r="O538" s="788"/>
      <c r="P538" s="772"/>
      <c r="R538" s="774"/>
    </row>
    <row r="539" spans="1:22" hidden="1">
      <c r="A539" s="786">
        <v>539</v>
      </c>
      <c r="B539" s="767"/>
      <c r="C539" s="767" t="s">
        <v>930</v>
      </c>
      <c r="D539" s="767" t="s">
        <v>931</v>
      </c>
      <c r="E539" s="767"/>
      <c r="F539" s="806" t="s">
        <v>1395</v>
      </c>
      <c r="G539" s="778"/>
      <c r="H539" s="788">
        <v>0</v>
      </c>
      <c r="I539" s="788">
        <v>0</v>
      </c>
      <c r="J539" s="788">
        <v>0</v>
      </c>
      <c r="K539" s="788">
        <v>0</v>
      </c>
      <c r="L539" s="788">
        <v>0</v>
      </c>
      <c r="M539" s="788">
        <v>0</v>
      </c>
      <c r="N539" s="788">
        <v>0</v>
      </c>
      <c r="O539" s="788">
        <v>0</v>
      </c>
      <c r="P539" s="772">
        <v>0</v>
      </c>
      <c r="Q539" s="774"/>
      <c r="R539" s="774">
        <v>722</v>
      </c>
      <c r="S539" s="774"/>
      <c r="T539" s="774"/>
      <c r="U539" s="774"/>
      <c r="V539" s="774"/>
    </row>
    <row r="540" spans="1:22" hidden="1">
      <c r="A540" s="786">
        <v>540</v>
      </c>
      <c r="B540" s="767"/>
      <c r="C540" s="767"/>
      <c r="D540" s="767"/>
      <c r="E540" s="767"/>
      <c r="F540" s="806"/>
      <c r="G540" s="778"/>
      <c r="H540" s="788"/>
      <c r="I540" s="788"/>
      <c r="J540" s="788"/>
      <c r="K540" s="788"/>
      <c r="L540" s="788"/>
      <c r="M540" s="788"/>
      <c r="N540" s="788"/>
      <c r="O540" s="788"/>
      <c r="P540" s="772"/>
      <c r="R540" s="774"/>
    </row>
    <row r="541" spans="1:22" hidden="1">
      <c r="A541" s="786">
        <v>541</v>
      </c>
      <c r="B541" s="767"/>
      <c r="C541" s="767" t="s">
        <v>932</v>
      </c>
      <c r="D541" s="767" t="s">
        <v>933</v>
      </c>
      <c r="E541" s="767"/>
      <c r="F541" s="806" t="s">
        <v>1395</v>
      </c>
      <c r="G541" s="778"/>
      <c r="H541" s="788">
        <v>0</v>
      </c>
      <c r="I541" s="788">
        <v>0</v>
      </c>
      <c r="J541" s="788">
        <v>0</v>
      </c>
      <c r="K541" s="788">
        <v>0</v>
      </c>
      <c r="L541" s="788">
        <v>0</v>
      </c>
      <c r="M541" s="788">
        <v>0</v>
      </c>
      <c r="N541" s="788">
        <v>0</v>
      </c>
      <c r="O541" s="788">
        <v>0</v>
      </c>
      <c r="P541" s="772">
        <v>0</v>
      </c>
      <c r="Q541" s="774"/>
      <c r="R541" s="774">
        <v>727</v>
      </c>
      <c r="S541" s="774"/>
      <c r="T541" s="774"/>
      <c r="U541" s="774"/>
      <c r="V541" s="774"/>
    </row>
    <row r="542" spans="1:22" hidden="1">
      <c r="A542" s="786">
        <v>542</v>
      </c>
      <c r="B542" s="767"/>
      <c r="C542" s="767"/>
      <c r="D542" s="767"/>
      <c r="E542" s="767"/>
      <c r="F542" s="806"/>
      <c r="G542" s="778"/>
      <c r="H542" s="788"/>
      <c r="I542" s="788"/>
      <c r="J542" s="788"/>
      <c r="K542" s="788"/>
      <c r="L542" s="788"/>
      <c r="M542" s="788"/>
      <c r="N542" s="788"/>
      <c r="O542" s="788"/>
      <c r="P542" s="772"/>
      <c r="R542" s="774"/>
    </row>
    <row r="543" spans="1:22" hidden="1">
      <c r="A543" s="786">
        <v>543</v>
      </c>
      <c r="B543" s="767"/>
      <c r="C543" s="767" t="s">
        <v>934</v>
      </c>
      <c r="D543" s="767" t="s">
        <v>935</v>
      </c>
      <c r="E543" s="767"/>
      <c r="F543" s="806" t="s">
        <v>1395</v>
      </c>
      <c r="G543" s="778"/>
      <c r="H543" s="808">
        <v>0</v>
      </c>
      <c r="I543" s="808">
        <v>0</v>
      </c>
      <c r="J543" s="808">
        <v>0</v>
      </c>
      <c r="K543" s="808">
        <v>0</v>
      </c>
      <c r="L543" s="808">
        <v>0</v>
      </c>
      <c r="M543" s="808">
        <v>0</v>
      </c>
      <c r="N543" s="808">
        <v>0</v>
      </c>
      <c r="O543" s="808">
        <v>0</v>
      </c>
      <c r="P543" s="772">
        <v>0</v>
      </c>
      <c r="Q543" s="774"/>
      <c r="R543" s="774">
        <v>732</v>
      </c>
      <c r="S543" s="774"/>
      <c r="T543" s="774"/>
      <c r="U543" s="774"/>
      <c r="V543" s="774"/>
    </row>
    <row r="544" spans="1:22" hidden="1">
      <c r="A544" s="786">
        <v>544</v>
      </c>
      <c r="B544" s="767"/>
      <c r="C544" s="767"/>
      <c r="D544" s="767"/>
      <c r="E544" s="767"/>
      <c r="F544" s="806"/>
      <c r="G544" s="778"/>
      <c r="H544" s="788"/>
      <c r="I544" s="788"/>
      <c r="J544" s="788"/>
      <c r="K544" s="788"/>
      <c r="L544" s="788"/>
      <c r="M544" s="788"/>
      <c r="N544" s="788"/>
      <c r="O544" s="788"/>
      <c r="P544" s="772"/>
      <c r="R544" s="774"/>
    </row>
    <row r="545" spans="1:22" hidden="1">
      <c r="A545" s="786">
        <v>545</v>
      </c>
      <c r="B545" s="767"/>
      <c r="C545" s="767" t="s">
        <v>936</v>
      </c>
      <c r="D545" s="767"/>
      <c r="E545" s="767"/>
      <c r="F545" s="806"/>
      <c r="G545" s="778"/>
      <c r="H545" s="788">
        <v>0</v>
      </c>
      <c r="I545" s="788">
        <v>0</v>
      </c>
      <c r="J545" s="788">
        <v>0</v>
      </c>
      <c r="K545" s="788">
        <v>0</v>
      </c>
      <c r="L545" s="788">
        <v>0</v>
      </c>
      <c r="M545" s="788">
        <v>0</v>
      </c>
      <c r="N545" s="788">
        <v>0</v>
      </c>
      <c r="O545" s="788">
        <v>0</v>
      </c>
      <c r="P545" s="772">
        <v>0</v>
      </c>
      <c r="Q545" s="774"/>
      <c r="R545" s="774"/>
      <c r="S545" s="774"/>
      <c r="T545" s="774"/>
      <c r="U545" s="774"/>
      <c r="V545" s="774"/>
    </row>
    <row r="546" spans="1:22" hidden="1">
      <c r="A546" s="786">
        <v>546</v>
      </c>
      <c r="B546" s="767"/>
      <c r="F546" s="806"/>
      <c r="H546" s="813"/>
      <c r="I546" s="813"/>
      <c r="J546" s="813"/>
      <c r="K546" s="813"/>
      <c r="L546" s="813"/>
      <c r="M546" s="813"/>
      <c r="N546" s="813"/>
      <c r="O546" s="813"/>
      <c r="P546" s="772"/>
      <c r="R546" s="774"/>
    </row>
    <row r="547" spans="1:22" hidden="1">
      <c r="A547" s="786">
        <v>547</v>
      </c>
      <c r="B547" s="767"/>
      <c r="F547" s="806"/>
      <c r="H547" s="813"/>
      <c r="I547" s="813"/>
      <c r="J547" s="813"/>
      <c r="K547" s="813"/>
      <c r="L547" s="813"/>
      <c r="M547" s="813"/>
      <c r="N547" s="813"/>
      <c r="O547" s="813"/>
      <c r="P547" s="772"/>
      <c r="R547" s="774"/>
    </row>
    <row r="548" spans="1:22" hidden="1">
      <c r="A548" s="786">
        <v>548</v>
      </c>
      <c r="B548" s="767"/>
      <c r="D548" s="769"/>
      <c r="E548" s="769"/>
      <c r="F548" s="806"/>
      <c r="H548" s="817" t="s">
        <v>937</v>
      </c>
      <c r="I548" s="817"/>
      <c r="J548" s="819"/>
      <c r="K548" s="819"/>
      <c r="L548" s="819"/>
      <c r="M548" s="819"/>
      <c r="N548" s="819"/>
      <c r="O548" s="819"/>
      <c r="P548" s="772"/>
      <c r="R548" s="774"/>
    </row>
    <row r="549" spans="1:22" hidden="1">
      <c r="A549" s="786">
        <v>549</v>
      </c>
      <c r="B549" s="767"/>
      <c r="F549" s="806"/>
      <c r="H549" s="813"/>
      <c r="I549" s="813"/>
      <c r="J549" s="813"/>
      <c r="K549" s="813"/>
      <c r="L549" s="813"/>
      <c r="M549" s="813"/>
      <c r="N549" s="813"/>
      <c r="O549" s="813"/>
      <c r="P549" s="772"/>
      <c r="R549" s="774"/>
    </row>
    <row r="550" spans="1:22" hidden="1">
      <c r="A550" s="786">
        <v>550</v>
      </c>
      <c r="B550" s="767"/>
      <c r="F550" s="806"/>
      <c r="H550" s="813"/>
      <c r="I550" s="813"/>
      <c r="J550" s="813"/>
      <c r="K550" s="813"/>
      <c r="L550" s="813"/>
      <c r="M550" s="813"/>
      <c r="N550" s="813"/>
      <c r="O550" s="813"/>
      <c r="P550" s="772"/>
      <c r="R550" s="774"/>
    </row>
    <row r="551" spans="1:22" hidden="1">
      <c r="A551" s="786">
        <v>551</v>
      </c>
      <c r="B551" s="767"/>
      <c r="C551" s="767" t="s">
        <v>938</v>
      </c>
      <c r="D551" s="767" t="s">
        <v>939</v>
      </c>
      <c r="E551" s="767"/>
      <c r="F551" s="806" t="s">
        <v>1411</v>
      </c>
      <c r="G551" s="778"/>
      <c r="H551" s="815">
        <v>-711372.96782782651</v>
      </c>
      <c r="I551" s="815">
        <v>-331192.24310089502</v>
      </c>
      <c r="J551" s="815">
        <v>-102097.14204432323</v>
      </c>
      <c r="K551" s="815">
        <v>-140986.14169894985</v>
      </c>
      <c r="L551" s="815">
        <v>-56337.906087480202</v>
      </c>
      <c r="M551" s="815">
        <v>-46017.757236900965</v>
      </c>
      <c r="N551" s="815">
        <v>-31617.317562690816</v>
      </c>
      <c r="O551" s="815">
        <v>-3124.4600965864042</v>
      </c>
      <c r="P551" s="772">
        <v>0</v>
      </c>
      <c r="Q551" s="774"/>
      <c r="R551" s="774">
        <v>738</v>
      </c>
      <c r="S551" s="774"/>
      <c r="T551" s="774"/>
      <c r="U551" s="774"/>
      <c r="V551" s="774"/>
    </row>
    <row r="552" spans="1:22" hidden="1">
      <c r="A552" s="786">
        <v>552</v>
      </c>
      <c r="B552" s="767"/>
      <c r="C552" s="767"/>
      <c r="D552" s="767"/>
      <c r="E552" s="767" t="s">
        <v>940</v>
      </c>
      <c r="F552" s="806" t="s">
        <v>1410</v>
      </c>
      <c r="G552" s="778"/>
      <c r="H552" s="815">
        <v>0</v>
      </c>
      <c r="I552" s="815">
        <v>0</v>
      </c>
      <c r="J552" s="815">
        <v>0</v>
      </c>
      <c r="K552" s="815">
        <v>0</v>
      </c>
      <c r="L552" s="815">
        <v>0</v>
      </c>
      <c r="M552" s="815">
        <v>0</v>
      </c>
      <c r="N552" s="815">
        <v>0</v>
      </c>
      <c r="O552" s="815">
        <v>0</v>
      </c>
      <c r="P552" s="772">
        <v>0</v>
      </c>
      <c r="R552" s="774">
        <v>739</v>
      </c>
    </row>
    <row r="553" spans="1:22" hidden="1">
      <c r="A553" s="786">
        <v>553</v>
      </c>
      <c r="B553" s="767"/>
      <c r="C553" s="767"/>
      <c r="D553" s="767"/>
      <c r="E553" s="767" t="s">
        <v>941</v>
      </c>
      <c r="F553" s="806" t="s">
        <v>1411</v>
      </c>
      <c r="G553" s="778"/>
      <c r="H553" s="808">
        <v>5120216.086258308</v>
      </c>
      <c r="I553" s="808">
        <v>2383806.9865758563</v>
      </c>
      <c r="J553" s="808">
        <v>734859.84525471402</v>
      </c>
      <c r="K553" s="808">
        <v>1014769.3872466246</v>
      </c>
      <c r="L553" s="808">
        <v>405500.72333510779</v>
      </c>
      <c r="M553" s="808">
        <v>331219.86849932885</v>
      </c>
      <c r="N553" s="808">
        <v>227570.4943964197</v>
      </c>
      <c r="O553" s="808">
        <v>22488.780950256554</v>
      </c>
      <c r="P553" s="772">
        <v>0</v>
      </c>
      <c r="R553" s="774">
        <v>740</v>
      </c>
    </row>
    <row r="554" spans="1:22" hidden="1">
      <c r="A554" s="786">
        <v>554</v>
      </c>
      <c r="B554" s="767"/>
      <c r="C554" s="767"/>
      <c r="D554" s="767"/>
      <c r="E554" s="767" t="s">
        <v>939</v>
      </c>
      <c r="F554" s="806"/>
      <c r="G554" s="778"/>
      <c r="H554" s="788">
        <v>4408843.1184304813</v>
      </c>
      <c r="I554" s="788">
        <v>2052614.7434749613</v>
      </c>
      <c r="J554" s="788">
        <v>632762.70321039075</v>
      </c>
      <c r="K554" s="788">
        <v>873783.24554767471</v>
      </c>
      <c r="L554" s="788">
        <v>349162.81724762759</v>
      </c>
      <c r="M554" s="788">
        <v>285202.11126242788</v>
      </c>
      <c r="N554" s="788">
        <v>195953.17683372888</v>
      </c>
      <c r="O554" s="788">
        <v>19364.32085367015</v>
      </c>
      <c r="P554" s="772">
        <v>0</v>
      </c>
      <c r="R554" s="774"/>
    </row>
    <row r="555" spans="1:22" hidden="1">
      <c r="A555" s="786">
        <v>555</v>
      </c>
      <c r="B555" s="767"/>
      <c r="C555" s="767"/>
      <c r="D555" s="767"/>
      <c r="E555" s="767"/>
      <c r="F555" s="806"/>
      <c r="G555" s="778"/>
      <c r="H555" s="788"/>
      <c r="I555" s="788"/>
      <c r="J555" s="788"/>
      <c r="K555" s="788"/>
      <c r="L555" s="788"/>
      <c r="M555" s="788"/>
      <c r="N555" s="788"/>
      <c r="O555" s="788"/>
      <c r="P555" s="772"/>
      <c r="R555" s="774"/>
    </row>
    <row r="556" spans="1:22" hidden="1">
      <c r="A556" s="786">
        <v>556</v>
      </c>
      <c r="B556" s="767"/>
      <c r="C556" s="767" t="s">
        <v>942</v>
      </c>
      <c r="D556" s="767" t="s">
        <v>943</v>
      </c>
      <c r="E556" s="767"/>
      <c r="F556" s="806" t="s">
        <v>1411</v>
      </c>
      <c r="G556" s="778"/>
      <c r="H556" s="815">
        <v>10038.209999999999</v>
      </c>
      <c r="I556" s="815">
        <v>4673.4658708910656</v>
      </c>
      <c r="J556" s="815">
        <v>1440.6965102570437</v>
      </c>
      <c r="K556" s="815">
        <v>1989.4606085261701</v>
      </c>
      <c r="L556" s="815">
        <v>794.98625593442591</v>
      </c>
      <c r="M556" s="815">
        <v>649.35825757274756</v>
      </c>
      <c r="N556" s="815">
        <v>446.15312597567566</v>
      </c>
      <c r="O556" s="815">
        <v>44.08937084287075</v>
      </c>
      <c r="P556" s="772">
        <v>0</v>
      </c>
      <c r="Q556" s="774"/>
      <c r="R556" s="774">
        <v>744</v>
      </c>
      <c r="S556" s="774"/>
      <c r="T556" s="774"/>
      <c r="U556" s="774"/>
      <c r="V556" s="774"/>
    </row>
    <row r="557" spans="1:22" hidden="1">
      <c r="A557" s="786">
        <v>557</v>
      </c>
      <c r="B557" s="767"/>
      <c r="C557" s="767"/>
      <c r="D557" s="767"/>
      <c r="E557" s="767" t="s">
        <v>940</v>
      </c>
      <c r="F557" s="806" t="s">
        <v>1410</v>
      </c>
      <c r="G557" s="778"/>
      <c r="H557" s="815">
        <v>6193.4311441797709</v>
      </c>
      <c r="I557" s="815">
        <v>5050.00623636611</v>
      </c>
      <c r="J557" s="815">
        <v>876.54023136238834</v>
      </c>
      <c r="K557" s="815">
        <v>51.016626607271931</v>
      </c>
      <c r="L557" s="815">
        <v>13.052402525292866</v>
      </c>
      <c r="M557" s="815">
        <v>0.20243415971550438</v>
      </c>
      <c r="N557" s="815">
        <v>85.787527348944977</v>
      </c>
      <c r="O557" s="815">
        <v>116.82568581004632</v>
      </c>
      <c r="P557" s="772">
        <v>0</v>
      </c>
      <c r="R557" s="774">
        <v>745</v>
      </c>
    </row>
    <row r="558" spans="1:22" hidden="1">
      <c r="A558" s="786">
        <v>558</v>
      </c>
      <c r="B558" s="767"/>
      <c r="C558" s="767"/>
      <c r="D558" s="767"/>
      <c r="E558" s="767" t="s">
        <v>941</v>
      </c>
      <c r="F558" s="806" t="s">
        <v>1411</v>
      </c>
      <c r="G558" s="778"/>
      <c r="H558" s="808">
        <v>711941.7149087959</v>
      </c>
      <c r="I558" s="808">
        <v>331457.03334458178</v>
      </c>
      <c r="J558" s="808">
        <v>102178.76933990396</v>
      </c>
      <c r="K558" s="808">
        <v>141098.86098991934</v>
      </c>
      <c r="L558" s="808">
        <v>56382.948591320383</v>
      </c>
      <c r="M558" s="808">
        <v>46054.548718001468</v>
      </c>
      <c r="N558" s="808">
        <v>31642.5958033397</v>
      </c>
      <c r="O558" s="808">
        <v>3126.9581217291993</v>
      </c>
      <c r="P558" s="772">
        <v>0</v>
      </c>
      <c r="R558" s="774">
        <v>746</v>
      </c>
    </row>
    <row r="559" spans="1:22" hidden="1">
      <c r="A559" s="786">
        <v>559</v>
      </c>
      <c r="B559" s="767"/>
      <c r="C559" s="767"/>
      <c r="D559" s="767"/>
      <c r="E559" s="767" t="s">
        <v>943</v>
      </c>
      <c r="F559" s="806"/>
      <c r="G559" s="778"/>
      <c r="H559" s="788">
        <v>728173.35605297564</v>
      </c>
      <c r="I559" s="788">
        <v>341180.50545183895</v>
      </c>
      <c r="J559" s="788">
        <v>104496.00608152339</v>
      </c>
      <c r="K559" s="788">
        <v>143139.33822505278</v>
      </c>
      <c r="L559" s="788">
        <v>57190.987249780104</v>
      </c>
      <c r="M559" s="788">
        <v>46704.10940973393</v>
      </c>
      <c r="N559" s="788">
        <v>32174.536456664322</v>
      </c>
      <c r="O559" s="788">
        <v>3287.8731783821163</v>
      </c>
      <c r="P559" s="772">
        <v>0</v>
      </c>
      <c r="R559" s="774"/>
    </row>
    <row r="560" spans="1:22" hidden="1">
      <c r="A560" s="786">
        <v>560</v>
      </c>
      <c r="B560" s="767"/>
      <c r="C560" s="767"/>
      <c r="D560" s="767"/>
      <c r="E560" s="767"/>
      <c r="F560" s="806"/>
      <c r="G560" s="778"/>
      <c r="H560" s="788"/>
      <c r="I560" s="788"/>
      <c r="J560" s="788"/>
      <c r="K560" s="788"/>
      <c r="L560" s="788"/>
      <c r="M560" s="788"/>
      <c r="N560" s="788"/>
      <c r="O560" s="788"/>
      <c r="P560" s="772"/>
      <c r="R560" s="774"/>
    </row>
    <row r="561" spans="1:22" hidden="1">
      <c r="A561" s="786">
        <v>561</v>
      </c>
      <c r="B561" s="767"/>
      <c r="C561" s="764">
        <v>922</v>
      </c>
      <c r="D561" s="820" t="s">
        <v>944</v>
      </c>
      <c r="E561" s="767"/>
      <c r="F561" s="806" t="s">
        <v>1411</v>
      </c>
      <c r="G561" s="778"/>
      <c r="H561" s="815">
        <v>-2212940.2228372735</v>
      </c>
      <c r="I561" s="815">
        <v>-1030273.3859674252</v>
      </c>
      <c r="J561" s="815">
        <v>-317603.96091027232</v>
      </c>
      <c r="K561" s="815">
        <v>-438579.92633725342</v>
      </c>
      <c r="L561" s="815">
        <v>-175256.05285803927</v>
      </c>
      <c r="M561" s="815">
        <v>-143152.11648433932</v>
      </c>
      <c r="N561" s="815">
        <v>-98355.204564973043</v>
      </c>
      <c r="O561" s="815">
        <v>-9719.5757149708552</v>
      </c>
      <c r="P561" s="772">
        <v>0</v>
      </c>
      <c r="Q561" s="774"/>
      <c r="R561" s="774">
        <v>749</v>
      </c>
    </row>
    <row r="562" spans="1:22" hidden="1">
      <c r="A562" s="786">
        <v>562</v>
      </c>
      <c r="B562" s="767"/>
      <c r="C562" s="767"/>
      <c r="D562" s="767"/>
      <c r="E562" s="767"/>
      <c r="F562" s="806"/>
      <c r="G562" s="778"/>
      <c r="H562" s="788"/>
      <c r="I562" s="788"/>
      <c r="J562" s="788"/>
      <c r="K562" s="788"/>
      <c r="L562" s="788"/>
      <c r="M562" s="788"/>
      <c r="N562" s="788"/>
      <c r="O562" s="788"/>
      <c r="P562" s="772"/>
      <c r="R562" s="774"/>
    </row>
    <row r="563" spans="1:22" hidden="1">
      <c r="A563" s="786">
        <v>563</v>
      </c>
      <c r="B563" s="767"/>
      <c r="C563" s="767" t="s">
        <v>945</v>
      </c>
      <c r="D563" s="767" t="s">
        <v>946</v>
      </c>
      <c r="E563" s="767"/>
      <c r="F563" s="806" t="s">
        <v>1411</v>
      </c>
      <c r="G563" s="778"/>
      <c r="H563" s="815">
        <v>11617.77</v>
      </c>
      <c r="I563" s="815">
        <v>5408.8579130006347</v>
      </c>
      <c r="J563" s="815">
        <v>1667.3969458667407</v>
      </c>
      <c r="K563" s="815">
        <v>2302.5116802614298</v>
      </c>
      <c r="L563" s="815">
        <v>920.08111751072113</v>
      </c>
      <c r="M563" s="815">
        <v>751.53786223648842</v>
      </c>
      <c r="N563" s="815">
        <v>516.35743846427067</v>
      </c>
      <c r="O563" s="815">
        <v>51.027042659715086</v>
      </c>
      <c r="P563" s="772">
        <v>0</v>
      </c>
      <c r="Q563" s="774"/>
      <c r="R563" s="774">
        <v>754</v>
      </c>
      <c r="S563" s="774"/>
      <c r="T563" s="774"/>
      <c r="U563" s="774"/>
      <c r="V563" s="774"/>
    </row>
    <row r="564" spans="1:22" hidden="1">
      <c r="A564" s="786">
        <v>564</v>
      </c>
      <c r="B564" s="767"/>
      <c r="C564" s="767"/>
      <c r="D564" s="767"/>
      <c r="E564" s="767" t="s">
        <v>940</v>
      </c>
      <c r="F564" s="806" t="s">
        <v>1410</v>
      </c>
      <c r="G564" s="778"/>
      <c r="H564" s="815">
        <v>64394.99995555231</v>
      </c>
      <c r="I564" s="815">
        <v>52506.461086910473</v>
      </c>
      <c r="J564" s="815">
        <v>9113.6571708986194</v>
      </c>
      <c r="K564" s="815">
        <v>530.43548747530053</v>
      </c>
      <c r="L564" s="815">
        <v>135.70982553442082</v>
      </c>
      <c r="M564" s="815">
        <v>2.1047699413163601</v>
      </c>
      <c r="N564" s="815">
        <v>891.95918889219604</v>
      </c>
      <c r="O564" s="815">
        <v>1214.6724258999752</v>
      </c>
      <c r="P564" s="772">
        <v>0</v>
      </c>
      <c r="Q564" s="774"/>
      <c r="R564" s="774">
        <v>755</v>
      </c>
      <c r="S564" s="774"/>
      <c r="T564" s="774"/>
      <c r="U564" s="774"/>
      <c r="V564" s="774"/>
    </row>
    <row r="565" spans="1:22" hidden="1">
      <c r="A565" s="786">
        <v>565</v>
      </c>
      <c r="B565" s="767"/>
      <c r="C565" s="767"/>
      <c r="D565" s="767"/>
      <c r="E565" s="767" t="s">
        <v>941</v>
      </c>
      <c r="F565" s="806" t="s">
        <v>1411</v>
      </c>
      <c r="G565" s="778"/>
      <c r="H565" s="815">
        <v>1379817.0627600451</v>
      </c>
      <c r="I565" s="815">
        <v>642398.1915981262</v>
      </c>
      <c r="J565" s="815">
        <v>198033.07831889563</v>
      </c>
      <c r="K565" s="815">
        <v>273464.26238675939</v>
      </c>
      <c r="L565" s="815">
        <v>109276.01640113577</v>
      </c>
      <c r="M565" s="815">
        <v>89258.503621961427</v>
      </c>
      <c r="N565" s="815">
        <v>61326.640489187739</v>
      </c>
      <c r="O565" s="815">
        <v>6060.3699439788861</v>
      </c>
      <c r="P565" s="772">
        <v>0</v>
      </c>
      <c r="R565" s="774">
        <v>756</v>
      </c>
    </row>
    <row r="566" spans="1:22" hidden="1">
      <c r="A566" s="786"/>
      <c r="B566" s="767"/>
      <c r="C566" s="767"/>
      <c r="D566" s="767"/>
      <c r="E566" s="767" t="s">
        <v>718</v>
      </c>
      <c r="F566" s="806" t="s">
        <v>1411</v>
      </c>
      <c r="G566" s="778"/>
      <c r="H566" s="815">
        <v>2614.2646240441059</v>
      </c>
      <c r="I566" s="815">
        <v>1217.1170455637002</v>
      </c>
      <c r="J566" s="815">
        <v>375.20254315747388</v>
      </c>
      <c r="K566" s="815">
        <v>518.1179204060511</v>
      </c>
      <c r="L566" s="815">
        <v>207.03934720340015</v>
      </c>
      <c r="M566" s="815">
        <v>169.11325038063106</v>
      </c>
      <c r="N566" s="815">
        <v>116.19226277841393</v>
      </c>
      <c r="O566" s="815">
        <v>11.48225455443537</v>
      </c>
      <c r="P566" s="772">
        <v>0</v>
      </c>
      <c r="R566" s="774">
        <v>757</v>
      </c>
    </row>
    <row r="567" spans="1:22" hidden="1">
      <c r="A567" s="786">
        <v>567</v>
      </c>
      <c r="B567" s="767"/>
      <c r="C567" s="767"/>
      <c r="D567" s="767"/>
      <c r="E567" s="767" t="s">
        <v>941</v>
      </c>
      <c r="F567" s="806" t="s">
        <v>1411</v>
      </c>
      <c r="G567" s="778"/>
      <c r="H567" s="808">
        <v>10013.740211972934</v>
      </c>
      <c r="I567" s="808">
        <v>4662.0735291077763</v>
      </c>
      <c r="J567" s="808">
        <v>1437.1845755378733</v>
      </c>
      <c r="K567" s="808">
        <v>1984.6109710530716</v>
      </c>
      <c r="L567" s="808">
        <v>793.04834617091774</v>
      </c>
      <c r="M567" s="808">
        <v>647.77534000911521</v>
      </c>
      <c r="N567" s="808">
        <v>445.06555434485335</v>
      </c>
      <c r="O567" s="808">
        <v>43.981895749326014</v>
      </c>
      <c r="P567" s="772">
        <v>0</v>
      </c>
      <c r="R567" s="774">
        <v>758</v>
      </c>
    </row>
    <row r="568" spans="1:22" hidden="1">
      <c r="A568" s="786">
        <v>568</v>
      </c>
      <c r="B568" s="767"/>
      <c r="C568" s="767"/>
      <c r="D568" s="767"/>
      <c r="E568" s="767" t="s">
        <v>946</v>
      </c>
      <c r="F568" s="806"/>
      <c r="G568" s="778"/>
      <c r="H568" s="788">
        <v>1468457.837551614</v>
      </c>
      <c r="I568" s="788">
        <v>706192.70117270865</v>
      </c>
      <c r="J568" s="788">
        <v>210626.51955435632</v>
      </c>
      <c r="K568" s="788">
        <v>278799.93844595522</v>
      </c>
      <c r="L568" s="788">
        <v>111331.89503755524</v>
      </c>
      <c r="M568" s="788">
        <v>90829.034844528971</v>
      </c>
      <c r="N568" s="788">
        <v>63296.21493366747</v>
      </c>
      <c r="O568" s="788">
        <v>7381.5335628423381</v>
      </c>
      <c r="P568" s="772">
        <v>0</v>
      </c>
      <c r="R568" s="774"/>
    </row>
    <row r="569" spans="1:22" hidden="1">
      <c r="A569" s="786">
        <v>569</v>
      </c>
      <c r="B569" s="767"/>
      <c r="C569" s="767"/>
      <c r="D569" s="767"/>
      <c r="E569" s="767"/>
      <c r="F569" s="806"/>
      <c r="G569" s="778"/>
      <c r="H569" s="788"/>
      <c r="I569" s="788"/>
      <c r="J569" s="788"/>
      <c r="K569" s="788"/>
      <c r="L569" s="788"/>
      <c r="M569" s="788"/>
      <c r="N569" s="788"/>
      <c r="O569" s="788"/>
      <c r="P569" s="772"/>
      <c r="R569" s="774"/>
    </row>
    <row r="570" spans="1:22" hidden="1">
      <c r="A570" s="786">
        <v>570</v>
      </c>
      <c r="B570" s="767"/>
      <c r="C570" s="767" t="s">
        <v>947</v>
      </c>
      <c r="D570" s="767" t="s">
        <v>948</v>
      </c>
      <c r="E570" s="767"/>
      <c r="F570" s="806"/>
      <c r="G570" s="778"/>
      <c r="H570" s="815"/>
      <c r="I570" s="815"/>
      <c r="J570" s="815"/>
      <c r="K570" s="815"/>
      <c r="L570" s="815"/>
      <c r="M570" s="815"/>
      <c r="N570" s="815"/>
      <c r="O570" s="815"/>
      <c r="P570" s="772"/>
      <c r="Q570" s="774"/>
      <c r="R570" s="774"/>
      <c r="S570" s="774"/>
      <c r="T570" s="774"/>
      <c r="U570" s="774"/>
      <c r="V570" s="774"/>
    </row>
    <row r="571" spans="1:22" hidden="1">
      <c r="A571" s="786">
        <v>571</v>
      </c>
      <c r="B571" s="767"/>
      <c r="C571" s="767"/>
      <c r="D571" s="767"/>
      <c r="E571" s="767" t="s">
        <v>941</v>
      </c>
      <c r="F571" s="806" t="s">
        <v>1411</v>
      </c>
      <c r="G571" s="778"/>
      <c r="H571" s="815">
        <v>188629.22901337341</v>
      </c>
      <c r="I571" s="815">
        <v>87819.667455302828</v>
      </c>
      <c r="J571" s="815">
        <v>27072.303923911113</v>
      </c>
      <c r="K571" s="815">
        <v>37384.197056922319</v>
      </c>
      <c r="L571" s="815">
        <v>14938.68374273293</v>
      </c>
      <c r="M571" s="815">
        <v>12202.170255395626</v>
      </c>
      <c r="N571" s="815">
        <v>8383.7178316351401</v>
      </c>
      <c r="O571" s="815">
        <v>828.48874747344553</v>
      </c>
      <c r="P571" s="772"/>
      <c r="Q571" s="774"/>
      <c r="R571" s="774">
        <v>763</v>
      </c>
      <c r="S571" s="774"/>
      <c r="T571" s="774"/>
      <c r="U571" s="774"/>
      <c r="V571" s="774"/>
    </row>
    <row r="572" spans="1:22" hidden="1">
      <c r="A572" s="786">
        <v>572</v>
      </c>
      <c r="B572" s="767"/>
      <c r="C572" s="767"/>
      <c r="D572" s="767"/>
      <c r="E572" s="767"/>
      <c r="F572" s="806"/>
      <c r="G572" s="778"/>
      <c r="H572" s="788"/>
      <c r="I572" s="788"/>
      <c r="J572" s="788"/>
      <c r="K572" s="788"/>
      <c r="L572" s="788"/>
      <c r="M572" s="788"/>
      <c r="N572" s="788"/>
      <c r="O572" s="788"/>
      <c r="P572" s="772"/>
      <c r="R572" s="774"/>
    </row>
    <row r="573" spans="1:22" hidden="1">
      <c r="A573" s="786">
        <v>573</v>
      </c>
      <c r="B573" s="767"/>
      <c r="C573" s="767" t="s">
        <v>949</v>
      </c>
      <c r="D573" s="767" t="s">
        <v>950</v>
      </c>
      <c r="E573" s="767"/>
      <c r="F573" s="806" t="s">
        <v>1411</v>
      </c>
      <c r="G573" s="778"/>
      <c r="H573" s="815">
        <v>1291372.9153491019</v>
      </c>
      <c r="I573" s="815">
        <v>601221.45745876257</v>
      </c>
      <c r="J573" s="815">
        <v>185339.46316962046</v>
      </c>
      <c r="K573" s="815">
        <v>255935.62457894773</v>
      </c>
      <c r="L573" s="815">
        <v>102271.59214526364</v>
      </c>
      <c r="M573" s="815">
        <v>83537.171088045783</v>
      </c>
      <c r="N573" s="815">
        <v>57395.69733880079</v>
      </c>
      <c r="O573" s="815">
        <v>5671.9095696608947</v>
      </c>
      <c r="P573" s="772">
        <v>0</v>
      </c>
      <c r="Q573" s="774"/>
      <c r="R573" s="774">
        <v>766</v>
      </c>
      <c r="S573" s="774"/>
      <c r="T573" s="774"/>
      <c r="U573" s="774"/>
      <c r="V573" s="774"/>
    </row>
    <row r="574" spans="1:22" hidden="1">
      <c r="A574" s="786">
        <v>574</v>
      </c>
      <c r="B574" s="767"/>
      <c r="C574" s="767" t="s">
        <v>13</v>
      </c>
      <c r="D574" s="767" t="s">
        <v>950</v>
      </c>
      <c r="E574" s="767"/>
      <c r="F574" s="806" t="s">
        <v>1411</v>
      </c>
      <c r="G574" s="778"/>
      <c r="H574" s="815">
        <v>387.5</v>
      </c>
      <c r="I574" s="815">
        <v>180.4074655710817</v>
      </c>
      <c r="J574" s="815">
        <v>55.614486818327613</v>
      </c>
      <c r="K574" s="815">
        <v>76.798152838393591</v>
      </c>
      <c r="L574" s="815">
        <v>30.68845682393475</v>
      </c>
      <c r="M574" s="815">
        <v>25.066852039301796</v>
      </c>
      <c r="N574" s="815">
        <v>17.222625977696655</v>
      </c>
      <c r="O574" s="815">
        <v>1.7019599312638825</v>
      </c>
      <c r="P574" s="772">
        <v>0</v>
      </c>
      <c r="Q574" s="774"/>
      <c r="R574" s="774">
        <v>767</v>
      </c>
      <c r="S574" s="774"/>
      <c r="T574" s="774"/>
      <c r="U574" s="774"/>
      <c r="V574" s="774"/>
    </row>
    <row r="575" spans="1:22" hidden="1">
      <c r="A575" s="786">
        <v>575</v>
      </c>
      <c r="B575" s="767"/>
      <c r="C575" s="767"/>
      <c r="D575" s="767"/>
      <c r="E575" s="767"/>
      <c r="F575" s="806"/>
      <c r="G575" s="778"/>
      <c r="H575" s="788"/>
      <c r="I575" s="788"/>
      <c r="J575" s="788"/>
      <c r="K575" s="788"/>
      <c r="L575" s="788"/>
      <c r="M575" s="788"/>
      <c r="N575" s="788"/>
      <c r="O575" s="788"/>
      <c r="P575" s="772"/>
      <c r="R575" s="774"/>
    </row>
    <row r="576" spans="1:22" hidden="1">
      <c r="A576" s="786">
        <v>576</v>
      </c>
      <c r="B576" s="767"/>
      <c r="C576" s="767" t="s">
        <v>951</v>
      </c>
      <c r="D576" s="767" t="s">
        <v>952</v>
      </c>
      <c r="E576" s="767"/>
      <c r="F576" s="806" t="s">
        <v>1412</v>
      </c>
      <c r="G576" s="778"/>
      <c r="H576" s="815">
        <v>8058659.0305050146</v>
      </c>
      <c r="I576" s="815">
        <v>3712754.6810864457</v>
      </c>
      <c r="J576" s="815">
        <v>1164882.2011046198</v>
      </c>
      <c r="K576" s="815">
        <v>1617240.1659182955</v>
      </c>
      <c r="L576" s="815">
        <v>641429.11578074796</v>
      </c>
      <c r="M576" s="815">
        <v>530153.1094373716</v>
      </c>
      <c r="N576" s="815">
        <v>355127.88592096494</v>
      </c>
      <c r="O576" s="815">
        <v>37071.871256569422</v>
      </c>
      <c r="P576" s="772">
        <v>0</v>
      </c>
      <c r="Q576" s="774"/>
      <c r="R576" s="774">
        <v>774</v>
      </c>
      <c r="S576" s="774"/>
      <c r="T576" s="774"/>
      <c r="U576" s="774"/>
      <c r="V576" s="774"/>
    </row>
    <row r="577" spans="1:22" hidden="1">
      <c r="A577" s="786">
        <v>577</v>
      </c>
      <c r="B577" s="767"/>
      <c r="C577" s="767"/>
      <c r="D577" s="767"/>
      <c r="E577" s="767"/>
      <c r="F577" s="806"/>
      <c r="G577" s="778"/>
      <c r="H577" s="788"/>
      <c r="I577" s="788"/>
      <c r="J577" s="788"/>
      <c r="K577" s="788"/>
      <c r="L577" s="788"/>
      <c r="M577" s="788"/>
      <c r="N577" s="788"/>
      <c r="O577" s="788"/>
      <c r="P577" s="772"/>
      <c r="R577" s="774"/>
    </row>
    <row r="578" spans="1:22" hidden="1">
      <c r="A578" s="786">
        <v>578</v>
      </c>
      <c r="B578" s="767"/>
      <c r="C578" s="767" t="s">
        <v>953</v>
      </c>
      <c r="D578" s="767" t="s">
        <v>954</v>
      </c>
      <c r="E578" s="767"/>
      <c r="F578" s="806" t="s">
        <v>1413</v>
      </c>
      <c r="G578" s="778"/>
      <c r="H578" s="815">
        <v>0</v>
      </c>
      <c r="I578" s="815">
        <v>0</v>
      </c>
      <c r="J578" s="815">
        <v>0</v>
      </c>
      <c r="K578" s="815">
        <v>0</v>
      </c>
      <c r="L578" s="815">
        <v>0</v>
      </c>
      <c r="M578" s="815">
        <v>0</v>
      </c>
      <c r="N578" s="815">
        <v>0</v>
      </c>
      <c r="O578" s="815">
        <v>0</v>
      </c>
      <c r="P578" s="772">
        <v>0</v>
      </c>
      <c r="Q578" s="774"/>
      <c r="R578" s="774">
        <v>779</v>
      </c>
      <c r="S578" s="774"/>
      <c r="T578" s="774"/>
      <c r="U578" s="774"/>
      <c r="V578" s="774"/>
    </row>
    <row r="579" spans="1:22" hidden="1">
      <c r="A579" s="786">
        <v>579</v>
      </c>
      <c r="B579" s="767"/>
      <c r="C579" s="767"/>
      <c r="D579" s="767"/>
      <c r="E579" s="767"/>
      <c r="F579" s="806"/>
      <c r="G579" s="778"/>
      <c r="H579" s="788"/>
      <c r="I579" s="788"/>
      <c r="J579" s="788"/>
      <c r="K579" s="788"/>
      <c r="L579" s="788"/>
      <c r="M579" s="788"/>
      <c r="N579" s="788"/>
      <c r="O579" s="788"/>
      <c r="P579" s="772"/>
      <c r="R579" s="774"/>
    </row>
    <row r="580" spans="1:22" hidden="1">
      <c r="A580" s="786">
        <v>580</v>
      </c>
      <c r="B580" s="767"/>
      <c r="C580" s="767" t="s">
        <v>955</v>
      </c>
      <c r="D580" s="767" t="s">
        <v>956</v>
      </c>
      <c r="E580" s="767"/>
      <c r="F580" s="806" t="s">
        <v>1414</v>
      </c>
      <c r="G580" s="778"/>
      <c r="H580" s="815">
        <v>1504990.2081587384</v>
      </c>
      <c r="I580" s="815">
        <v>639416.32448315783</v>
      </c>
      <c r="J580" s="815">
        <v>227159.40623123143</v>
      </c>
      <c r="K580" s="815">
        <v>329879.42840540304</v>
      </c>
      <c r="L580" s="815">
        <v>126034.00917857968</v>
      </c>
      <c r="M580" s="815">
        <v>108431.31096335285</v>
      </c>
      <c r="N580" s="815">
        <v>66300.92439959792</v>
      </c>
      <c r="O580" s="815">
        <v>7768.8044974153845</v>
      </c>
      <c r="P580" s="772">
        <v>0</v>
      </c>
      <c r="Q580" s="774"/>
      <c r="R580" s="774">
        <v>786</v>
      </c>
      <c r="S580" s="774"/>
      <c r="T580" s="774"/>
      <c r="U580" s="774"/>
      <c r="V580" s="774"/>
    </row>
    <row r="581" spans="1:22" hidden="1">
      <c r="A581" s="786">
        <v>581</v>
      </c>
      <c r="B581" s="767"/>
      <c r="C581" s="767"/>
      <c r="D581" s="767"/>
      <c r="E581" s="767" t="s">
        <v>957</v>
      </c>
      <c r="F581" s="806" t="s">
        <v>1414</v>
      </c>
      <c r="G581" s="778"/>
      <c r="H581" s="815">
        <v>0</v>
      </c>
      <c r="I581" s="815">
        <v>0</v>
      </c>
      <c r="J581" s="815">
        <v>0</v>
      </c>
      <c r="K581" s="815">
        <v>0</v>
      </c>
      <c r="L581" s="815">
        <v>0</v>
      </c>
      <c r="M581" s="815">
        <v>0</v>
      </c>
      <c r="N581" s="815">
        <v>0</v>
      </c>
      <c r="O581" s="815">
        <v>0</v>
      </c>
      <c r="P581" s="772">
        <v>0</v>
      </c>
      <c r="Q581" s="774"/>
      <c r="R581" s="774">
        <v>787</v>
      </c>
      <c r="S581" s="774"/>
      <c r="T581" s="774"/>
      <c r="U581" s="774"/>
      <c r="V581" s="774"/>
    </row>
    <row r="582" spans="1:22" hidden="1">
      <c r="A582" s="786">
        <v>582</v>
      </c>
      <c r="B582" s="767"/>
      <c r="C582" s="767"/>
      <c r="D582" s="767"/>
      <c r="E582" s="767"/>
      <c r="F582" s="806"/>
      <c r="G582" s="778"/>
      <c r="H582" s="788"/>
      <c r="I582" s="788"/>
      <c r="J582" s="788"/>
      <c r="K582" s="788"/>
      <c r="L582" s="788"/>
      <c r="M582" s="788"/>
      <c r="N582" s="788"/>
      <c r="O582" s="788"/>
      <c r="P582" s="772"/>
      <c r="R582" s="774"/>
    </row>
    <row r="583" spans="1:22" hidden="1">
      <c r="A583" s="786">
        <v>583</v>
      </c>
      <c r="B583" s="767"/>
      <c r="C583" s="767" t="s">
        <v>958</v>
      </c>
      <c r="D583" s="767" t="s">
        <v>959</v>
      </c>
      <c r="E583" s="767"/>
      <c r="F583" s="806" t="s">
        <v>1412</v>
      </c>
      <c r="G583" s="778"/>
      <c r="H583" s="815">
        <v>-8722010.6267794874</v>
      </c>
      <c r="I583" s="815">
        <v>-4018371.5008267239</v>
      </c>
      <c r="J583" s="815">
        <v>-1260769.9244404023</v>
      </c>
      <c r="K583" s="815">
        <v>-1750363.9079155871</v>
      </c>
      <c r="L583" s="815">
        <v>-694228.59845391149</v>
      </c>
      <c r="M583" s="815">
        <v>-573792.86514411191</v>
      </c>
      <c r="N583" s="815">
        <v>-384360.37349929695</v>
      </c>
      <c r="O583" s="815">
        <v>-40123.456499453932</v>
      </c>
      <c r="P583" s="772">
        <v>0</v>
      </c>
      <c r="Q583" s="774"/>
      <c r="R583" s="774">
        <v>795</v>
      </c>
      <c r="S583" s="774"/>
      <c r="T583" s="774"/>
      <c r="U583" s="774"/>
      <c r="V583" s="774"/>
    </row>
    <row r="584" spans="1:22" hidden="1">
      <c r="A584" s="786">
        <v>584</v>
      </c>
      <c r="B584" s="767"/>
      <c r="C584" s="767"/>
      <c r="D584" s="767"/>
      <c r="E584" s="767"/>
      <c r="F584" s="806"/>
      <c r="G584" s="778"/>
      <c r="H584" s="788"/>
      <c r="I584" s="788"/>
      <c r="J584" s="788"/>
      <c r="K584" s="788"/>
      <c r="L584" s="788"/>
      <c r="M584" s="788"/>
      <c r="N584" s="788"/>
      <c r="O584" s="788"/>
      <c r="P584" s="772"/>
      <c r="R584" s="774"/>
    </row>
    <row r="585" spans="1:22" hidden="1">
      <c r="A585" s="786">
        <v>585</v>
      </c>
      <c r="B585" s="767"/>
      <c r="C585" s="767" t="s">
        <v>960</v>
      </c>
      <c r="D585" s="767" t="s">
        <v>961</v>
      </c>
      <c r="E585" s="767"/>
      <c r="F585" s="806"/>
      <c r="G585" s="778"/>
      <c r="H585" s="815"/>
      <c r="I585" s="815"/>
      <c r="J585" s="815"/>
      <c r="K585" s="815"/>
      <c r="L585" s="815"/>
      <c r="M585" s="815"/>
      <c r="N585" s="815"/>
      <c r="O585" s="815"/>
      <c r="P585" s="772"/>
      <c r="Q585" s="774"/>
      <c r="R585" s="774"/>
      <c r="S585" s="774"/>
      <c r="T585" s="774"/>
      <c r="U585" s="774"/>
      <c r="V585" s="774"/>
    </row>
    <row r="586" spans="1:22" hidden="1">
      <c r="A586" s="786">
        <v>586</v>
      </c>
      <c r="B586" s="767"/>
      <c r="C586" s="767"/>
      <c r="D586" s="767"/>
      <c r="E586" s="767" t="s">
        <v>962</v>
      </c>
      <c r="F586" s="806" t="s">
        <v>1412</v>
      </c>
      <c r="G586" s="778"/>
      <c r="H586" s="815">
        <v>46294.94</v>
      </c>
      <c r="I586" s="815">
        <v>21328.828350347114</v>
      </c>
      <c r="J586" s="815">
        <v>6691.9510309430198</v>
      </c>
      <c r="K586" s="815">
        <v>9290.6321217173554</v>
      </c>
      <c r="L586" s="815">
        <v>3684.8466124347092</v>
      </c>
      <c r="M586" s="815">
        <v>3045.5943475596437</v>
      </c>
      <c r="N586" s="815">
        <v>2040.1190953487492</v>
      </c>
      <c r="O586" s="815">
        <v>212.96844164941101</v>
      </c>
      <c r="P586" s="772">
        <v>0</v>
      </c>
      <c r="Q586" s="774"/>
      <c r="R586" s="774">
        <v>798</v>
      </c>
      <c r="S586" s="774"/>
      <c r="T586" s="774"/>
      <c r="U586" s="774"/>
      <c r="V586" s="774"/>
    </row>
    <row r="587" spans="1:22" hidden="1">
      <c r="A587" s="786">
        <v>587</v>
      </c>
      <c r="B587" s="767"/>
      <c r="C587" s="767"/>
      <c r="D587" s="767"/>
      <c r="E587" s="767" t="s">
        <v>7</v>
      </c>
      <c r="F587" s="806" t="s">
        <v>1412</v>
      </c>
      <c r="G587" s="778"/>
      <c r="H587" s="815">
        <v>0</v>
      </c>
      <c r="I587" s="815">
        <v>0</v>
      </c>
      <c r="J587" s="815">
        <v>0</v>
      </c>
      <c r="K587" s="815">
        <v>0</v>
      </c>
      <c r="L587" s="815">
        <v>0</v>
      </c>
      <c r="M587" s="815">
        <v>0</v>
      </c>
      <c r="N587" s="815">
        <v>0</v>
      </c>
      <c r="O587" s="815">
        <v>0</v>
      </c>
      <c r="P587" s="772">
        <v>0</v>
      </c>
      <c r="Q587" s="774"/>
      <c r="R587" s="774">
        <v>799</v>
      </c>
      <c r="S587" s="774"/>
      <c r="T587" s="774"/>
      <c r="U587" s="774"/>
      <c r="V587" s="774"/>
    </row>
    <row r="588" spans="1:22" hidden="1">
      <c r="A588" s="786">
        <v>588</v>
      </c>
      <c r="B588" s="767"/>
      <c r="C588" s="767"/>
      <c r="D588" s="767"/>
      <c r="E588" s="767" t="s">
        <v>963</v>
      </c>
      <c r="F588" s="806" t="s">
        <v>1412</v>
      </c>
      <c r="G588" s="778"/>
      <c r="H588" s="815">
        <v>118789.42476409205</v>
      </c>
      <c r="I588" s="815">
        <v>54728.21113127681</v>
      </c>
      <c r="J588" s="815">
        <v>17171.056135188726</v>
      </c>
      <c r="K588" s="815">
        <v>23839.081451095968</v>
      </c>
      <c r="L588" s="815">
        <v>9455.0464788383415</v>
      </c>
      <c r="M588" s="815">
        <v>7814.7719947661735</v>
      </c>
      <c r="N588" s="815">
        <v>5234.7961523811837</v>
      </c>
      <c r="O588" s="815">
        <v>546.46142054485074</v>
      </c>
      <c r="P588" s="772">
        <v>0</v>
      </c>
      <c r="Q588" s="774"/>
      <c r="R588" s="774">
        <v>800</v>
      </c>
      <c r="S588" s="774"/>
      <c r="T588" s="774"/>
      <c r="U588" s="774"/>
      <c r="V588" s="774"/>
    </row>
    <row r="589" spans="1:22" hidden="1">
      <c r="A589" s="786">
        <v>589</v>
      </c>
      <c r="B589" s="767"/>
      <c r="C589" s="767"/>
      <c r="D589" s="767"/>
      <c r="E589" s="767" t="s">
        <v>963</v>
      </c>
      <c r="F589" s="806" t="s">
        <v>1412</v>
      </c>
      <c r="G589" s="778"/>
      <c r="H589" s="815">
        <v>0</v>
      </c>
      <c r="I589" s="815">
        <v>0</v>
      </c>
      <c r="J589" s="815">
        <v>0</v>
      </c>
      <c r="K589" s="815">
        <v>0</v>
      </c>
      <c r="L589" s="815">
        <v>0</v>
      </c>
      <c r="M589" s="815">
        <v>0</v>
      </c>
      <c r="N589" s="815">
        <v>0</v>
      </c>
      <c r="O589" s="815">
        <v>0</v>
      </c>
      <c r="P589" s="772">
        <v>0</v>
      </c>
      <c r="Q589" s="774"/>
      <c r="R589" s="774">
        <v>801</v>
      </c>
      <c r="S589" s="774"/>
      <c r="T589" s="774"/>
      <c r="U589" s="774"/>
      <c r="V589" s="774"/>
    </row>
    <row r="590" spans="1:22" hidden="1">
      <c r="A590" s="786">
        <v>590</v>
      </c>
      <c r="B590" s="767"/>
      <c r="C590" s="767"/>
      <c r="D590" s="767"/>
      <c r="E590" s="767" t="s">
        <v>7</v>
      </c>
      <c r="F590" s="806" t="s">
        <v>1412</v>
      </c>
      <c r="G590" s="778"/>
      <c r="H590" s="815">
        <v>0</v>
      </c>
      <c r="I590" s="815">
        <v>0</v>
      </c>
      <c r="J590" s="815">
        <v>0</v>
      </c>
      <c r="K590" s="815">
        <v>0</v>
      </c>
      <c r="L590" s="815">
        <v>0</v>
      </c>
      <c r="M590" s="815">
        <v>0</v>
      </c>
      <c r="N590" s="815">
        <v>0</v>
      </c>
      <c r="O590" s="815">
        <v>0</v>
      </c>
      <c r="P590" s="772">
        <v>0</v>
      </c>
      <c r="Q590" s="774"/>
      <c r="R590" s="774">
        <v>802</v>
      </c>
      <c r="S590" s="774"/>
      <c r="T590" s="774"/>
      <c r="U590" s="774"/>
      <c r="V590" s="774"/>
    </row>
    <row r="591" spans="1:22" hidden="1">
      <c r="A591" s="786">
        <v>591</v>
      </c>
      <c r="B591" s="767"/>
      <c r="C591" s="767"/>
      <c r="D591" s="767"/>
      <c r="E591" s="767"/>
      <c r="F591" s="806"/>
      <c r="G591" s="778"/>
      <c r="H591" s="788"/>
      <c r="I591" s="788"/>
      <c r="J591" s="788"/>
      <c r="K591" s="788"/>
      <c r="L591" s="788"/>
      <c r="M591" s="788"/>
      <c r="N591" s="788"/>
      <c r="O591" s="788"/>
      <c r="P591" s="772"/>
      <c r="R591" s="774"/>
    </row>
    <row r="592" spans="1:22" hidden="1">
      <c r="A592" s="786">
        <v>592</v>
      </c>
      <c r="B592" s="767"/>
      <c r="C592" s="767" t="s">
        <v>964</v>
      </c>
      <c r="D592" s="767" t="s">
        <v>748</v>
      </c>
      <c r="E592" s="767"/>
      <c r="F592" s="806" t="s">
        <v>1411</v>
      </c>
      <c r="G592" s="778"/>
      <c r="H592" s="815">
        <v>184602.37212868125</v>
      </c>
      <c r="I592" s="815">
        <v>85944.893146180839</v>
      </c>
      <c r="J592" s="815">
        <v>26494.3643648582</v>
      </c>
      <c r="K592" s="815">
        <v>36586.119197596061</v>
      </c>
      <c r="L592" s="815">
        <v>14619.772713979279</v>
      </c>
      <c r="M592" s="815">
        <v>11941.678318074279</v>
      </c>
      <c r="N592" s="815">
        <v>8204.742218755744</v>
      </c>
      <c r="O592" s="815">
        <v>810.80216923685157</v>
      </c>
      <c r="P592" s="772">
        <v>0</v>
      </c>
      <c r="Q592" s="774"/>
      <c r="R592" s="774">
        <v>808</v>
      </c>
      <c r="S592" s="774"/>
      <c r="T592" s="774"/>
      <c r="U592" s="774"/>
      <c r="V592" s="774"/>
    </row>
    <row r="593" spans="1:22" hidden="1">
      <c r="A593" s="786">
        <v>593</v>
      </c>
      <c r="B593" s="767"/>
      <c r="C593" s="767"/>
      <c r="D593" s="767"/>
      <c r="E593" s="767"/>
      <c r="F593" s="806"/>
      <c r="G593" s="778"/>
      <c r="H593" s="788"/>
      <c r="I593" s="788"/>
      <c r="J593" s="788"/>
      <c r="K593" s="788"/>
      <c r="L593" s="788"/>
      <c r="M593" s="788"/>
      <c r="N593" s="788"/>
      <c r="O593" s="788"/>
      <c r="P593" s="772"/>
      <c r="R593" s="774"/>
    </row>
    <row r="594" spans="1:22" hidden="1">
      <c r="A594" s="786">
        <v>594</v>
      </c>
      <c r="B594" s="767"/>
      <c r="C594" s="767" t="s">
        <v>965</v>
      </c>
      <c r="D594" s="767" t="s">
        <v>966</v>
      </c>
      <c r="E594" s="767"/>
      <c r="F594" s="806" t="s">
        <v>1415</v>
      </c>
      <c r="G594" s="778"/>
      <c r="H594" s="815">
        <v>1613842.6044818785</v>
      </c>
      <c r="I594" s="815">
        <v>743399.80027853744</v>
      </c>
      <c r="J594" s="815">
        <v>230043.72116820188</v>
      </c>
      <c r="K594" s="815">
        <v>324539.3650277147</v>
      </c>
      <c r="L594" s="815">
        <v>130068.06627652282</v>
      </c>
      <c r="M594" s="815">
        <v>107962.43300842587</v>
      </c>
      <c r="N594" s="815">
        <v>71011.503906053666</v>
      </c>
      <c r="O594" s="815">
        <v>6817.7148164219461</v>
      </c>
      <c r="P594" s="772">
        <v>0</v>
      </c>
      <c r="Q594" s="774"/>
      <c r="R594" s="774">
        <v>814</v>
      </c>
      <c r="S594" s="774"/>
      <c r="T594" s="774"/>
      <c r="U594" s="774"/>
      <c r="V594" s="774"/>
    </row>
    <row r="595" spans="1:22" hidden="1">
      <c r="A595" s="786">
        <v>595</v>
      </c>
      <c r="B595" s="767"/>
      <c r="C595" s="767"/>
      <c r="D595" s="767"/>
      <c r="E595" s="767"/>
      <c r="F595" s="806"/>
      <c r="G595" s="778"/>
      <c r="H595" s="788"/>
      <c r="I595" s="788"/>
      <c r="J595" s="788"/>
      <c r="K595" s="788"/>
      <c r="L595" s="788"/>
      <c r="M595" s="788"/>
      <c r="N595" s="788"/>
      <c r="O595" s="788"/>
      <c r="P595" s="772"/>
      <c r="R595" s="774"/>
    </row>
    <row r="596" spans="1:22" hidden="1">
      <c r="A596" s="786">
        <v>596</v>
      </c>
      <c r="B596" s="767"/>
      <c r="C596" s="767" t="s">
        <v>967</v>
      </c>
      <c r="D596" s="767"/>
      <c r="E596" s="767"/>
      <c r="F596" s="806"/>
      <c r="G596" s="778"/>
      <c r="H596" s="815">
        <v>8678091.6868191902</v>
      </c>
      <c r="I596" s="815">
        <v>3998137.3341609417</v>
      </c>
      <c r="J596" s="815">
        <v>1254421.425110989</v>
      </c>
      <c r="K596" s="815">
        <v>1741550.0998763735</v>
      </c>
      <c r="L596" s="815">
        <v>690732.86960893543</v>
      </c>
      <c r="M596" s="815">
        <v>570903.58015327062</v>
      </c>
      <c r="N596" s="815">
        <v>382424.95964930649</v>
      </c>
      <c r="O596" s="815">
        <v>39921.418259373298</v>
      </c>
      <c r="P596" s="772">
        <v>0</v>
      </c>
      <c r="Q596" s="774"/>
      <c r="R596" s="774"/>
      <c r="S596" s="774"/>
      <c r="T596" s="774"/>
      <c r="U596" s="774"/>
      <c r="V596" s="774"/>
    </row>
    <row r="597" spans="1:22" hidden="1">
      <c r="A597" s="786">
        <v>597</v>
      </c>
      <c r="B597" s="767"/>
      <c r="C597" s="767"/>
      <c r="D597" s="767"/>
      <c r="E597" s="767"/>
      <c r="F597" s="806"/>
      <c r="G597" s="778"/>
      <c r="H597" s="788"/>
      <c r="I597" s="788"/>
      <c r="J597" s="788"/>
      <c r="K597" s="788"/>
      <c r="L597" s="788"/>
      <c r="M597" s="788"/>
      <c r="N597" s="788"/>
      <c r="O597" s="788"/>
      <c r="P597" s="772"/>
      <c r="R597" s="774"/>
    </row>
    <row r="598" spans="1:22" hidden="1">
      <c r="A598" s="786">
        <v>598</v>
      </c>
      <c r="B598" s="767"/>
      <c r="C598" s="767"/>
      <c r="D598" s="767"/>
      <c r="E598" s="767"/>
      <c r="F598" s="806"/>
      <c r="G598" s="778"/>
      <c r="H598" s="788"/>
      <c r="I598" s="788"/>
      <c r="J598" s="788"/>
      <c r="K598" s="788"/>
      <c r="L598" s="788"/>
      <c r="M598" s="788"/>
      <c r="N598" s="788"/>
      <c r="O598" s="788"/>
      <c r="P598" s="772"/>
      <c r="R598" s="774"/>
    </row>
    <row r="599" spans="1:22" ht="13.5" hidden="1" thickBot="1">
      <c r="A599" s="786">
        <v>599</v>
      </c>
      <c r="B599" s="767"/>
      <c r="C599" s="767" t="s">
        <v>968</v>
      </c>
      <c r="D599" s="767"/>
      <c r="E599" s="767"/>
      <c r="F599" s="806"/>
      <c r="G599" s="778"/>
      <c r="H599" s="814">
        <v>167580764.75903341</v>
      </c>
      <c r="I599" s="814">
        <v>75285956.901894167</v>
      </c>
      <c r="J599" s="814">
        <v>22620147.642693497</v>
      </c>
      <c r="K599" s="814">
        <v>35193817.722888887</v>
      </c>
      <c r="L599" s="814">
        <v>14335647.268913005</v>
      </c>
      <c r="M599" s="814">
        <v>13044391.894951452</v>
      </c>
      <c r="N599" s="814">
        <v>6529809.0947091198</v>
      </c>
      <c r="O599" s="814">
        <v>570994.23298328172</v>
      </c>
      <c r="P599" s="772">
        <v>0</v>
      </c>
      <c r="Q599" s="774"/>
      <c r="R599" s="774"/>
      <c r="S599" s="774"/>
      <c r="T599" s="774"/>
      <c r="U599" s="774"/>
      <c r="V599" s="774"/>
    </row>
    <row r="600" spans="1:22" ht="13.5" hidden="1" thickTop="1">
      <c r="A600" s="786">
        <v>600</v>
      </c>
      <c r="B600" s="767"/>
      <c r="C600" s="767"/>
      <c r="D600" s="767"/>
      <c r="E600" s="767"/>
      <c r="F600" s="806"/>
      <c r="H600" s="817"/>
      <c r="I600" s="817"/>
      <c r="J600" s="817"/>
      <c r="K600" s="817"/>
      <c r="L600" s="819"/>
      <c r="M600" s="817"/>
      <c r="N600" s="817"/>
      <c r="O600" s="817"/>
      <c r="P600" s="772"/>
      <c r="R600" s="774"/>
    </row>
    <row r="601" spans="1:22" hidden="1">
      <c r="A601" s="786">
        <v>601</v>
      </c>
      <c r="B601" s="767"/>
      <c r="C601" s="781" t="s">
        <v>714</v>
      </c>
      <c r="D601" s="767"/>
      <c r="E601" s="767"/>
      <c r="F601" s="806"/>
      <c r="G601" s="778"/>
      <c r="H601" s="817" t="s">
        <v>969</v>
      </c>
      <c r="I601" s="817"/>
      <c r="J601" s="817"/>
      <c r="K601" s="817"/>
      <c r="L601" s="817"/>
      <c r="M601" s="817"/>
      <c r="N601" s="817"/>
      <c r="O601" s="817"/>
      <c r="P601" s="772"/>
      <c r="R601" s="774"/>
    </row>
    <row r="602" spans="1:22" hidden="1">
      <c r="A602" s="786">
        <v>602</v>
      </c>
      <c r="B602" s="767"/>
      <c r="C602" s="767"/>
      <c r="D602" s="767"/>
      <c r="E602" s="767"/>
      <c r="F602" s="806"/>
      <c r="G602" s="778"/>
      <c r="H602" s="810"/>
      <c r="I602" s="810"/>
      <c r="J602" s="810"/>
      <c r="K602" s="810"/>
      <c r="L602" s="810"/>
      <c r="M602" s="810"/>
      <c r="N602" s="810"/>
      <c r="O602" s="810"/>
      <c r="P602" s="772"/>
      <c r="R602" s="774"/>
    </row>
    <row r="603" spans="1:22" hidden="1">
      <c r="A603" s="786">
        <v>603</v>
      </c>
      <c r="B603" s="767"/>
      <c r="C603" s="777" t="s">
        <v>575</v>
      </c>
      <c r="D603" s="767"/>
      <c r="E603" s="777" t="s">
        <v>576</v>
      </c>
      <c r="F603" s="806" t="s">
        <v>577</v>
      </c>
      <c r="G603" s="778"/>
      <c r="H603" s="777" t="s">
        <v>578</v>
      </c>
      <c r="I603" s="777" t="s">
        <v>579</v>
      </c>
      <c r="J603" s="777" t="s">
        <v>580</v>
      </c>
      <c r="K603" s="777" t="s">
        <v>581</v>
      </c>
      <c r="L603" s="777" t="s">
        <v>582</v>
      </c>
      <c r="M603" s="777" t="s">
        <v>583</v>
      </c>
      <c r="N603" s="777" t="s">
        <v>584</v>
      </c>
      <c r="O603" s="777" t="s">
        <v>585</v>
      </c>
      <c r="P603" s="772"/>
      <c r="R603" s="774"/>
    </row>
    <row r="604" spans="1:22" ht="38.25" hidden="1">
      <c r="A604" s="786">
        <v>604</v>
      </c>
      <c r="B604" s="767"/>
      <c r="C604" s="797" t="s">
        <v>656</v>
      </c>
      <c r="D604" s="781"/>
      <c r="E604" s="782" t="s">
        <v>587</v>
      </c>
      <c r="F604" s="806" t="s">
        <v>1391</v>
      </c>
      <c r="G604" s="783"/>
      <c r="H604" s="784" t="s">
        <v>588</v>
      </c>
      <c r="I604" s="784" t="s">
        <v>589</v>
      </c>
      <c r="J604" s="784" t="s">
        <v>590</v>
      </c>
      <c r="K604" s="784" t="s">
        <v>591</v>
      </c>
      <c r="L604" s="784" t="s">
        <v>592</v>
      </c>
      <c r="M604" s="784" t="s">
        <v>593</v>
      </c>
      <c r="N604" s="784" t="s">
        <v>594</v>
      </c>
      <c r="O604" s="784" t="s">
        <v>595</v>
      </c>
      <c r="P604" s="772"/>
      <c r="R604" s="774"/>
    </row>
    <row r="605" spans="1:22" hidden="1">
      <c r="A605" s="786">
        <v>605</v>
      </c>
      <c r="B605" s="767"/>
      <c r="C605" s="767" t="s">
        <v>970</v>
      </c>
      <c r="D605" s="767" t="s">
        <v>971</v>
      </c>
      <c r="E605" s="767"/>
      <c r="F605" s="806" t="s">
        <v>1392</v>
      </c>
      <c r="G605" s="778"/>
      <c r="H605" s="815">
        <v>68355332.98983033</v>
      </c>
      <c r="I605" s="815">
        <v>28589599.263582557</v>
      </c>
      <c r="J605" s="815">
        <v>9134774.9940248821</v>
      </c>
      <c r="K605" s="815">
        <v>15501875.911249105</v>
      </c>
      <c r="L605" s="815">
        <v>6319414.5774461674</v>
      </c>
      <c r="M605" s="815">
        <v>5976445.022956348</v>
      </c>
      <c r="N605" s="815">
        <v>2723221.5989881512</v>
      </c>
      <c r="O605" s="815">
        <v>110001.6215831265</v>
      </c>
      <c r="P605" s="772">
        <v>0</v>
      </c>
      <c r="Q605" s="774"/>
      <c r="R605" s="774">
        <v>827</v>
      </c>
      <c r="S605" s="774"/>
      <c r="T605" s="774"/>
      <c r="U605" s="774"/>
      <c r="V605" s="774"/>
    </row>
    <row r="606" spans="1:22" hidden="1">
      <c r="A606" s="786">
        <v>606</v>
      </c>
      <c r="B606" s="767"/>
      <c r="C606" s="767"/>
      <c r="D606" s="767"/>
      <c r="E606" s="767"/>
      <c r="F606" s="806"/>
      <c r="G606" s="778"/>
      <c r="H606" s="788"/>
      <c r="I606" s="788"/>
      <c r="J606" s="788"/>
      <c r="K606" s="788"/>
      <c r="L606" s="788"/>
      <c r="M606" s="788"/>
      <c r="N606" s="788"/>
      <c r="O606" s="788"/>
      <c r="P606" s="772"/>
      <c r="R606" s="774"/>
    </row>
    <row r="607" spans="1:22" hidden="1">
      <c r="A607" s="786">
        <v>607</v>
      </c>
      <c r="B607" s="767"/>
      <c r="C607" s="767" t="s">
        <v>972</v>
      </c>
      <c r="D607" s="767" t="s">
        <v>973</v>
      </c>
      <c r="E607" s="767"/>
      <c r="F607" s="806" t="s">
        <v>1392</v>
      </c>
      <c r="G607" s="778"/>
      <c r="H607" s="815">
        <v>0</v>
      </c>
      <c r="I607" s="815">
        <v>0</v>
      </c>
      <c r="J607" s="815">
        <v>0</v>
      </c>
      <c r="K607" s="815">
        <v>0</v>
      </c>
      <c r="L607" s="815">
        <v>0</v>
      </c>
      <c r="M607" s="815">
        <v>0</v>
      </c>
      <c r="N607" s="815">
        <v>0</v>
      </c>
      <c r="O607" s="815">
        <v>0</v>
      </c>
      <c r="P607" s="772">
        <v>0</v>
      </c>
      <c r="Q607" s="774"/>
      <c r="R607" s="774">
        <v>831</v>
      </c>
      <c r="S607" s="774"/>
      <c r="T607" s="774"/>
      <c r="U607" s="774"/>
      <c r="V607" s="774"/>
    </row>
    <row r="608" spans="1:22" hidden="1">
      <c r="A608" s="786">
        <v>608</v>
      </c>
      <c r="B608" s="767"/>
      <c r="C608" s="767"/>
      <c r="D608" s="767"/>
      <c r="E608" s="767"/>
      <c r="F608" s="806"/>
      <c r="G608" s="778"/>
      <c r="H608" s="788"/>
      <c r="I608" s="788"/>
      <c r="J608" s="788"/>
      <c r="K608" s="788"/>
      <c r="L608" s="788"/>
      <c r="M608" s="788"/>
      <c r="N608" s="788"/>
      <c r="O608" s="788"/>
      <c r="P608" s="772"/>
      <c r="R608" s="774"/>
    </row>
    <row r="609" spans="1:22" hidden="1">
      <c r="A609" s="786">
        <v>609</v>
      </c>
      <c r="B609" s="767"/>
      <c r="C609" s="767" t="s">
        <v>974</v>
      </c>
      <c r="D609" s="767" t="s">
        <v>975</v>
      </c>
      <c r="E609" s="767"/>
      <c r="F609" s="806" t="s">
        <v>1392</v>
      </c>
      <c r="G609" s="778"/>
      <c r="H609" s="815">
        <v>2834113.4949658196</v>
      </c>
      <c r="I609" s="815">
        <v>1185367.1914763253</v>
      </c>
      <c r="J609" s="815">
        <v>378741.3205622728</v>
      </c>
      <c r="K609" s="815">
        <v>642730.76870085625</v>
      </c>
      <c r="L609" s="815">
        <v>262012.30175981272</v>
      </c>
      <c r="M609" s="815">
        <v>247792.27531525388</v>
      </c>
      <c r="N609" s="815">
        <v>112908.80675869083</v>
      </c>
      <c r="O609" s="815">
        <v>4560.8303926080553</v>
      </c>
      <c r="P609" s="772">
        <v>0</v>
      </c>
      <c r="Q609" s="774"/>
      <c r="R609" s="774">
        <v>838</v>
      </c>
      <c r="S609" s="774"/>
      <c r="T609" s="774"/>
      <c r="U609" s="774"/>
      <c r="V609" s="774"/>
    </row>
    <row r="610" spans="1:22" hidden="1">
      <c r="A610" s="786">
        <v>610</v>
      </c>
      <c r="B610" s="767"/>
      <c r="C610" s="767"/>
      <c r="D610" s="767"/>
      <c r="E610" s="767"/>
      <c r="F610" s="806"/>
      <c r="G610" s="778"/>
      <c r="H610" s="788"/>
      <c r="I610" s="788"/>
      <c r="J610" s="788"/>
      <c r="K610" s="788"/>
      <c r="L610" s="788"/>
      <c r="M610" s="788"/>
      <c r="N610" s="788"/>
      <c r="O610" s="788"/>
      <c r="P610" s="772"/>
      <c r="R610" s="774"/>
    </row>
    <row r="611" spans="1:22" hidden="1">
      <c r="A611" s="786">
        <v>611</v>
      </c>
      <c r="B611" s="767"/>
      <c r="C611" s="767" t="s">
        <v>976</v>
      </c>
      <c r="D611" s="767" t="s">
        <v>977</v>
      </c>
      <c r="E611" s="767"/>
      <c r="F611" s="806" t="s">
        <v>1392</v>
      </c>
      <c r="G611" s="778"/>
      <c r="H611" s="815">
        <v>0</v>
      </c>
      <c r="I611" s="815">
        <v>0</v>
      </c>
      <c r="J611" s="815">
        <v>0</v>
      </c>
      <c r="K611" s="815">
        <v>0</v>
      </c>
      <c r="L611" s="815">
        <v>0</v>
      </c>
      <c r="M611" s="815">
        <v>0</v>
      </c>
      <c r="N611" s="815">
        <v>0</v>
      </c>
      <c r="O611" s="815">
        <v>0</v>
      </c>
      <c r="P611" s="772">
        <v>0</v>
      </c>
      <c r="Q611" s="774"/>
      <c r="R611" s="774">
        <v>841</v>
      </c>
      <c r="S611" s="774"/>
      <c r="T611" s="774"/>
      <c r="U611" s="774"/>
      <c r="V611" s="774"/>
    </row>
    <row r="612" spans="1:22" hidden="1">
      <c r="A612" s="786">
        <v>612</v>
      </c>
      <c r="B612" s="767"/>
      <c r="C612" s="767"/>
      <c r="D612" s="767"/>
      <c r="E612" s="820" t="s">
        <v>978</v>
      </c>
      <c r="F612" s="806" t="s">
        <v>1392</v>
      </c>
      <c r="G612" s="778"/>
      <c r="H612" s="815">
        <v>13312684.231893834</v>
      </c>
      <c r="I612" s="815">
        <v>5568026.5264611328</v>
      </c>
      <c r="J612" s="815">
        <v>1779061.9942257556</v>
      </c>
      <c r="K612" s="815">
        <v>3019099.900210625</v>
      </c>
      <c r="L612" s="815">
        <v>1230750.6542683942</v>
      </c>
      <c r="M612" s="815">
        <v>1163954.9094395954</v>
      </c>
      <c r="N612" s="815">
        <v>530366.65399897809</v>
      </c>
      <c r="O612" s="815">
        <v>21423.593289353321</v>
      </c>
      <c r="P612" s="772">
        <v>0</v>
      </c>
      <c r="Q612" s="774"/>
      <c r="R612" s="774">
        <v>842</v>
      </c>
      <c r="S612" s="774"/>
      <c r="T612" s="774"/>
      <c r="U612" s="774"/>
      <c r="V612" s="774"/>
    </row>
    <row r="613" spans="1:22" hidden="1">
      <c r="A613" s="786">
        <v>613</v>
      </c>
      <c r="B613" s="767"/>
      <c r="C613" s="767"/>
      <c r="D613" s="767"/>
      <c r="E613" s="820" t="s">
        <v>979</v>
      </c>
      <c r="F613" s="806" t="s">
        <v>1392</v>
      </c>
      <c r="G613" s="778"/>
      <c r="H613" s="815">
        <v>0</v>
      </c>
      <c r="I613" s="815">
        <v>0</v>
      </c>
      <c r="J613" s="815">
        <v>0</v>
      </c>
      <c r="K613" s="815">
        <v>0</v>
      </c>
      <c r="L613" s="815">
        <v>0</v>
      </c>
      <c r="M613" s="815">
        <v>0</v>
      </c>
      <c r="N613" s="815">
        <v>0</v>
      </c>
      <c r="O613" s="815">
        <v>0</v>
      </c>
      <c r="P613" s="772">
        <v>0</v>
      </c>
      <c r="Q613" s="774"/>
      <c r="R613" s="774">
        <v>843</v>
      </c>
      <c r="S613" s="774"/>
      <c r="T613" s="774"/>
      <c r="U613" s="774"/>
      <c r="V613" s="774"/>
    </row>
    <row r="614" spans="1:22" hidden="1">
      <c r="A614" s="786">
        <v>614</v>
      </c>
      <c r="B614" s="767"/>
      <c r="C614" s="767"/>
      <c r="D614" s="767"/>
      <c r="E614" s="820" t="s">
        <v>979</v>
      </c>
      <c r="F614" s="806" t="s">
        <v>1392</v>
      </c>
      <c r="G614" s="778"/>
      <c r="H614" s="815">
        <v>4220823.0662045786</v>
      </c>
      <c r="I614" s="815">
        <v>1765358.0890788403</v>
      </c>
      <c r="J614" s="815">
        <v>564056.4870791469</v>
      </c>
      <c r="K614" s="815">
        <v>957213.90788010485</v>
      </c>
      <c r="L614" s="815">
        <v>390212.87215969793</v>
      </c>
      <c r="M614" s="815">
        <v>369035.09797180962</v>
      </c>
      <c r="N614" s="815">
        <v>168154.2029954821</v>
      </c>
      <c r="O614" s="815">
        <v>6792.4090394972445</v>
      </c>
      <c r="P614" s="772">
        <v>0</v>
      </c>
      <c r="Q614" s="774"/>
      <c r="R614" s="774">
        <v>844</v>
      </c>
      <c r="S614" s="774"/>
      <c r="T614" s="774"/>
      <c r="U614" s="774"/>
      <c r="V614" s="774"/>
    </row>
    <row r="615" spans="1:22" hidden="1">
      <c r="A615" s="786">
        <v>615</v>
      </c>
      <c r="B615" s="767"/>
      <c r="C615" s="767"/>
      <c r="D615" s="767"/>
      <c r="E615" s="820" t="s">
        <v>980</v>
      </c>
      <c r="F615" s="806" t="s">
        <v>1392</v>
      </c>
      <c r="G615" s="778"/>
      <c r="H615" s="815">
        <v>0</v>
      </c>
      <c r="I615" s="815">
        <v>0</v>
      </c>
      <c r="J615" s="815">
        <v>0</v>
      </c>
      <c r="K615" s="815">
        <v>0</v>
      </c>
      <c r="L615" s="815">
        <v>0</v>
      </c>
      <c r="M615" s="815">
        <v>0</v>
      </c>
      <c r="N615" s="815">
        <v>0</v>
      </c>
      <c r="O615" s="815">
        <v>0</v>
      </c>
      <c r="P615" s="772">
        <v>0</v>
      </c>
      <c r="Q615" s="774"/>
      <c r="R615" s="774">
        <v>845</v>
      </c>
      <c r="S615" s="774"/>
      <c r="T615" s="774"/>
      <c r="U615" s="774"/>
      <c r="V615" s="774"/>
    </row>
    <row r="616" spans="1:22" hidden="1">
      <c r="A616" s="786">
        <v>616</v>
      </c>
      <c r="B616" s="767"/>
      <c r="C616" s="767"/>
      <c r="D616" s="767"/>
      <c r="E616" s="767" t="s">
        <v>981</v>
      </c>
      <c r="F616" s="806"/>
      <c r="G616" s="778"/>
      <c r="H616" s="815">
        <v>17533507.298098415</v>
      </c>
      <c r="I616" s="815">
        <v>7333384.6155399736</v>
      </c>
      <c r="J616" s="815">
        <v>2343118.4813049026</v>
      </c>
      <c r="K616" s="815">
        <v>3976313.8080907296</v>
      </c>
      <c r="L616" s="815">
        <v>1620963.5264280923</v>
      </c>
      <c r="M616" s="815">
        <v>1532990.007411405</v>
      </c>
      <c r="N616" s="815">
        <v>698520.85699446022</v>
      </c>
      <c r="O616" s="815">
        <v>28216.002328850565</v>
      </c>
      <c r="P616" s="772">
        <v>0</v>
      </c>
      <c r="Q616" s="774"/>
      <c r="R616" s="774"/>
      <c r="S616" s="774"/>
      <c r="T616" s="774"/>
      <c r="U616" s="774"/>
      <c r="V616" s="774"/>
    </row>
    <row r="617" spans="1:22" hidden="1">
      <c r="A617" s="786">
        <v>617</v>
      </c>
      <c r="B617" s="767"/>
      <c r="C617" s="767"/>
      <c r="D617" s="767"/>
      <c r="E617" s="767"/>
      <c r="F617" s="806"/>
      <c r="G617" s="778"/>
      <c r="H617" s="788"/>
      <c r="I617" s="788"/>
      <c r="J617" s="788"/>
      <c r="K617" s="788"/>
      <c r="L617" s="788"/>
      <c r="M617" s="788"/>
      <c r="N617" s="788"/>
      <c r="O617" s="788"/>
      <c r="P617" s="772"/>
      <c r="R617" s="774"/>
    </row>
    <row r="618" spans="1:22" hidden="1">
      <c r="A618" s="786">
        <v>618</v>
      </c>
      <c r="B618" s="767"/>
      <c r="C618" s="767" t="s">
        <v>982</v>
      </c>
      <c r="D618" s="767" t="s">
        <v>983</v>
      </c>
      <c r="E618" s="767"/>
      <c r="F618" s="806" t="s">
        <v>1416</v>
      </c>
      <c r="G618" s="778"/>
      <c r="H618" s="815">
        <v>11977688.546938295</v>
      </c>
      <c r="I618" s="815">
        <v>5344937.8780345945</v>
      </c>
      <c r="J618" s="815">
        <v>1589828.4147197879</v>
      </c>
      <c r="K618" s="815">
        <v>2545403.3493050504</v>
      </c>
      <c r="L618" s="815">
        <v>1030681.3221895869</v>
      </c>
      <c r="M618" s="815">
        <v>1011271.668189406</v>
      </c>
      <c r="N618" s="815">
        <v>441633.64743724972</v>
      </c>
      <c r="O618" s="815">
        <v>13932.267062616806</v>
      </c>
      <c r="P618" s="772">
        <v>0</v>
      </c>
      <c r="Q618" s="774"/>
      <c r="R618" s="774">
        <v>853</v>
      </c>
      <c r="S618" s="774"/>
      <c r="T618" s="774"/>
      <c r="U618" s="774"/>
      <c r="V618" s="774"/>
    </row>
    <row r="619" spans="1:22" hidden="1">
      <c r="A619" s="786">
        <v>619</v>
      </c>
      <c r="B619" s="767"/>
      <c r="C619" s="767"/>
      <c r="D619" s="767"/>
      <c r="E619" s="767"/>
      <c r="F619" s="806"/>
      <c r="G619" s="778"/>
      <c r="H619" s="788"/>
      <c r="I619" s="788"/>
      <c r="J619" s="788"/>
      <c r="K619" s="788"/>
      <c r="L619" s="788"/>
      <c r="M619" s="788"/>
      <c r="N619" s="788"/>
      <c r="O619" s="788"/>
      <c r="P619" s="772"/>
      <c r="R619" s="774"/>
    </row>
    <row r="620" spans="1:22" hidden="1">
      <c r="A620" s="786">
        <v>620</v>
      </c>
      <c r="B620" s="767"/>
      <c r="C620" s="767" t="s">
        <v>984</v>
      </c>
      <c r="D620" s="767" t="s">
        <v>985</v>
      </c>
      <c r="E620" s="767"/>
      <c r="F620" s="806"/>
      <c r="G620" s="778"/>
      <c r="H620" s="788"/>
      <c r="I620" s="788"/>
      <c r="J620" s="788"/>
      <c r="K620" s="788"/>
      <c r="L620" s="788"/>
      <c r="M620" s="788"/>
      <c r="N620" s="788"/>
      <c r="O620" s="788"/>
      <c r="P620" s="772"/>
      <c r="R620" s="774"/>
    </row>
    <row r="621" spans="1:22" hidden="1">
      <c r="A621" s="786">
        <v>621</v>
      </c>
      <c r="B621" s="767"/>
      <c r="C621" s="767"/>
      <c r="D621" s="767"/>
      <c r="E621" s="767" t="s">
        <v>986</v>
      </c>
      <c r="F621" s="806" t="s">
        <v>1417</v>
      </c>
      <c r="G621" s="778"/>
      <c r="H621" s="815">
        <v>1381.5064272959444</v>
      </c>
      <c r="I621" s="815">
        <v>650.71686662460058</v>
      </c>
      <c r="J621" s="815">
        <v>198.72736563521792</v>
      </c>
      <c r="K621" s="815">
        <v>312.71428444181481</v>
      </c>
      <c r="L621" s="815">
        <v>132.96148058784786</v>
      </c>
      <c r="M621" s="815">
        <v>0</v>
      </c>
      <c r="N621" s="815">
        <v>83.657742287654486</v>
      </c>
      <c r="O621" s="815">
        <v>2.7286877188084278</v>
      </c>
      <c r="P621" s="772">
        <v>0</v>
      </c>
      <c r="Q621" s="774"/>
      <c r="R621" s="774">
        <v>856</v>
      </c>
      <c r="S621" s="774"/>
      <c r="T621" s="774"/>
      <c r="U621" s="774"/>
      <c r="V621" s="774"/>
    </row>
    <row r="622" spans="1:22" hidden="1">
      <c r="A622" s="786">
        <v>622</v>
      </c>
      <c r="B622" s="767"/>
      <c r="C622" s="767"/>
      <c r="D622" s="767"/>
      <c r="E622" s="767" t="s">
        <v>987</v>
      </c>
      <c r="F622" s="806" t="s">
        <v>1404</v>
      </c>
      <c r="G622" s="778"/>
      <c r="H622" s="815">
        <v>76494.772119496251</v>
      </c>
      <c r="I622" s="815">
        <v>32706.269730672426</v>
      </c>
      <c r="J622" s="815">
        <v>9988.4160941551927</v>
      </c>
      <c r="K622" s="815">
        <v>15717.615848258931</v>
      </c>
      <c r="L622" s="815">
        <v>6682.8973873893356</v>
      </c>
      <c r="M622" s="815">
        <v>7057.626467844636</v>
      </c>
      <c r="N622" s="815">
        <v>4204.7975466072976</v>
      </c>
      <c r="O622" s="815">
        <v>137.14904456842265</v>
      </c>
      <c r="P622" s="772">
        <v>0</v>
      </c>
      <c r="Q622" s="774"/>
      <c r="R622" s="774">
        <v>857</v>
      </c>
      <c r="S622" s="774"/>
      <c r="T622" s="774"/>
      <c r="U622" s="774"/>
      <c r="V622" s="774"/>
    </row>
    <row r="623" spans="1:22" hidden="1">
      <c r="A623" s="786">
        <v>623</v>
      </c>
      <c r="B623" s="767"/>
      <c r="C623" s="767"/>
      <c r="D623" s="767"/>
      <c r="E623" s="767" t="s">
        <v>988</v>
      </c>
      <c r="F623" s="806" t="s">
        <v>1399</v>
      </c>
      <c r="G623" s="778"/>
      <c r="H623" s="815">
        <v>1686292.405655317</v>
      </c>
      <c r="I623" s="815">
        <v>742498.98904561717</v>
      </c>
      <c r="J623" s="815">
        <v>226757.40502201027</v>
      </c>
      <c r="K623" s="815">
        <v>356821.91743789823</v>
      </c>
      <c r="L623" s="815">
        <v>151715.39264163465</v>
      </c>
      <c r="M623" s="815">
        <v>109927.66356998996</v>
      </c>
      <c r="N623" s="815">
        <v>95457.475071499735</v>
      </c>
      <c r="O623" s="815">
        <v>3113.5628666672915</v>
      </c>
      <c r="P623" s="772">
        <v>0</v>
      </c>
      <c r="Q623" s="774"/>
      <c r="R623" s="774">
        <v>858</v>
      </c>
      <c r="S623" s="774"/>
      <c r="T623" s="774"/>
      <c r="U623" s="774"/>
      <c r="V623" s="774"/>
    </row>
    <row r="624" spans="1:22" hidden="1">
      <c r="A624" s="786">
        <v>624</v>
      </c>
      <c r="B624" s="767"/>
      <c r="C624" s="767"/>
      <c r="D624" s="767"/>
      <c r="E624" s="767" t="s">
        <v>989</v>
      </c>
      <c r="F624" s="806" t="s">
        <v>1418</v>
      </c>
      <c r="G624" s="778"/>
      <c r="H624" s="815">
        <v>3857981.4426840572</v>
      </c>
      <c r="I624" s="815">
        <v>1824302.5110451146</v>
      </c>
      <c r="J624" s="815">
        <v>554795.24311439774</v>
      </c>
      <c r="K624" s="815">
        <v>869171.13743679703</v>
      </c>
      <c r="L624" s="815">
        <v>369558.69004865742</v>
      </c>
      <c r="M624" s="815">
        <v>0</v>
      </c>
      <c r="N624" s="815">
        <v>232521.82147465803</v>
      </c>
      <c r="O624" s="815">
        <v>7632.0395644317732</v>
      </c>
      <c r="P624" s="772">
        <v>0</v>
      </c>
      <c r="Q624" s="774"/>
      <c r="R624" s="774">
        <v>860</v>
      </c>
      <c r="S624" s="774"/>
      <c r="T624" s="774"/>
      <c r="U624" s="774"/>
      <c r="V624" s="774"/>
    </row>
    <row r="625" spans="1:22" hidden="1">
      <c r="A625" s="786">
        <v>625</v>
      </c>
      <c r="B625" s="767"/>
      <c r="C625" s="767"/>
      <c r="D625" s="767"/>
      <c r="E625" s="767" t="s">
        <v>990</v>
      </c>
      <c r="F625" s="806" t="s">
        <v>1419</v>
      </c>
      <c r="G625" s="778"/>
      <c r="H625" s="815">
        <v>1773583.5291496383</v>
      </c>
      <c r="I625" s="815">
        <v>1056437.5878978437</v>
      </c>
      <c r="J625" s="815">
        <v>249882.05298102053</v>
      </c>
      <c r="K625" s="815">
        <v>273756.94702816859</v>
      </c>
      <c r="L625" s="815">
        <v>116397.39790923089</v>
      </c>
      <c r="M625" s="815">
        <v>0</v>
      </c>
      <c r="N625" s="815">
        <v>73235.823444447888</v>
      </c>
      <c r="O625" s="815">
        <v>3873.7198889268825</v>
      </c>
      <c r="P625" s="772">
        <v>0</v>
      </c>
      <c r="Q625" s="774"/>
      <c r="R625" s="774">
        <v>861</v>
      </c>
      <c r="S625" s="774"/>
      <c r="T625" s="774"/>
      <c r="U625" s="774"/>
      <c r="V625" s="774"/>
    </row>
    <row r="626" spans="1:22" hidden="1">
      <c r="A626" s="786">
        <v>626</v>
      </c>
      <c r="B626" s="767"/>
      <c r="C626" s="767"/>
      <c r="D626" s="767"/>
      <c r="E626" s="767" t="s">
        <v>991</v>
      </c>
      <c r="F626" s="806" t="s">
        <v>1420</v>
      </c>
      <c r="G626" s="778"/>
      <c r="H626" s="815">
        <v>493919.89480047929</v>
      </c>
      <c r="I626" s="815">
        <v>328628.53192535974</v>
      </c>
      <c r="J626" s="815">
        <v>68772.072592759519</v>
      </c>
      <c r="K626" s="815">
        <v>56349.278682372322</v>
      </c>
      <c r="L626" s="815">
        <v>23958.878428080021</v>
      </c>
      <c r="M626" s="815">
        <v>0</v>
      </c>
      <c r="N626" s="815">
        <v>15074.634158524495</v>
      </c>
      <c r="O626" s="815">
        <v>1136.4990133831323</v>
      </c>
      <c r="P626" s="772">
        <v>0</v>
      </c>
      <c r="Q626" s="774"/>
      <c r="R626" s="774">
        <v>862</v>
      </c>
      <c r="S626" s="774"/>
      <c r="T626" s="774"/>
      <c r="U626" s="774"/>
      <c r="V626" s="774"/>
    </row>
    <row r="627" spans="1:22" hidden="1">
      <c r="A627" s="786">
        <v>627</v>
      </c>
      <c r="B627" s="767"/>
      <c r="C627" s="767"/>
      <c r="D627" s="767"/>
      <c r="E627" s="767" t="s">
        <v>992</v>
      </c>
      <c r="F627" s="806" t="s">
        <v>1421</v>
      </c>
      <c r="G627" s="778"/>
      <c r="H627" s="815">
        <v>650995.11945848539</v>
      </c>
      <c r="I627" s="815">
        <v>437050.81841159082</v>
      </c>
      <c r="J627" s="815">
        <v>90549.964094005511</v>
      </c>
      <c r="K627" s="815">
        <v>72008.850796887913</v>
      </c>
      <c r="L627" s="815">
        <v>30617.096479854303</v>
      </c>
      <c r="M627" s="815">
        <v>0</v>
      </c>
      <c r="N627" s="815">
        <v>19263.903768096294</v>
      </c>
      <c r="O627" s="815">
        <v>1504.4859080504971</v>
      </c>
      <c r="P627" s="772">
        <v>0</v>
      </c>
      <c r="Q627" s="774"/>
      <c r="R627" s="774">
        <v>863</v>
      </c>
      <c r="S627" s="774"/>
      <c r="T627" s="774"/>
      <c r="U627" s="774"/>
      <c r="V627" s="774"/>
    </row>
    <row r="628" spans="1:22" hidden="1">
      <c r="A628" s="786">
        <v>628</v>
      </c>
      <c r="B628" s="767"/>
      <c r="C628" s="767"/>
      <c r="D628" s="767"/>
      <c r="E628" s="767" t="s">
        <v>993</v>
      </c>
      <c r="F628" s="806" t="s">
        <v>1407</v>
      </c>
      <c r="G628" s="778"/>
      <c r="H628" s="815">
        <v>2890422.3862622199</v>
      </c>
      <c r="I628" s="815">
        <v>1550764.4195252308</v>
      </c>
      <c r="J628" s="815">
        <v>692547.28082281898</v>
      </c>
      <c r="K628" s="815">
        <v>252243.96264776727</v>
      </c>
      <c r="L628" s="815">
        <v>30751.341220432958</v>
      </c>
      <c r="M628" s="815">
        <v>0</v>
      </c>
      <c r="N628" s="815">
        <v>358140.47534154245</v>
      </c>
      <c r="O628" s="815">
        <v>5974.9067044273097</v>
      </c>
      <c r="P628" s="772">
        <v>0</v>
      </c>
      <c r="Q628" s="774"/>
      <c r="R628" s="774">
        <v>864</v>
      </c>
      <c r="S628" s="774"/>
      <c r="T628" s="774"/>
      <c r="U628" s="774"/>
      <c r="V628" s="774"/>
    </row>
    <row r="629" spans="1:22" hidden="1">
      <c r="A629" s="786">
        <v>629</v>
      </c>
      <c r="B629" s="767"/>
      <c r="C629" s="767"/>
      <c r="D629" s="767"/>
      <c r="E629" s="767" t="s">
        <v>994</v>
      </c>
      <c r="F629" s="806" t="s">
        <v>1422</v>
      </c>
      <c r="G629" s="778"/>
      <c r="H629" s="815">
        <v>1560444.0640836393</v>
      </c>
      <c r="I629" s="815">
        <v>1140935.3841029417</v>
      </c>
      <c r="J629" s="815">
        <v>317426.93609341636</v>
      </c>
      <c r="K629" s="815">
        <v>81568.98288514922</v>
      </c>
      <c r="L629" s="815">
        <v>20512.761002132225</v>
      </c>
      <c r="M629" s="815">
        <v>0</v>
      </c>
      <c r="N629" s="815">
        <v>0</v>
      </c>
      <c r="O629" s="815">
        <v>0</v>
      </c>
      <c r="P629" s="772">
        <v>0</v>
      </c>
      <c r="Q629" s="774"/>
      <c r="R629" s="774">
        <v>865</v>
      </c>
      <c r="S629" s="774"/>
      <c r="T629" s="774"/>
      <c r="U629" s="774"/>
      <c r="V629" s="774"/>
    </row>
    <row r="630" spans="1:22" hidden="1">
      <c r="A630" s="786">
        <v>630</v>
      </c>
      <c r="B630" s="767"/>
      <c r="C630" s="767"/>
      <c r="D630" s="767"/>
      <c r="E630" s="767" t="s">
        <v>995</v>
      </c>
      <c r="F630" s="806" t="s">
        <v>1403</v>
      </c>
      <c r="G630" s="778"/>
      <c r="H630" s="815">
        <v>492335.50963888469</v>
      </c>
      <c r="I630" s="815">
        <v>331573.70658342168</v>
      </c>
      <c r="J630" s="815">
        <v>85294.850504316491</v>
      </c>
      <c r="K630" s="815">
        <v>37230.8042591341</v>
      </c>
      <c r="L630" s="815">
        <v>6534.9822364867341</v>
      </c>
      <c r="M630" s="815">
        <v>3836.6676295777634</v>
      </c>
      <c r="N630" s="815">
        <v>27864.498425947932</v>
      </c>
      <c r="O630" s="815">
        <v>0</v>
      </c>
      <c r="P630" s="772">
        <v>0</v>
      </c>
      <c r="Q630" s="774"/>
      <c r="R630" s="774">
        <v>866</v>
      </c>
      <c r="S630" s="774"/>
      <c r="T630" s="774"/>
      <c r="U630" s="774"/>
      <c r="V630" s="774"/>
    </row>
    <row r="631" spans="1:22" hidden="1">
      <c r="A631" s="786">
        <v>631</v>
      </c>
      <c r="B631" s="767"/>
      <c r="C631" s="767"/>
      <c r="D631" s="767"/>
      <c r="E631" s="767" t="s">
        <v>996</v>
      </c>
      <c r="F631" s="806" t="s">
        <v>1423</v>
      </c>
      <c r="G631" s="778"/>
      <c r="H631" s="815">
        <v>16888.27491198029</v>
      </c>
      <c r="I631" s="815">
        <v>0</v>
      </c>
      <c r="J631" s="815">
        <v>0</v>
      </c>
      <c r="K631" s="815">
        <v>0</v>
      </c>
      <c r="L631" s="815">
        <v>0</v>
      </c>
      <c r="M631" s="815">
        <v>0</v>
      </c>
      <c r="N631" s="815">
        <v>0</v>
      </c>
      <c r="O631" s="815">
        <v>16888.27491198029</v>
      </c>
      <c r="P631" s="772">
        <v>0</v>
      </c>
      <c r="Q631" s="774"/>
      <c r="R631" s="774">
        <v>867</v>
      </c>
      <c r="S631" s="774"/>
      <c r="T631" s="774"/>
      <c r="U631" s="774"/>
      <c r="V631" s="774"/>
    </row>
    <row r="632" spans="1:22" hidden="1">
      <c r="A632" s="786">
        <v>632</v>
      </c>
      <c r="B632" s="767"/>
      <c r="C632" s="767"/>
      <c r="D632" s="767"/>
      <c r="E632" s="767" t="s">
        <v>997</v>
      </c>
      <c r="F632" s="806" t="s">
        <v>1424</v>
      </c>
      <c r="G632" s="778"/>
      <c r="H632" s="815">
        <v>0</v>
      </c>
      <c r="I632" s="815">
        <v>0</v>
      </c>
      <c r="J632" s="815">
        <v>0</v>
      </c>
      <c r="K632" s="815">
        <v>0</v>
      </c>
      <c r="L632" s="815">
        <v>0</v>
      </c>
      <c r="M632" s="815">
        <v>0</v>
      </c>
      <c r="N632" s="815">
        <v>0</v>
      </c>
      <c r="O632" s="815">
        <v>0</v>
      </c>
      <c r="P632" s="772">
        <v>0</v>
      </c>
      <c r="Q632" s="774"/>
      <c r="R632" s="774">
        <v>868</v>
      </c>
      <c r="S632" s="774"/>
      <c r="T632" s="774"/>
      <c r="U632" s="774"/>
      <c r="V632" s="774"/>
    </row>
    <row r="633" spans="1:22" hidden="1">
      <c r="A633" s="786">
        <v>633</v>
      </c>
      <c r="B633" s="767"/>
      <c r="C633" s="767"/>
      <c r="D633" s="767"/>
      <c r="E633" s="767" t="s">
        <v>998</v>
      </c>
      <c r="F633" s="806" t="s">
        <v>1402</v>
      </c>
      <c r="G633" s="778"/>
      <c r="H633" s="815">
        <v>119374.86383537661</v>
      </c>
      <c r="I633" s="815">
        <v>0</v>
      </c>
      <c r="J633" s="815">
        <v>0</v>
      </c>
      <c r="K633" s="815">
        <v>0</v>
      </c>
      <c r="L633" s="815">
        <v>0</v>
      </c>
      <c r="M633" s="815">
        <v>0</v>
      </c>
      <c r="N633" s="815">
        <v>0</v>
      </c>
      <c r="O633" s="815">
        <v>119374.86383537661</v>
      </c>
      <c r="P633" s="772">
        <v>0</v>
      </c>
      <c r="Q633" s="774"/>
      <c r="R633" s="774">
        <v>869</v>
      </c>
      <c r="S633" s="774"/>
      <c r="T633" s="774"/>
      <c r="U633" s="774"/>
      <c r="V633" s="774"/>
    </row>
    <row r="634" spans="1:22" hidden="1">
      <c r="A634" s="786">
        <v>634</v>
      </c>
      <c r="B634" s="767"/>
      <c r="C634" s="767"/>
      <c r="D634" s="767" t="s">
        <v>999</v>
      </c>
      <c r="F634" s="806"/>
      <c r="G634" s="778"/>
      <c r="H634" s="815">
        <v>13620113.769026872</v>
      </c>
      <c r="I634" s="815">
        <v>7445548.9351344174</v>
      </c>
      <c r="J634" s="815">
        <v>2296212.9486845359</v>
      </c>
      <c r="K634" s="815">
        <v>2015182.2113068751</v>
      </c>
      <c r="L634" s="815">
        <v>756862.39883448649</v>
      </c>
      <c r="M634" s="815">
        <v>120821.95766741235</v>
      </c>
      <c r="N634" s="815">
        <v>825847.08697361185</v>
      </c>
      <c r="O634" s="815">
        <v>159638.23042553102</v>
      </c>
      <c r="P634" s="772">
        <v>0</v>
      </c>
      <c r="Q634" s="774"/>
      <c r="R634" s="774"/>
      <c r="S634" s="774"/>
      <c r="T634" s="774"/>
      <c r="U634" s="774"/>
      <c r="V634" s="774"/>
    </row>
    <row r="635" spans="1:22" hidden="1">
      <c r="A635" s="786">
        <v>635</v>
      </c>
      <c r="B635" s="767"/>
      <c r="C635" s="767"/>
      <c r="D635" s="767"/>
      <c r="F635" s="806"/>
      <c r="G635" s="778"/>
      <c r="H635" s="810"/>
      <c r="I635" s="810"/>
      <c r="J635" s="810"/>
      <c r="K635" s="810"/>
      <c r="L635" s="810"/>
      <c r="M635" s="810"/>
      <c r="N635" s="810"/>
      <c r="O635" s="810"/>
      <c r="P635" s="772"/>
      <c r="R635" s="774"/>
    </row>
    <row r="636" spans="1:22" hidden="1">
      <c r="A636" s="786">
        <v>636</v>
      </c>
      <c r="B636" s="767"/>
      <c r="C636" s="767" t="s">
        <v>1000</v>
      </c>
      <c r="D636" s="767" t="s">
        <v>1001</v>
      </c>
      <c r="E636" s="767"/>
      <c r="F636" s="806"/>
      <c r="G636" s="778"/>
      <c r="H636" s="788"/>
      <c r="I636" s="788"/>
      <c r="J636" s="788"/>
      <c r="K636" s="788"/>
      <c r="L636" s="788"/>
      <c r="M636" s="788"/>
      <c r="N636" s="788"/>
      <c r="O636" s="788"/>
      <c r="P636" s="772"/>
      <c r="R636" s="774"/>
    </row>
    <row r="637" spans="1:22" hidden="1">
      <c r="A637" s="786">
        <v>637</v>
      </c>
      <c r="B637" s="767"/>
      <c r="E637" s="767" t="s">
        <v>727</v>
      </c>
      <c r="F637" s="806" t="s">
        <v>1425</v>
      </c>
      <c r="G637" s="778"/>
      <c r="H637" s="815">
        <v>950711.49909151671</v>
      </c>
      <c r="I637" s="815">
        <v>495560.87430194515</v>
      </c>
      <c r="J637" s="815">
        <v>150329.85939754997</v>
      </c>
      <c r="K637" s="815">
        <v>155322.02021153335</v>
      </c>
      <c r="L637" s="815">
        <v>59861.75290967647</v>
      </c>
      <c r="M637" s="815">
        <v>31683.68796637917</v>
      </c>
      <c r="N637" s="815">
        <v>49789.084880623173</v>
      </c>
      <c r="O637" s="815">
        <v>8164.2194238091706</v>
      </c>
      <c r="P637" s="772">
        <v>0</v>
      </c>
      <c r="Q637" s="774"/>
      <c r="R637" s="774">
        <v>873</v>
      </c>
      <c r="S637" s="774"/>
      <c r="T637" s="774"/>
      <c r="U637" s="774"/>
      <c r="V637" s="774"/>
    </row>
    <row r="638" spans="1:22" hidden="1">
      <c r="A638" s="786">
        <v>638</v>
      </c>
      <c r="B638" s="767"/>
      <c r="C638" s="767"/>
      <c r="E638" s="767" t="s">
        <v>835</v>
      </c>
      <c r="F638" s="806" t="s">
        <v>1426</v>
      </c>
      <c r="G638" s="778"/>
      <c r="H638" s="815">
        <v>0</v>
      </c>
      <c r="I638" s="815">
        <v>0</v>
      </c>
      <c r="J638" s="815">
        <v>0</v>
      </c>
      <c r="K638" s="815">
        <v>0</v>
      </c>
      <c r="L638" s="815">
        <v>0</v>
      </c>
      <c r="M638" s="815">
        <v>0</v>
      </c>
      <c r="N638" s="815">
        <v>0</v>
      </c>
      <c r="O638" s="815">
        <v>0</v>
      </c>
      <c r="P638" s="772">
        <v>0</v>
      </c>
      <c r="Q638" s="774"/>
      <c r="R638" s="774">
        <v>874</v>
      </c>
      <c r="S638" s="774"/>
      <c r="T638" s="774"/>
      <c r="U638" s="774"/>
      <c r="V638" s="774"/>
    </row>
    <row r="639" spans="1:22" hidden="1">
      <c r="A639" s="786">
        <v>639</v>
      </c>
      <c r="B639" s="767"/>
      <c r="C639" s="767"/>
      <c r="E639" s="767" t="s">
        <v>1002</v>
      </c>
      <c r="F639" s="806" t="s">
        <v>1426</v>
      </c>
      <c r="G639" s="778"/>
      <c r="H639" s="815">
        <v>0</v>
      </c>
      <c r="I639" s="815">
        <v>0</v>
      </c>
      <c r="J639" s="815">
        <v>0</v>
      </c>
      <c r="K639" s="815">
        <v>0</v>
      </c>
      <c r="L639" s="815">
        <v>0</v>
      </c>
      <c r="M639" s="815">
        <v>0</v>
      </c>
      <c r="N639" s="815">
        <v>0</v>
      </c>
      <c r="O639" s="815">
        <v>0</v>
      </c>
      <c r="P639" s="772">
        <v>0</v>
      </c>
      <c r="Q639" s="774"/>
      <c r="R639" s="774">
        <v>875</v>
      </c>
      <c r="S639" s="774"/>
      <c r="T639" s="774"/>
      <c r="U639" s="774"/>
      <c r="V639" s="774"/>
    </row>
    <row r="640" spans="1:22" hidden="1">
      <c r="A640" s="786">
        <v>640</v>
      </c>
      <c r="C640" s="767"/>
      <c r="E640" s="767" t="s">
        <v>738</v>
      </c>
      <c r="F640" s="806" t="s">
        <v>1392</v>
      </c>
      <c r="G640" s="778"/>
      <c r="H640" s="815">
        <v>0</v>
      </c>
      <c r="I640" s="815">
        <v>0</v>
      </c>
      <c r="J640" s="815">
        <v>0</v>
      </c>
      <c r="K640" s="815">
        <v>0</v>
      </c>
      <c r="L640" s="815">
        <v>0</v>
      </c>
      <c r="M640" s="815">
        <v>0</v>
      </c>
      <c r="N640" s="815">
        <v>0</v>
      </c>
      <c r="O640" s="815">
        <v>0</v>
      </c>
      <c r="P640" s="772">
        <v>0</v>
      </c>
      <c r="Q640" s="774"/>
      <c r="R640" s="774">
        <v>876</v>
      </c>
      <c r="S640" s="774"/>
      <c r="T640" s="774"/>
      <c r="U640" s="774"/>
      <c r="V640" s="774"/>
    </row>
    <row r="641" spans="1:22" hidden="1">
      <c r="A641" s="786">
        <v>641</v>
      </c>
      <c r="C641" s="767"/>
      <c r="E641" s="767" t="s">
        <v>1003</v>
      </c>
      <c r="F641" s="806" t="s">
        <v>1410</v>
      </c>
      <c r="G641" s="778"/>
      <c r="H641" s="815">
        <v>58680.065445934095</v>
      </c>
      <c r="I641" s="815">
        <v>47846.611927028032</v>
      </c>
      <c r="J641" s="815">
        <v>8304.8373260232675</v>
      </c>
      <c r="K641" s="815">
        <v>483.36034073112569</v>
      </c>
      <c r="L641" s="815">
        <v>123.66583507279715</v>
      </c>
      <c r="M641" s="815">
        <v>1.9179755880165923</v>
      </c>
      <c r="N641" s="815">
        <v>812.79949709485857</v>
      </c>
      <c r="O641" s="815">
        <v>1106.8725443959936</v>
      </c>
      <c r="P641" s="772">
        <v>0</v>
      </c>
      <c r="Q641" s="774"/>
      <c r="R641" s="774">
        <v>877</v>
      </c>
      <c r="S641" s="774"/>
      <c r="T641" s="774"/>
      <c r="U641" s="774"/>
      <c r="V641" s="774"/>
    </row>
    <row r="642" spans="1:22" hidden="1">
      <c r="A642" s="786">
        <v>642</v>
      </c>
      <c r="C642" s="767"/>
      <c r="E642" s="767" t="s">
        <v>1004</v>
      </c>
      <c r="F642" s="806" t="s">
        <v>1426</v>
      </c>
      <c r="G642" s="778"/>
      <c r="H642" s="815">
        <v>688224.33278071217</v>
      </c>
      <c r="I642" s="815">
        <v>299115.32149701659</v>
      </c>
      <c r="J642" s="815">
        <v>91608.086514104216</v>
      </c>
      <c r="K642" s="815">
        <v>150334.17808981429</v>
      </c>
      <c r="L642" s="815">
        <v>61050.430957629877</v>
      </c>
      <c r="M642" s="815">
        <v>58964.47168987427</v>
      </c>
      <c r="N642" s="815">
        <v>26223.842871400004</v>
      </c>
      <c r="O642" s="815">
        <v>928.0011608728696</v>
      </c>
      <c r="P642" s="772">
        <v>0</v>
      </c>
      <c r="Q642" s="774"/>
      <c r="R642" s="774">
        <v>878</v>
      </c>
      <c r="S642" s="774"/>
      <c r="T642" s="774"/>
      <c r="U642" s="774"/>
      <c r="V642" s="774"/>
    </row>
    <row r="643" spans="1:22" hidden="1">
      <c r="A643" s="786">
        <v>643</v>
      </c>
      <c r="C643" s="767"/>
      <c r="E643" s="767" t="s">
        <v>1005</v>
      </c>
      <c r="F643" s="806" t="s">
        <v>1411</v>
      </c>
      <c r="G643" s="778"/>
      <c r="H643" s="815">
        <v>1197013.9756094757</v>
      </c>
      <c r="I643" s="815">
        <v>557453.87395975622</v>
      </c>
      <c r="J643" s="815">
        <v>172851.94842007381</v>
      </c>
      <c r="K643" s="815">
        <v>236736.4748949919</v>
      </c>
      <c r="L643" s="815">
        <v>94535.227170479338</v>
      </c>
      <c r="M643" s="815">
        <v>75774.404992364609</v>
      </c>
      <c r="N643" s="815">
        <v>54078.590551750036</v>
      </c>
      <c r="O643" s="815">
        <v>5583.4556200598818</v>
      </c>
      <c r="P643" s="772">
        <v>0</v>
      </c>
      <c r="Q643" s="774"/>
      <c r="R643" s="774">
        <v>879</v>
      </c>
      <c r="S643" s="774"/>
      <c r="T643" s="774"/>
      <c r="U643" s="774"/>
      <c r="V643" s="774"/>
    </row>
    <row r="644" spans="1:22" hidden="1">
      <c r="A644" s="786">
        <v>644</v>
      </c>
      <c r="C644" s="767"/>
      <c r="E644" s="767" t="s">
        <v>728</v>
      </c>
      <c r="F644" s="806" t="s">
        <v>1426</v>
      </c>
      <c r="G644" s="778"/>
      <c r="H644" s="815">
        <v>465.80667581591388</v>
      </c>
      <c r="I644" s="815">
        <v>202.44839793615398</v>
      </c>
      <c r="J644" s="815">
        <v>62.002542230060826</v>
      </c>
      <c r="K644" s="815">
        <v>101.74976446211539</v>
      </c>
      <c r="L644" s="815">
        <v>41.320390673492206</v>
      </c>
      <c r="M644" s="815">
        <v>39.908563590199826</v>
      </c>
      <c r="N644" s="815">
        <v>17.748923560564968</v>
      </c>
      <c r="O644" s="815">
        <v>0.62809336332668408</v>
      </c>
      <c r="P644" s="772">
        <v>0</v>
      </c>
      <c r="Q644" s="774"/>
      <c r="R644" s="774">
        <v>880</v>
      </c>
      <c r="S644" s="774"/>
      <c r="T644" s="774"/>
      <c r="U644" s="774"/>
      <c r="V644" s="774"/>
    </row>
    <row r="645" spans="1:22" hidden="1">
      <c r="A645" s="786">
        <v>645</v>
      </c>
      <c r="C645" s="767"/>
      <c r="E645" s="820" t="s">
        <v>718</v>
      </c>
      <c r="F645" s="806" t="s">
        <v>1426</v>
      </c>
      <c r="G645" s="778"/>
      <c r="H645" s="815">
        <v>93755.589993043803</v>
      </c>
      <c r="I645" s="815">
        <v>40747.953984136882</v>
      </c>
      <c r="J645" s="815">
        <v>12479.608450578087</v>
      </c>
      <c r="K645" s="815">
        <v>20479.760583270196</v>
      </c>
      <c r="L645" s="815">
        <v>8316.7927972490725</v>
      </c>
      <c r="M645" s="815">
        <v>8032.6262362388006</v>
      </c>
      <c r="N645" s="815">
        <v>3572.4279761499997</v>
      </c>
      <c r="O645" s="815">
        <v>126.41996542076319</v>
      </c>
      <c r="P645" s="772">
        <v>0</v>
      </c>
      <c r="Q645" s="774"/>
      <c r="R645" s="774">
        <v>881</v>
      </c>
      <c r="S645" s="774"/>
      <c r="T645" s="774"/>
      <c r="U645" s="774"/>
      <c r="V645" s="774"/>
    </row>
    <row r="646" spans="1:22" hidden="1">
      <c r="A646" s="786">
        <v>646</v>
      </c>
      <c r="C646" s="767"/>
      <c r="E646" s="820" t="s">
        <v>723</v>
      </c>
      <c r="F646" s="806" t="s">
        <v>1392</v>
      </c>
      <c r="G646" s="778"/>
      <c r="H646" s="815">
        <v>0</v>
      </c>
      <c r="I646" s="815">
        <v>0</v>
      </c>
      <c r="J646" s="815">
        <v>0</v>
      </c>
      <c r="K646" s="815">
        <v>0</v>
      </c>
      <c r="L646" s="815">
        <v>0</v>
      </c>
      <c r="M646" s="815">
        <v>0</v>
      </c>
      <c r="N646" s="815">
        <v>0</v>
      </c>
      <c r="O646" s="815">
        <v>0</v>
      </c>
      <c r="P646" s="772">
        <v>0</v>
      </c>
      <c r="Q646" s="774"/>
      <c r="R646" s="774">
        <v>882</v>
      </c>
      <c r="S646" s="774"/>
      <c r="T646" s="774"/>
      <c r="U646" s="774"/>
      <c r="V646" s="774"/>
    </row>
    <row r="647" spans="1:22" hidden="1">
      <c r="A647" s="786">
        <v>647</v>
      </c>
      <c r="C647" s="767"/>
      <c r="D647" s="767" t="s">
        <v>1006</v>
      </c>
      <c r="E647" s="767"/>
      <c r="F647" s="806"/>
      <c r="G647" s="778"/>
      <c r="H647" s="815">
        <v>2988851.269596498</v>
      </c>
      <c r="I647" s="815">
        <v>1440927.0840678189</v>
      </c>
      <c r="J647" s="815">
        <v>435636.34265055938</v>
      </c>
      <c r="K647" s="815">
        <v>563457.54388480296</v>
      </c>
      <c r="L647" s="815">
        <v>223929.19006078108</v>
      </c>
      <c r="M647" s="815">
        <v>174497.01742403506</v>
      </c>
      <c r="N647" s="815">
        <v>134494.49470057862</v>
      </c>
      <c r="O647" s="815">
        <v>15909.596807922006</v>
      </c>
      <c r="P647" s="772">
        <v>0</v>
      </c>
      <c r="Q647" s="774"/>
      <c r="R647" s="774"/>
      <c r="S647" s="774"/>
      <c r="T647" s="774"/>
      <c r="U647" s="774"/>
      <c r="V647" s="774"/>
    </row>
    <row r="648" spans="1:22" hidden="1">
      <c r="A648" s="786">
        <v>648</v>
      </c>
      <c r="B648" s="767"/>
      <c r="C648" s="767"/>
      <c r="D648" s="767"/>
      <c r="E648" s="767"/>
      <c r="F648" s="806"/>
      <c r="G648" s="778"/>
      <c r="H648" s="788"/>
      <c r="I648" s="788"/>
      <c r="J648" s="788"/>
      <c r="K648" s="788"/>
      <c r="L648" s="788"/>
      <c r="M648" s="788"/>
      <c r="N648" s="788"/>
      <c r="O648" s="788"/>
      <c r="P648" s="772"/>
      <c r="R648" s="774"/>
    </row>
    <row r="649" spans="1:22" hidden="1">
      <c r="A649" s="786">
        <v>649</v>
      </c>
      <c r="B649" s="767"/>
      <c r="C649" s="767" t="s">
        <v>1007</v>
      </c>
      <c r="D649" s="767" t="s">
        <v>1008</v>
      </c>
      <c r="E649" s="767"/>
      <c r="F649" s="806" t="s">
        <v>1426</v>
      </c>
      <c r="G649" s="778"/>
      <c r="H649" s="815">
        <v>0</v>
      </c>
      <c r="I649" s="815">
        <v>0</v>
      </c>
      <c r="J649" s="815">
        <v>0</v>
      </c>
      <c r="K649" s="815">
        <v>0</v>
      </c>
      <c r="L649" s="815">
        <v>0</v>
      </c>
      <c r="M649" s="815">
        <v>0</v>
      </c>
      <c r="N649" s="815">
        <v>0</v>
      </c>
      <c r="O649" s="815">
        <v>0</v>
      </c>
      <c r="P649" s="772">
        <v>0</v>
      </c>
      <c r="Q649" s="774"/>
      <c r="R649" s="774">
        <v>886</v>
      </c>
      <c r="S649" s="774"/>
      <c r="T649" s="774"/>
      <c r="U649" s="774"/>
      <c r="V649" s="774"/>
    </row>
    <row r="650" spans="1:22" hidden="1">
      <c r="A650" s="786">
        <v>650</v>
      </c>
      <c r="B650" s="767"/>
      <c r="F650" s="806"/>
      <c r="H650" s="813"/>
      <c r="I650" s="813"/>
      <c r="J650" s="813"/>
      <c r="K650" s="813"/>
      <c r="L650" s="813"/>
      <c r="M650" s="813"/>
      <c r="N650" s="813"/>
      <c r="O650" s="813"/>
      <c r="P650" s="772"/>
      <c r="R650" s="774"/>
    </row>
    <row r="651" spans="1:22" hidden="1">
      <c r="A651" s="786">
        <v>651</v>
      </c>
      <c r="B651" s="767"/>
      <c r="C651" s="767" t="s">
        <v>1009</v>
      </c>
      <c r="D651" s="767" t="s">
        <v>1010</v>
      </c>
      <c r="E651" s="767"/>
      <c r="F651" s="806" t="s">
        <v>1392</v>
      </c>
      <c r="G651" s="778"/>
      <c r="H651" s="815">
        <v>0</v>
      </c>
      <c r="I651" s="815">
        <v>0</v>
      </c>
      <c r="J651" s="815">
        <v>0</v>
      </c>
      <c r="K651" s="815">
        <v>0</v>
      </c>
      <c r="L651" s="815">
        <v>0</v>
      </c>
      <c r="M651" s="815">
        <v>0</v>
      </c>
      <c r="N651" s="815">
        <v>0</v>
      </c>
      <c r="O651" s="815">
        <v>0</v>
      </c>
      <c r="P651" s="772">
        <v>0</v>
      </c>
      <c r="Q651" s="774"/>
      <c r="R651" s="774">
        <v>890</v>
      </c>
      <c r="S651" s="774"/>
      <c r="T651" s="774"/>
      <c r="U651" s="774"/>
      <c r="V651" s="774"/>
    </row>
    <row r="652" spans="1:22" hidden="1">
      <c r="A652" s="786">
        <v>652</v>
      </c>
      <c r="B652" s="767"/>
      <c r="C652" s="767"/>
      <c r="D652" s="767"/>
      <c r="E652" s="767"/>
      <c r="F652" s="806"/>
      <c r="G652" s="778"/>
      <c r="H652" s="788"/>
      <c r="I652" s="788"/>
      <c r="J652" s="788"/>
      <c r="K652" s="788"/>
      <c r="L652" s="788"/>
      <c r="M652" s="788"/>
      <c r="N652" s="788"/>
      <c r="O652" s="788"/>
      <c r="P652" s="772"/>
      <c r="R652" s="774"/>
    </row>
    <row r="653" spans="1:22" hidden="1">
      <c r="A653" s="786">
        <v>653</v>
      </c>
      <c r="B653" s="767"/>
      <c r="C653" s="767" t="s">
        <v>1011</v>
      </c>
      <c r="D653" s="767" t="s">
        <v>1012</v>
      </c>
      <c r="E653" s="767"/>
      <c r="F653" s="806" t="s">
        <v>1392</v>
      </c>
      <c r="G653" s="778"/>
      <c r="H653" s="808">
        <v>0</v>
      </c>
      <c r="I653" s="808">
        <v>0</v>
      </c>
      <c r="J653" s="808">
        <v>0</v>
      </c>
      <c r="K653" s="808">
        <v>0</v>
      </c>
      <c r="L653" s="808">
        <v>0</v>
      </c>
      <c r="M653" s="808">
        <v>0</v>
      </c>
      <c r="N653" s="808">
        <v>0</v>
      </c>
      <c r="O653" s="808">
        <v>0</v>
      </c>
      <c r="P653" s="772">
        <v>0</v>
      </c>
      <c r="Q653" s="774"/>
      <c r="R653" s="774">
        <v>896</v>
      </c>
      <c r="S653" s="774"/>
      <c r="T653" s="774"/>
      <c r="U653" s="774"/>
      <c r="V653" s="774"/>
    </row>
    <row r="654" spans="1:22" hidden="1">
      <c r="A654" s="786">
        <v>654</v>
      </c>
      <c r="B654" s="767"/>
      <c r="C654" s="767"/>
      <c r="D654" s="767"/>
      <c r="E654" s="767"/>
      <c r="F654" s="806"/>
      <c r="G654" s="778"/>
      <c r="H654" s="810"/>
      <c r="I654" s="810"/>
      <c r="J654" s="810"/>
      <c r="K654" s="810"/>
      <c r="L654" s="810"/>
      <c r="M654" s="810"/>
      <c r="N654" s="810"/>
      <c r="O654" s="810"/>
      <c r="P654" s="772"/>
      <c r="R654" s="774"/>
    </row>
    <row r="655" spans="1:22" hidden="1">
      <c r="A655" s="786">
        <v>655</v>
      </c>
      <c r="B655" s="767"/>
      <c r="C655" s="767"/>
      <c r="D655" s="767"/>
      <c r="E655" s="767"/>
      <c r="F655" s="806"/>
      <c r="G655" s="778"/>
      <c r="H655" s="788"/>
      <c r="I655" s="788"/>
      <c r="J655" s="788"/>
      <c r="K655" s="788"/>
      <c r="L655" s="788"/>
      <c r="M655" s="788"/>
      <c r="N655" s="788"/>
      <c r="O655" s="788"/>
      <c r="P655" s="772"/>
      <c r="R655" s="774"/>
    </row>
    <row r="656" spans="1:22" ht="13.5" hidden="1" thickBot="1">
      <c r="A656" s="786">
        <v>656</v>
      </c>
      <c r="C656" s="767" t="s">
        <v>1013</v>
      </c>
      <c r="D656" s="767"/>
      <c r="E656" s="767"/>
      <c r="F656" s="806"/>
      <c r="G656" s="778"/>
      <c r="H656" s="814">
        <v>117309607.36845624</v>
      </c>
      <c r="I656" s="814">
        <v>51339764.967835687</v>
      </c>
      <c r="J656" s="814">
        <v>16178312.501946941</v>
      </c>
      <c r="K656" s="814">
        <v>25244963.592537418</v>
      </c>
      <c r="L656" s="814">
        <v>10213863.316718927</v>
      </c>
      <c r="M656" s="814">
        <v>9063817.9489638619</v>
      </c>
      <c r="N656" s="814">
        <v>4936626.4918527426</v>
      </c>
      <c r="O656" s="814">
        <v>332258.54860065493</v>
      </c>
      <c r="P656" s="772">
        <v>0</v>
      </c>
      <c r="Q656" s="774"/>
      <c r="R656" s="774"/>
      <c r="S656" s="774"/>
      <c r="T656" s="774"/>
      <c r="U656" s="774"/>
      <c r="V656" s="774"/>
    </row>
    <row r="657" spans="1:21" ht="13.5" hidden="1" thickTop="1">
      <c r="A657" s="786">
        <v>657</v>
      </c>
      <c r="F657" s="806"/>
      <c r="H657" s="813"/>
      <c r="I657" s="813"/>
      <c r="J657" s="813"/>
      <c r="K657" s="813"/>
      <c r="L657" s="813"/>
      <c r="M657" s="813"/>
      <c r="N657" s="813"/>
      <c r="O657" s="813"/>
      <c r="P657" s="772"/>
      <c r="R657" s="774"/>
    </row>
    <row r="658" spans="1:21" hidden="1">
      <c r="A658" s="786">
        <v>658</v>
      </c>
      <c r="B658" s="767"/>
      <c r="C658" s="769"/>
      <c r="D658" s="769"/>
      <c r="E658" s="769"/>
      <c r="F658" s="806"/>
      <c r="H658" s="817" t="s">
        <v>1014</v>
      </c>
      <c r="I658" s="817"/>
      <c r="J658" s="819"/>
      <c r="K658" s="819"/>
      <c r="L658" s="819"/>
      <c r="M658" s="819"/>
      <c r="N658" s="819"/>
      <c r="O658" s="819"/>
      <c r="P658" s="772"/>
      <c r="R658" s="774"/>
    </row>
    <row r="659" spans="1:21" hidden="1">
      <c r="A659" s="786">
        <v>659</v>
      </c>
      <c r="B659" s="767"/>
      <c r="F659" s="806"/>
      <c r="H659" s="813"/>
      <c r="I659" s="813"/>
      <c r="J659" s="813"/>
      <c r="K659" s="813"/>
      <c r="L659" s="813"/>
      <c r="M659" s="813"/>
      <c r="N659" s="813"/>
      <c r="O659" s="813"/>
      <c r="P659" s="772"/>
      <c r="R659" s="774"/>
    </row>
    <row r="660" spans="1:21" hidden="1">
      <c r="A660" s="786">
        <v>660</v>
      </c>
      <c r="B660" s="767"/>
      <c r="F660" s="806"/>
      <c r="H660" s="813"/>
      <c r="I660" s="813"/>
      <c r="J660" s="813"/>
      <c r="K660" s="813"/>
      <c r="L660" s="813"/>
      <c r="M660" s="813"/>
      <c r="N660" s="813"/>
      <c r="O660" s="813"/>
      <c r="P660" s="772"/>
      <c r="R660" s="774"/>
    </row>
    <row r="661" spans="1:21" hidden="1">
      <c r="A661" s="786">
        <v>661</v>
      </c>
      <c r="B661" s="767"/>
      <c r="C661" s="767" t="s">
        <v>1015</v>
      </c>
      <c r="D661" s="767" t="s">
        <v>1016</v>
      </c>
      <c r="E661" s="767"/>
      <c r="F661" s="806"/>
      <c r="G661" s="778"/>
      <c r="H661" s="810"/>
      <c r="I661" s="810"/>
      <c r="J661" s="810"/>
      <c r="K661" s="810"/>
      <c r="L661" s="810"/>
      <c r="M661" s="810"/>
      <c r="N661" s="810"/>
      <c r="O661" s="810"/>
      <c r="P661" s="772"/>
      <c r="R661" s="774"/>
    </row>
    <row r="662" spans="1:21" hidden="1">
      <c r="A662" s="786">
        <v>662</v>
      </c>
      <c r="B662" s="767"/>
      <c r="D662" s="767"/>
      <c r="E662" s="767" t="s">
        <v>727</v>
      </c>
      <c r="F662" s="806" t="s">
        <v>1396</v>
      </c>
      <c r="G662" s="778"/>
      <c r="H662" s="815">
        <v>80507.37</v>
      </c>
      <c r="I662" s="815">
        <v>35925.703835732143</v>
      </c>
      <c r="J662" s="815">
        <v>10685.943612474097</v>
      </c>
      <c r="K662" s="815">
        <v>17108.787596094498</v>
      </c>
      <c r="L662" s="815">
        <v>6927.6674069820247</v>
      </c>
      <c r="M662" s="815">
        <v>6797.2064929216076</v>
      </c>
      <c r="N662" s="815">
        <v>2968.4160945868502</v>
      </c>
      <c r="O662" s="815">
        <v>93.644961208781567</v>
      </c>
      <c r="P662" s="772">
        <v>0</v>
      </c>
      <c r="Q662" s="774"/>
      <c r="R662" s="774">
        <v>901</v>
      </c>
      <c r="S662" s="787"/>
      <c r="T662" s="787"/>
      <c r="U662" s="787"/>
    </row>
    <row r="663" spans="1:21" hidden="1">
      <c r="A663" s="786">
        <v>663</v>
      </c>
      <c r="B663" s="767"/>
      <c r="D663" s="767"/>
      <c r="E663" s="767" t="s">
        <v>1017</v>
      </c>
      <c r="F663" s="806" t="s">
        <v>1392</v>
      </c>
      <c r="G663" s="778"/>
      <c r="H663" s="815">
        <v>0</v>
      </c>
      <c r="I663" s="815">
        <v>0</v>
      </c>
      <c r="J663" s="815">
        <v>0</v>
      </c>
      <c r="K663" s="815">
        <v>0</v>
      </c>
      <c r="L663" s="815">
        <v>0</v>
      </c>
      <c r="M663" s="815">
        <v>0</v>
      </c>
      <c r="N663" s="815">
        <v>0</v>
      </c>
      <c r="O663" s="815">
        <v>0</v>
      </c>
      <c r="P663" s="772">
        <v>0</v>
      </c>
      <c r="Q663" s="774"/>
      <c r="R663" s="774">
        <v>902</v>
      </c>
      <c r="S663" s="787"/>
      <c r="T663" s="787"/>
      <c r="U663" s="787"/>
    </row>
    <row r="664" spans="1:21" hidden="1">
      <c r="A664" s="786">
        <v>664</v>
      </c>
      <c r="B664" s="767"/>
      <c r="C664" s="767"/>
      <c r="D664" s="767"/>
      <c r="E664" s="767" t="s">
        <v>1005</v>
      </c>
      <c r="F664" s="806" t="s">
        <v>1411</v>
      </c>
      <c r="G664" s="778"/>
      <c r="H664" s="815">
        <v>19056.665592395184</v>
      </c>
      <c r="I664" s="815">
        <v>8874.7602581894116</v>
      </c>
      <c r="J664" s="815">
        <v>2751.8323471186814</v>
      </c>
      <c r="K664" s="815">
        <v>3768.8848480647639</v>
      </c>
      <c r="L664" s="815">
        <v>1505.0168566091006</v>
      </c>
      <c r="M664" s="815">
        <v>1206.3413843326068</v>
      </c>
      <c r="N664" s="815">
        <v>860.94033724881092</v>
      </c>
      <c r="O664" s="815">
        <v>88.889560831806179</v>
      </c>
      <c r="P664" s="772">
        <v>0</v>
      </c>
      <c r="Q664" s="774"/>
      <c r="R664" s="774">
        <v>903</v>
      </c>
      <c r="S664" s="787"/>
      <c r="T664" s="787"/>
      <c r="U664" s="787"/>
    </row>
    <row r="665" spans="1:21" hidden="1">
      <c r="A665" s="786">
        <v>665</v>
      </c>
      <c r="B665" s="767"/>
      <c r="C665" s="767"/>
      <c r="D665" s="767"/>
      <c r="E665" s="767" t="s">
        <v>1002</v>
      </c>
      <c r="F665" s="806" t="s">
        <v>1392</v>
      </c>
      <c r="G665" s="778"/>
      <c r="H665" s="815">
        <v>0</v>
      </c>
      <c r="I665" s="815">
        <v>0</v>
      </c>
      <c r="J665" s="815">
        <v>0</v>
      </c>
      <c r="K665" s="815">
        <v>0</v>
      </c>
      <c r="L665" s="815">
        <v>0</v>
      </c>
      <c r="M665" s="815">
        <v>0</v>
      </c>
      <c r="N665" s="815">
        <v>0</v>
      </c>
      <c r="O665" s="815">
        <v>0</v>
      </c>
      <c r="P665" s="772">
        <v>0</v>
      </c>
      <c r="Q665" s="774"/>
      <c r="R665" s="774">
        <v>904</v>
      </c>
      <c r="S665" s="787"/>
      <c r="T665" s="787"/>
      <c r="U665" s="787"/>
    </row>
    <row r="666" spans="1:21" hidden="1">
      <c r="A666" s="786">
        <v>666</v>
      </c>
      <c r="B666" s="767"/>
      <c r="D666" s="767"/>
      <c r="E666" s="767" t="s">
        <v>1003</v>
      </c>
      <c r="F666" s="806" t="s">
        <v>1410</v>
      </c>
      <c r="G666" s="778"/>
      <c r="H666" s="815">
        <v>0</v>
      </c>
      <c r="I666" s="815">
        <v>0</v>
      </c>
      <c r="J666" s="815">
        <v>0</v>
      </c>
      <c r="K666" s="815">
        <v>0</v>
      </c>
      <c r="L666" s="815">
        <v>0</v>
      </c>
      <c r="M666" s="815">
        <v>0</v>
      </c>
      <c r="N666" s="815">
        <v>0</v>
      </c>
      <c r="O666" s="815">
        <v>0</v>
      </c>
      <c r="P666" s="772">
        <v>0</v>
      </c>
      <c r="Q666" s="774"/>
      <c r="R666" s="774">
        <v>905</v>
      </c>
      <c r="S666" s="787"/>
      <c r="T666" s="787"/>
      <c r="U666" s="787"/>
    </row>
    <row r="667" spans="1:21" hidden="1">
      <c r="A667" s="786">
        <v>667</v>
      </c>
      <c r="B667" s="767"/>
      <c r="C667" s="767"/>
      <c r="D667" s="767"/>
      <c r="E667" s="767" t="s">
        <v>835</v>
      </c>
      <c r="F667" s="806" t="s">
        <v>1392</v>
      </c>
      <c r="G667" s="778"/>
      <c r="H667" s="815">
        <v>0</v>
      </c>
      <c r="I667" s="815">
        <v>0</v>
      </c>
      <c r="J667" s="815">
        <v>0</v>
      </c>
      <c r="K667" s="815">
        <v>0</v>
      </c>
      <c r="L667" s="815">
        <v>0</v>
      </c>
      <c r="M667" s="815">
        <v>0</v>
      </c>
      <c r="N667" s="815">
        <v>0</v>
      </c>
      <c r="O667" s="815">
        <v>0</v>
      </c>
      <c r="P667" s="772">
        <v>0</v>
      </c>
      <c r="Q667" s="774"/>
      <c r="R667" s="774">
        <v>906</v>
      </c>
      <c r="S667" s="787"/>
      <c r="T667" s="787"/>
      <c r="U667" s="787"/>
    </row>
    <row r="668" spans="1:21" hidden="1">
      <c r="A668" s="786">
        <v>668</v>
      </c>
      <c r="D668" s="767"/>
      <c r="E668" s="767" t="s">
        <v>788</v>
      </c>
      <c r="F668" s="806" t="s">
        <v>1392</v>
      </c>
      <c r="H668" s="823">
        <v>0</v>
      </c>
      <c r="I668" s="823">
        <v>0</v>
      </c>
      <c r="J668" s="823">
        <v>0</v>
      </c>
      <c r="K668" s="823">
        <v>0</v>
      </c>
      <c r="L668" s="823">
        <v>0</v>
      </c>
      <c r="M668" s="823">
        <v>0</v>
      </c>
      <c r="N668" s="823">
        <v>0</v>
      </c>
      <c r="O668" s="823">
        <v>0</v>
      </c>
      <c r="P668" s="772">
        <v>0</v>
      </c>
      <c r="R668" s="774">
        <v>907</v>
      </c>
    </row>
    <row r="669" spans="1:21" hidden="1">
      <c r="A669" s="786">
        <v>669</v>
      </c>
      <c r="B669" s="767"/>
      <c r="C669" s="767"/>
      <c r="D669" s="767" t="s">
        <v>1018</v>
      </c>
      <c r="E669" s="767"/>
      <c r="F669" s="806"/>
      <c r="G669" s="778"/>
      <c r="H669" s="788">
        <v>99564.035592395172</v>
      </c>
      <c r="I669" s="788">
        <v>44800.464093921546</v>
      </c>
      <c r="J669" s="788">
        <v>13437.77595959278</v>
      </c>
      <c r="K669" s="788">
        <v>20877.67244415926</v>
      </c>
      <c r="L669" s="788">
        <v>8432.6842635911253</v>
      </c>
      <c r="M669" s="788">
        <v>8003.5478772542119</v>
      </c>
      <c r="N669" s="788">
        <v>3829.3564318356612</v>
      </c>
      <c r="O669" s="788">
        <v>182.53452204058777</v>
      </c>
      <c r="P669" s="772">
        <v>0</v>
      </c>
      <c r="Q669" s="774"/>
      <c r="R669" s="774"/>
      <c r="S669" s="787"/>
      <c r="T669" s="787"/>
      <c r="U669" s="787"/>
    </row>
    <row r="670" spans="1:21" hidden="1">
      <c r="A670" s="786">
        <v>670</v>
      </c>
      <c r="B670" s="767"/>
      <c r="C670" s="767"/>
      <c r="D670" s="767"/>
      <c r="E670" s="767"/>
      <c r="F670" s="806"/>
      <c r="G670" s="778"/>
      <c r="H670" s="788"/>
      <c r="I670" s="788"/>
      <c r="J670" s="788"/>
      <c r="K670" s="788"/>
      <c r="L670" s="788"/>
      <c r="M670" s="788"/>
      <c r="N670" s="788"/>
      <c r="O670" s="788"/>
      <c r="P670" s="772"/>
      <c r="R670" s="774"/>
      <c r="S670" s="775"/>
      <c r="T670" s="775"/>
      <c r="U670" s="775"/>
    </row>
    <row r="671" spans="1:21" hidden="1">
      <c r="A671" s="786">
        <v>671</v>
      </c>
      <c r="B671" s="767"/>
      <c r="C671" s="767" t="s">
        <v>1019</v>
      </c>
      <c r="D671" s="767" t="s">
        <v>1020</v>
      </c>
      <c r="E671" s="767"/>
      <c r="F671" s="806" t="s">
        <v>1392</v>
      </c>
      <c r="G671" s="778"/>
      <c r="H671" s="815">
        <v>0</v>
      </c>
      <c r="I671" s="815">
        <v>0</v>
      </c>
      <c r="J671" s="815">
        <v>0</v>
      </c>
      <c r="K671" s="815">
        <v>0</v>
      </c>
      <c r="L671" s="815">
        <v>0</v>
      </c>
      <c r="M671" s="815">
        <v>0</v>
      </c>
      <c r="N671" s="815">
        <v>0</v>
      </c>
      <c r="O671" s="815">
        <v>0</v>
      </c>
      <c r="P671" s="772">
        <v>0</v>
      </c>
      <c r="Q671" s="774"/>
      <c r="R671" s="774">
        <v>913</v>
      </c>
      <c r="S671" s="787"/>
      <c r="T671" s="787"/>
      <c r="U671" s="787"/>
    </row>
    <row r="672" spans="1:21" hidden="1">
      <c r="A672" s="786">
        <v>672</v>
      </c>
      <c r="B672" s="767"/>
      <c r="C672" s="767"/>
      <c r="D672" s="767"/>
      <c r="E672" s="767"/>
      <c r="F672" s="806"/>
      <c r="G672" s="778"/>
      <c r="H672" s="788"/>
      <c r="I672" s="788"/>
      <c r="J672" s="788"/>
      <c r="K672" s="788"/>
      <c r="L672" s="788"/>
      <c r="M672" s="788"/>
      <c r="N672" s="788"/>
      <c r="O672" s="788"/>
      <c r="P672" s="772"/>
      <c r="R672" s="774"/>
      <c r="S672" s="775"/>
      <c r="T672" s="775"/>
      <c r="U672" s="775"/>
    </row>
    <row r="673" spans="1:21" hidden="1">
      <c r="A673" s="786">
        <v>673</v>
      </c>
      <c r="B673" s="767"/>
      <c r="C673" s="767" t="s">
        <v>1021</v>
      </c>
      <c r="D673" s="767" t="s">
        <v>1022</v>
      </c>
      <c r="E673" s="767"/>
      <c r="F673" s="806"/>
      <c r="G673" s="778"/>
      <c r="H673" s="810"/>
      <c r="I673" s="810"/>
      <c r="J673" s="810"/>
      <c r="K673" s="810"/>
      <c r="L673" s="810"/>
      <c r="M673" s="810"/>
      <c r="N673" s="810"/>
      <c r="O673" s="810"/>
      <c r="P673" s="772"/>
      <c r="R673" s="774"/>
      <c r="S673" s="767"/>
      <c r="T673" s="767"/>
      <c r="U673" s="767"/>
    </row>
    <row r="674" spans="1:21" hidden="1">
      <c r="A674" s="786">
        <v>674</v>
      </c>
      <c r="B674" s="767"/>
      <c r="D674" s="767"/>
      <c r="E674" s="767" t="s">
        <v>727</v>
      </c>
      <c r="F674" s="806" t="s">
        <v>1425</v>
      </c>
      <c r="G674" s="778"/>
      <c r="H674" s="815">
        <v>3023.6000000000008</v>
      </c>
      <c r="I674" s="815">
        <v>790.24652572821606</v>
      </c>
      <c r="J674" s="815">
        <v>312.52092157666857</v>
      </c>
      <c r="K674" s="815">
        <v>969.41612455716643</v>
      </c>
      <c r="L674" s="815">
        <v>410.78729680166271</v>
      </c>
      <c r="M674" s="815">
        <v>480.67438918910074</v>
      </c>
      <c r="N674" s="815">
        <v>80.647362784510648</v>
      </c>
      <c r="O674" s="815">
        <v>-20.692620637322221</v>
      </c>
      <c r="P674" s="772">
        <v>0</v>
      </c>
      <c r="Q674" s="774"/>
      <c r="R674" s="774">
        <v>916</v>
      </c>
      <c r="S674" s="787"/>
      <c r="T674" s="787"/>
      <c r="U674" s="787"/>
    </row>
    <row r="675" spans="1:21" hidden="1">
      <c r="A675" s="786">
        <v>675</v>
      </c>
      <c r="B675" s="767"/>
      <c r="C675" s="767"/>
      <c r="D675" s="767"/>
      <c r="E675" s="767" t="s">
        <v>738</v>
      </c>
      <c r="F675" s="806" t="s">
        <v>1392</v>
      </c>
      <c r="G675" s="778"/>
      <c r="H675" s="815">
        <v>0</v>
      </c>
      <c r="I675" s="815">
        <v>0</v>
      </c>
      <c r="J675" s="815">
        <v>0</v>
      </c>
      <c r="K675" s="815">
        <v>0</v>
      </c>
      <c r="L675" s="815">
        <v>0</v>
      </c>
      <c r="M675" s="815">
        <v>0</v>
      </c>
      <c r="N675" s="815">
        <v>0</v>
      </c>
      <c r="O675" s="815">
        <v>0</v>
      </c>
      <c r="P675" s="772">
        <v>0</v>
      </c>
      <c r="Q675" s="774"/>
      <c r="R675" s="774">
        <v>917</v>
      </c>
      <c r="S675" s="787"/>
      <c r="T675" s="787"/>
      <c r="U675" s="787"/>
    </row>
    <row r="676" spans="1:21" hidden="1">
      <c r="A676" s="786">
        <v>676</v>
      </c>
      <c r="B676" s="767"/>
      <c r="C676" s="767"/>
      <c r="D676" s="767"/>
      <c r="E676" s="767" t="s">
        <v>1017</v>
      </c>
      <c r="F676" s="806" t="s">
        <v>1426</v>
      </c>
      <c r="G676" s="778"/>
      <c r="H676" s="815">
        <v>281345.59732807055</v>
      </c>
      <c r="I676" s="815">
        <v>118984.5409371893</v>
      </c>
      <c r="J676" s="815">
        <v>37555.700219824816</v>
      </c>
      <c r="K676" s="815">
        <v>63135.756158659664</v>
      </c>
      <c r="L676" s="815">
        <v>25710.345333901929</v>
      </c>
      <c r="M676" s="815">
        <v>24457.906674290789</v>
      </c>
      <c r="N676" s="815">
        <v>11069.494729492701</v>
      </c>
      <c r="O676" s="815">
        <v>431.85327471136674</v>
      </c>
      <c r="P676" s="772">
        <v>0</v>
      </c>
      <c r="Q676" s="774"/>
      <c r="R676" s="774">
        <v>918</v>
      </c>
      <c r="S676" s="787"/>
      <c r="T676" s="787"/>
      <c r="U676" s="787"/>
    </row>
    <row r="677" spans="1:21" hidden="1">
      <c r="A677" s="786">
        <v>677</v>
      </c>
      <c r="B677" s="767"/>
      <c r="C677" s="767"/>
      <c r="D677" s="767"/>
      <c r="E677" s="767" t="s">
        <v>1005</v>
      </c>
      <c r="F677" s="806" t="s">
        <v>1411</v>
      </c>
      <c r="G677" s="778"/>
      <c r="H677" s="815">
        <v>1101916.1325233215</v>
      </c>
      <c r="I677" s="815">
        <v>513166.45366743952</v>
      </c>
      <c r="J677" s="815">
        <v>159119.57118561532</v>
      </c>
      <c r="K677" s="815">
        <v>217928.73446667287</v>
      </c>
      <c r="L677" s="815">
        <v>87024.791717965301</v>
      </c>
      <c r="M677" s="815">
        <v>69754.439793343801</v>
      </c>
      <c r="N677" s="815">
        <v>49782.268684670576</v>
      </c>
      <c r="O677" s="815">
        <v>5139.8730076141019</v>
      </c>
      <c r="P677" s="772">
        <v>0</v>
      </c>
      <c r="Q677" s="774"/>
      <c r="R677" s="774">
        <v>919</v>
      </c>
      <c r="S677" s="787"/>
      <c r="T677" s="787"/>
      <c r="U677" s="787"/>
    </row>
    <row r="678" spans="1:21" hidden="1">
      <c r="A678" s="786">
        <v>678</v>
      </c>
      <c r="B678" s="767"/>
      <c r="C678" s="767"/>
      <c r="D678" s="767"/>
      <c r="E678" s="767" t="s">
        <v>1003</v>
      </c>
      <c r="F678" s="806" t="s">
        <v>1410</v>
      </c>
      <c r="G678" s="778"/>
      <c r="H678" s="815">
        <v>738703.81661462539</v>
      </c>
      <c r="I678" s="815">
        <v>602325.0753723121</v>
      </c>
      <c r="J678" s="815">
        <v>104546.83345146244</v>
      </c>
      <c r="K678" s="815">
        <v>6084.8624790170334</v>
      </c>
      <c r="L678" s="815">
        <v>1556.7880447795208</v>
      </c>
      <c r="M678" s="815">
        <v>24.144756422382404</v>
      </c>
      <c r="N678" s="815">
        <v>10232.06238922187</v>
      </c>
      <c r="O678" s="815">
        <v>13934.050121409951</v>
      </c>
      <c r="P678" s="772">
        <v>0</v>
      </c>
      <c r="Q678" s="774"/>
      <c r="R678" s="774">
        <v>920</v>
      </c>
      <c r="S678" s="787"/>
      <c r="T678" s="787"/>
      <c r="U678" s="787"/>
    </row>
    <row r="679" spans="1:21" hidden="1">
      <c r="A679" s="786">
        <v>679</v>
      </c>
      <c r="B679" s="767"/>
      <c r="C679" s="767"/>
      <c r="D679" s="767"/>
      <c r="E679" s="767" t="s">
        <v>835</v>
      </c>
      <c r="F679" s="806" t="s">
        <v>1392</v>
      </c>
      <c r="G679" s="778"/>
      <c r="H679" s="815">
        <v>0</v>
      </c>
      <c r="I679" s="815">
        <v>0</v>
      </c>
      <c r="J679" s="815">
        <v>0</v>
      </c>
      <c r="K679" s="815">
        <v>0</v>
      </c>
      <c r="L679" s="815">
        <v>0</v>
      </c>
      <c r="M679" s="815">
        <v>0</v>
      </c>
      <c r="N679" s="815">
        <v>0</v>
      </c>
      <c r="O679" s="815">
        <v>0</v>
      </c>
      <c r="P679" s="772">
        <v>0</v>
      </c>
      <c r="Q679" s="774"/>
      <c r="R679" s="774">
        <v>921</v>
      </c>
      <c r="S679" s="787"/>
      <c r="T679" s="787"/>
      <c r="U679" s="787"/>
    </row>
    <row r="680" spans="1:21" hidden="1">
      <c r="A680" s="786">
        <v>680</v>
      </c>
      <c r="B680" s="767"/>
      <c r="C680" s="767"/>
      <c r="D680" s="767"/>
      <c r="E680" s="767" t="s">
        <v>1002</v>
      </c>
      <c r="F680" s="806" t="s">
        <v>1392</v>
      </c>
      <c r="G680" s="778"/>
      <c r="H680" s="815">
        <v>0</v>
      </c>
      <c r="I680" s="815">
        <v>0</v>
      </c>
      <c r="J680" s="815">
        <v>0</v>
      </c>
      <c r="K680" s="815">
        <v>0</v>
      </c>
      <c r="L680" s="815">
        <v>0</v>
      </c>
      <c r="M680" s="815">
        <v>0</v>
      </c>
      <c r="N680" s="815">
        <v>0</v>
      </c>
      <c r="O680" s="815">
        <v>0</v>
      </c>
      <c r="P680" s="772">
        <v>0</v>
      </c>
      <c r="Q680" s="774"/>
      <c r="R680" s="774">
        <v>922</v>
      </c>
      <c r="S680" s="787"/>
      <c r="T680" s="787"/>
      <c r="U680" s="787"/>
    </row>
    <row r="681" spans="1:21" hidden="1">
      <c r="A681" s="786">
        <v>681</v>
      </c>
      <c r="B681" s="767"/>
      <c r="C681" s="767"/>
      <c r="D681" s="767"/>
      <c r="E681" s="767" t="s">
        <v>728</v>
      </c>
      <c r="F681" s="806" t="s">
        <v>1392</v>
      </c>
      <c r="G681" s="778"/>
      <c r="H681" s="815">
        <v>0</v>
      </c>
      <c r="I681" s="815">
        <v>0</v>
      </c>
      <c r="J681" s="815">
        <v>0</v>
      </c>
      <c r="K681" s="815">
        <v>0</v>
      </c>
      <c r="L681" s="815">
        <v>0</v>
      </c>
      <c r="M681" s="815">
        <v>0</v>
      </c>
      <c r="N681" s="815">
        <v>0</v>
      </c>
      <c r="O681" s="815">
        <v>0</v>
      </c>
      <c r="P681" s="772">
        <v>0</v>
      </c>
      <c r="Q681" s="774"/>
      <c r="R681" s="774">
        <v>923</v>
      </c>
      <c r="S681" s="787"/>
      <c r="T681" s="787"/>
      <c r="U681" s="787"/>
    </row>
    <row r="682" spans="1:21" hidden="1">
      <c r="A682" s="786">
        <v>682</v>
      </c>
      <c r="E682" s="767" t="s">
        <v>719</v>
      </c>
      <c r="F682" s="806" t="s">
        <v>1426</v>
      </c>
      <c r="H682" s="815">
        <v>519890.58234160021</v>
      </c>
      <c r="I682" s="815">
        <v>219868.17232953195</v>
      </c>
      <c r="J682" s="815">
        <v>69398.117628134787</v>
      </c>
      <c r="K682" s="815">
        <v>116666.78045659236</v>
      </c>
      <c r="L682" s="815">
        <v>47509.420921413868</v>
      </c>
      <c r="M682" s="815">
        <v>45195.074899026687</v>
      </c>
      <c r="N682" s="815">
        <v>20455.006638801424</v>
      </c>
      <c r="O682" s="815">
        <v>798.00946809917946</v>
      </c>
      <c r="P682" s="772">
        <v>0</v>
      </c>
      <c r="R682" s="774">
        <v>924</v>
      </c>
    </row>
    <row r="683" spans="1:21" hidden="1">
      <c r="A683" s="786">
        <v>683</v>
      </c>
      <c r="C683" s="767"/>
      <c r="D683" s="767"/>
      <c r="E683" s="767" t="s">
        <v>718</v>
      </c>
      <c r="F683" s="806" t="s">
        <v>1426</v>
      </c>
      <c r="G683" s="778"/>
      <c r="H683" s="815">
        <v>48447.124171576521</v>
      </c>
      <c r="I683" s="815">
        <v>20488.889408709103</v>
      </c>
      <c r="J683" s="815">
        <v>6467.0131296873287</v>
      </c>
      <c r="K683" s="815">
        <v>10871.845329494277</v>
      </c>
      <c r="L683" s="815">
        <v>4427.2677614826989</v>
      </c>
      <c r="M683" s="815">
        <v>4211.6004404522246</v>
      </c>
      <c r="N683" s="815">
        <v>1906.1438699216433</v>
      </c>
      <c r="O683" s="815">
        <v>74.364231829250258</v>
      </c>
      <c r="P683" s="772">
        <v>0</v>
      </c>
      <c r="Q683" s="774"/>
      <c r="R683" s="774">
        <v>925</v>
      </c>
      <c r="S683" s="787"/>
      <c r="T683" s="787"/>
      <c r="U683" s="787"/>
    </row>
    <row r="684" spans="1:21" hidden="1">
      <c r="A684" s="786">
        <v>684</v>
      </c>
      <c r="B684" s="767"/>
      <c r="C684" s="767"/>
      <c r="D684" s="767" t="s">
        <v>1023</v>
      </c>
      <c r="E684" s="767"/>
      <c r="F684" s="806"/>
      <c r="G684" s="778"/>
      <c r="H684" s="815">
        <v>2693326.8529791944</v>
      </c>
      <c r="I684" s="815">
        <v>1475623.3782409104</v>
      </c>
      <c r="J684" s="815">
        <v>377399.7565363014</v>
      </c>
      <c r="K684" s="815">
        <v>415657.39501499338</v>
      </c>
      <c r="L684" s="815">
        <v>166639.40107634501</v>
      </c>
      <c r="M684" s="815">
        <v>144123.840952725</v>
      </c>
      <c r="N684" s="815">
        <v>93525.623674892719</v>
      </c>
      <c r="O684" s="815">
        <v>20357.457483026526</v>
      </c>
      <c r="P684" s="772">
        <v>0</v>
      </c>
      <c r="Q684" s="774"/>
      <c r="R684" s="774"/>
      <c r="S684" s="787"/>
      <c r="T684" s="787"/>
      <c r="U684" s="787"/>
    </row>
    <row r="685" spans="1:21" hidden="1">
      <c r="A685" s="786">
        <v>685</v>
      </c>
      <c r="B685" s="767"/>
      <c r="C685" s="767"/>
      <c r="D685" s="767"/>
      <c r="E685" s="767"/>
      <c r="F685" s="806"/>
      <c r="G685" s="778"/>
      <c r="H685" s="817"/>
      <c r="I685" s="817"/>
      <c r="J685" s="817"/>
      <c r="K685" s="817"/>
      <c r="L685" s="817"/>
      <c r="M685" s="817"/>
      <c r="N685" s="817"/>
      <c r="O685" s="817"/>
      <c r="P685" s="772"/>
      <c r="R685" s="774"/>
      <c r="S685" s="768"/>
      <c r="T685" s="768"/>
      <c r="U685" s="768"/>
    </row>
    <row r="686" spans="1:21" hidden="1">
      <c r="A686" s="786">
        <v>686</v>
      </c>
      <c r="B686" s="767"/>
      <c r="C686" s="781" t="s">
        <v>714</v>
      </c>
      <c r="D686" s="767"/>
      <c r="E686" s="767"/>
      <c r="F686" s="806"/>
      <c r="G686" s="778"/>
      <c r="H686" s="817" t="s">
        <v>1024</v>
      </c>
      <c r="I686" s="817"/>
      <c r="J686" s="817"/>
      <c r="K686" s="817"/>
      <c r="L686" s="817"/>
      <c r="M686" s="817"/>
      <c r="N686" s="817"/>
      <c r="O686" s="817"/>
      <c r="P686" s="772"/>
      <c r="R686" s="774"/>
      <c r="S686" s="768"/>
      <c r="T686" s="768"/>
      <c r="U686" s="768"/>
    </row>
    <row r="687" spans="1:21" hidden="1">
      <c r="A687" s="786">
        <v>687</v>
      </c>
      <c r="B687" s="767"/>
      <c r="C687" s="767"/>
      <c r="D687" s="767"/>
      <c r="E687" s="767"/>
      <c r="F687" s="806"/>
      <c r="G687" s="778"/>
      <c r="H687" s="810"/>
      <c r="I687" s="810"/>
      <c r="J687" s="810"/>
      <c r="K687" s="810"/>
      <c r="L687" s="810"/>
      <c r="M687" s="810"/>
      <c r="N687" s="810"/>
      <c r="O687" s="810"/>
      <c r="P687" s="772"/>
      <c r="R687" s="774"/>
      <c r="S687" s="767"/>
      <c r="T687" s="767"/>
      <c r="U687" s="767"/>
    </row>
    <row r="688" spans="1:21" hidden="1">
      <c r="A688" s="786">
        <v>688</v>
      </c>
      <c r="B688" s="767"/>
      <c r="C688" s="767"/>
      <c r="D688" s="767"/>
      <c r="E688" s="767"/>
      <c r="F688" s="806"/>
      <c r="G688" s="778"/>
      <c r="H688" s="810"/>
      <c r="I688" s="810"/>
      <c r="J688" s="810"/>
      <c r="K688" s="810"/>
      <c r="L688" s="810"/>
      <c r="M688" s="810"/>
      <c r="N688" s="810"/>
      <c r="O688" s="810"/>
      <c r="P688" s="772"/>
      <c r="R688" s="774"/>
      <c r="S688" s="767"/>
      <c r="T688" s="767"/>
      <c r="U688" s="767"/>
    </row>
    <row r="689" spans="1:21" hidden="1">
      <c r="A689" s="786">
        <v>689</v>
      </c>
      <c r="B689" s="767"/>
      <c r="C689" s="777" t="s">
        <v>575</v>
      </c>
      <c r="D689" s="767"/>
      <c r="E689" s="777" t="s">
        <v>576</v>
      </c>
      <c r="F689" s="806" t="s">
        <v>577</v>
      </c>
      <c r="G689" s="778"/>
      <c r="H689" s="777" t="s">
        <v>578</v>
      </c>
      <c r="I689" s="777" t="s">
        <v>579</v>
      </c>
      <c r="J689" s="777" t="s">
        <v>580</v>
      </c>
      <c r="K689" s="777" t="s">
        <v>581</v>
      </c>
      <c r="L689" s="777" t="s">
        <v>582</v>
      </c>
      <c r="M689" s="777" t="s">
        <v>583</v>
      </c>
      <c r="N689" s="777" t="s">
        <v>584</v>
      </c>
      <c r="O689" s="777" t="s">
        <v>585</v>
      </c>
      <c r="P689" s="772"/>
      <c r="R689" s="774"/>
      <c r="S689" s="779"/>
      <c r="T689" s="779"/>
      <c r="U689" s="779"/>
    </row>
    <row r="690" spans="1:21" ht="38.25" hidden="1">
      <c r="A690" s="786">
        <v>690</v>
      </c>
      <c r="B690" s="767"/>
      <c r="C690" s="797" t="s">
        <v>656</v>
      </c>
      <c r="D690" s="781"/>
      <c r="E690" s="782" t="s">
        <v>587</v>
      </c>
      <c r="F690" s="806" t="s">
        <v>1391</v>
      </c>
      <c r="G690" s="783"/>
      <c r="H690" s="784" t="s">
        <v>588</v>
      </c>
      <c r="I690" s="784" t="s">
        <v>589</v>
      </c>
      <c r="J690" s="784" t="s">
        <v>590</v>
      </c>
      <c r="K690" s="784" t="s">
        <v>591</v>
      </c>
      <c r="L690" s="784" t="s">
        <v>592</v>
      </c>
      <c r="M690" s="784" t="s">
        <v>593</v>
      </c>
      <c r="N690" s="784" t="s">
        <v>594</v>
      </c>
      <c r="O690" s="784" t="s">
        <v>595</v>
      </c>
      <c r="P690" s="772"/>
      <c r="R690" s="774"/>
      <c r="S690" s="782"/>
      <c r="T690" s="782"/>
      <c r="U690" s="782"/>
    </row>
    <row r="691" spans="1:21" hidden="1">
      <c r="A691" s="786">
        <v>691</v>
      </c>
      <c r="B691" s="767"/>
      <c r="C691" s="767" t="s">
        <v>1025</v>
      </c>
      <c r="D691" s="764" t="s">
        <v>1026</v>
      </c>
      <c r="F691" s="806" t="s">
        <v>1392</v>
      </c>
      <c r="G691" s="783"/>
      <c r="H691" s="815">
        <v>0</v>
      </c>
      <c r="I691" s="815">
        <v>0</v>
      </c>
      <c r="J691" s="815">
        <v>0</v>
      </c>
      <c r="K691" s="815">
        <v>0</v>
      </c>
      <c r="L691" s="815">
        <v>0</v>
      </c>
      <c r="M691" s="815">
        <v>0</v>
      </c>
      <c r="N691" s="815">
        <v>0</v>
      </c>
      <c r="O691" s="815">
        <v>0</v>
      </c>
      <c r="P691" s="772">
        <v>0</v>
      </c>
      <c r="Q691" s="774"/>
      <c r="R691" s="774">
        <v>930</v>
      </c>
      <c r="S691" s="787"/>
      <c r="T691" s="787"/>
      <c r="U691" s="787"/>
    </row>
    <row r="692" spans="1:21" hidden="1">
      <c r="A692" s="786">
        <v>692</v>
      </c>
      <c r="B692" s="767"/>
      <c r="C692" s="782"/>
      <c r="D692" s="781"/>
      <c r="E692" s="782"/>
      <c r="F692" s="806"/>
      <c r="G692" s="783"/>
      <c r="H692" s="824"/>
      <c r="I692" s="824"/>
      <c r="J692" s="824"/>
      <c r="K692" s="824"/>
      <c r="L692" s="824"/>
      <c r="M692" s="824"/>
      <c r="N692" s="824"/>
      <c r="O692" s="824"/>
      <c r="P692" s="772"/>
      <c r="R692" s="774"/>
      <c r="S692" s="825"/>
      <c r="T692" s="825"/>
      <c r="U692" s="825"/>
    </row>
    <row r="693" spans="1:21" hidden="1">
      <c r="A693" s="786">
        <v>693</v>
      </c>
      <c r="B693" s="767"/>
      <c r="C693" s="767" t="s">
        <v>1027</v>
      </c>
      <c r="D693" s="767" t="s">
        <v>1028</v>
      </c>
      <c r="E693" s="767"/>
      <c r="F693" s="806" t="s">
        <v>1427</v>
      </c>
      <c r="G693" s="778"/>
      <c r="H693" s="815">
        <v>67255.186318601714</v>
      </c>
      <c r="I693" s="815">
        <v>32941.285221345694</v>
      </c>
      <c r="J693" s="815">
        <v>9243.7005728128552</v>
      </c>
      <c r="K693" s="815">
        <v>12560.245700798803</v>
      </c>
      <c r="L693" s="815">
        <v>5077.4318583487366</v>
      </c>
      <c r="M693" s="815">
        <v>4602.951402436408</v>
      </c>
      <c r="N693" s="815">
        <v>2502.8751773266113</v>
      </c>
      <c r="O693" s="815">
        <v>326.69638553260171</v>
      </c>
      <c r="P693" s="772">
        <v>0</v>
      </c>
      <c r="Q693" s="774"/>
      <c r="R693" s="774">
        <v>936</v>
      </c>
      <c r="S693" s="787"/>
      <c r="T693" s="787"/>
      <c r="U693" s="787"/>
    </row>
    <row r="694" spans="1:21" hidden="1">
      <c r="A694" s="786">
        <v>694</v>
      </c>
      <c r="B694" s="767"/>
      <c r="C694" s="767"/>
      <c r="D694" s="767"/>
      <c r="E694" s="767"/>
      <c r="F694" s="806"/>
      <c r="G694" s="778"/>
      <c r="H694" s="788"/>
      <c r="I694" s="788"/>
      <c r="J694" s="788"/>
      <c r="K694" s="788"/>
      <c r="L694" s="788"/>
      <c r="M694" s="788"/>
      <c r="N694" s="788"/>
      <c r="O694" s="788"/>
      <c r="P694" s="772"/>
      <c r="R694" s="774"/>
      <c r="S694" s="775"/>
      <c r="T694" s="775"/>
      <c r="U694" s="775"/>
    </row>
    <row r="695" spans="1:21" hidden="1">
      <c r="A695" s="786">
        <v>695</v>
      </c>
      <c r="B695" s="767"/>
      <c r="C695" s="767" t="s">
        <v>1029</v>
      </c>
      <c r="D695" s="767" t="s">
        <v>1028</v>
      </c>
      <c r="E695" s="767"/>
      <c r="F695" s="806" t="s">
        <v>1427</v>
      </c>
      <c r="G695" s="778"/>
      <c r="H695" s="815">
        <v>0</v>
      </c>
      <c r="I695" s="815">
        <v>0</v>
      </c>
      <c r="J695" s="815">
        <v>0</v>
      </c>
      <c r="K695" s="815">
        <v>0</v>
      </c>
      <c r="L695" s="815">
        <v>0</v>
      </c>
      <c r="M695" s="815">
        <v>0</v>
      </c>
      <c r="N695" s="815">
        <v>0</v>
      </c>
      <c r="O695" s="815">
        <v>0</v>
      </c>
      <c r="P695" s="772">
        <v>0</v>
      </c>
      <c r="Q695" s="774"/>
      <c r="R695" s="774">
        <v>944</v>
      </c>
      <c r="S695" s="787"/>
      <c r="T695" s="787"/>
      <c r="U695" s="787"/>
    </row>
    <row r="696" spans="1:21" hidden="1">
      <c r="A696" s="786">
        <v>696</v>
      </c>
      <c r="B696" s="767"/>
      <c r="C696" s="767"/>
      <c r="D696" s="767"/>
      <c r="E696" s="767"/>
      <c r="F696" s="806"/>
      <c r="G696" s="778"/>
      <c r="H696" s="788"/>
      <c r="I696" s="788"/>
      <c r="J696" s="788"/>
      <c r="K696" s="788"/>
      <c r="L696" s="788"/>
      <c r="M696" s="788"/>
      <c r="N696" s="788"/>
      <c r="O696" s="788"/>
      <c r="P696" s="772"/>
      <c r="R696" s="774"/>
      <c r="S696" s="775"/>
      <c r="T696" s="775"/>
      <c r="U696" s="775"/>
    </row>
    <row r="697" spans="1:21" hidden="1">
      <c r="A697" s="786">
        <v>697</v>
      </c>
      <c r="B697" s="767"/>
      <c r="C697" s="767" t="s">
        <v>1030</v>
      </c>
      <c r="D697" s="767" t="s">
        <v>1031</v>
      </c>
      <c r="E697" s="767"/>
      <c r="F697" s="806" t="s">
        <v>1392</v>
      </c>
      <c r="G697" s="778"/>
      <c r="H697" s="815">
        <v>0</v>
      </c>
      <c r="I697" s="815">
        <v>0</v>
      </c>
      <c r="J697" s="815">
        <v>0</v>
      </c>
      <c r="K697" s="815">
        <v>0</v>
      </c>
      <c r="L697" s="815">
        <v>0</v>
      </c>
      <c r="M697" s="815">
        <v>0</v>
      </c>
      <c r="N697" s="815">
        <v>0</v>
      </c>
      <c r="O697" s="815">
        <v>0</v>
      </c>
      <c r="P697" s="772">
        <v>0</v>
      </c>
      <c r="Q697" s="774"/>
      <c r="R697" s="774">
        <v>952</v>
      </c>
      <c r="S697" s="787"/>
      <c r="T697" s="787"/>
      <c r="U697" s="787"/>
    </row>
    <row r="698" spans="1:21" hidden="1">
      <c r="A698" s="786">
        <v>698</v>
      </c>
      <c r="B698" s="767"/>
      <c r="C698" s="767"/>
      <c r="D698" s="767"/>
      <c r="E698" s="767"/>
      <c r="F698" s="806"/>
      <c r="G698" s="778"/>
      <c r="H698" s="788"/>
      <c r="I698" s="788"/>
      <c r="J698" s="788"/>
      <c r="K698" s="788"/>
      <c r="L698" s="788"/>
      <c r="M698" s="788"/>
      <c r="N698" s="788"/>
      <c r="O698" s="788"/>
      <c r="P698" s="772"/>
      <c r="R698" s="774"/>
      <c r="S698" s="775"/>
      <c r="T698" s="775"/>
      <c r="U698" s="775"/>
    </row>
    <row r="699" spans="1:21" hidden="1">
      <c r="A699" s="786">
        <v>699</v>
      </c>
      <c r="B699" s="767"/>
      <c r="C699" s="767" t="s">
        <v>1032</v>
      </c>
      <c r="D699" s="767" t="s">
        <v>1033</v>
      </c>
      <c r="E699" s="767"/>
      <c r="F699" s="806" t="s">
        <v>1427</v>
      </c>
      <c r="G699" s="778"/>
      <c r="H699" s="808">
        <v>4274599.2278883681</v>
      </c>
      <c r="I699" s="808">
        <v>2093679.3142727313</v>
      </c>
      <c r="J699" s="808">
        <v>587510.30952758505</v>
      </c>
      <c r="K699" s="808">
        <v>798302.99362166738</v>
      </c>
      <c r="L699" s="808">
        <v>322710.96831903857</v>
      </c>
      <c r="M699" s="808">
        <v>292553.9811555075</v>
      </c>
      <c r="N699" s="808">
        <v>159077.52079994135</v>
      </c>
      <c r="O699" s="808">
        <v>20764.140191896713</v>
      </c>
      <c r="P699" s="772">
        <v>0</v>
      </c>
      <c r="Q699" s="774"/>
      <c r="R699" s="774">
        <v>961</v>
      </c>
      <c r="S699" s="787"/>
      <c r="T699" s="787"/>
      <c r="U699" s="787"/>
    </row>
    <row r="700" spans="1:21" hidden="1">
      <c r="A700" s="786">
        <v>700</v>
      </c>
      <c r="B700" s="767"/>
      <c r="C700" s="767"/>
      <c r="D700" s="767"/>
      <c r="E700" s="767"/>
      <c r="F700" s="806"/>
      <c r="G700" s="778"/>
      <c r="H700" s="788"/>
      <c r="I700" s="788"/>
      <c r="J700" s="788"/>
      <c r="K700" s="788"/>
      <c r="L700" s="788"/>
      <c r="M700" s="788"/>
      <c r="N700" s="788"/>
      <c r="O700" s="788"/>
      <c r="P700" s="772"/>
      <c r="R700" s="774"/>
      <c r="S700" s="775"/>
      <c r="T700" s="775"/>
      <c r="U700" s="775"/>
    </row>
    <row r="701" spans="1:21" hidden="1">
      <c r="A701" s="786">
        <v>701</v>
      </c>
      <c r="B701" s="767"/>
      <c r="C701" s="767"/>
      <c r="D701" s="767"/>
      <c r="E701" s="767"/>
      <c r="F701" s="806"/>
      <c r="G701" s="778"/>
      <c r="H701" s="788"/>
      <c r="I701" s="788"/>
      <c r="J701" s="788"/>
      <c r="K701" s="788"/>
      <c r="L701" s="788"/>
      <c r="M701" s="788"/>
      <c r="N701" s="788"/>
      <c r="O701" s="788"/>
      <c r="P701" s="772"/>
      <c r="R701" s="774"/>
      <c r="S701" s="775"/>
      <c r="T701" s="775"/>
      <c r="U701" s="775"/>
    </row>
    <row r="702" spans="1:21" hidden="1">
      <c r="A702" s="786">
        <v>702</v>
      </c>
      <c r="B702" s="767"/>
      <c r="C702" s="767" t="s">
        <v>1034</v>
      </c>
      <c r="D702" s="767"/>
      <c r="E702" s="767"/>
      <c r="F702" s="806"/>
      <c r="G702" s="778"/>
      <c r="H702" s="815">
        <v>7134745.3027785588</v>
      </c>
      <c r="I702" s="815">
        <v>3647044.4418289089</v>
      </c>
      <c r="J702" s="815">
        <v>987591.54259629198</v>
      </c>
      <c r="K702" s="815">
        <v>1247398.3067816189</v>
      </c>
      <c r="L702" s="815">
        <v>502860.48551732342</v>
      </c>
      <c r="M702" s="815">
        <v>449284.32138792309</v>
      </c>
      <c r="N702" s="815">
        <v>258935.37608399632</v>
      </c>
      <c r="O702" s="815">
        <v>41630.828582496426</v>
      </c>
      <c r="P702" s="772">
        <v>0</v>
      </c>
      <c r="Q702" s="774"/>
      <c r="R702" s="774"/>
      <c r="S702" s="787"/>
      <c r="T702" s="787"/>
      <c r="U702" s="787"/>
    </row>
    <row r="703" spans="1:21" hidden="1">
      <c r="A703" s="786">
        <v>703</v>
      </c>
      <c r="B703" s="767"/>
      <c r="F703" s="806"/>
      <c r="H703" s="813"/>
      <c r="I703" s="813"/>
      <c r="J703" s="813"/>
      <c r="K703" s="813"/>
      <c r="L703" s="813"/>
      <c r="M703" s="813"/>
      <c r="N703" s="813"/>
      <c r="O703" s="813"/>
      <c r="P703" s="772"/>
      <c r="R703" s="774"/>
    </row>
    <row r="704" spans="1:21" hidden="1">
      <c r="A704" s="786">
        <v>704</v>
      </c>
      <c r="B704" s="767"/>
      <c r="F704" s="806"/>
      <c r="H704" s="813"/>
      <c r="I704" s="813"/>
      <c r="J704" s="813"/>
      <c r="K704" s="813"/>
      <c r="L704" s="813"/>
      <c r="M704" s="813"/>
      <c r="N704" s="813"/>
      <c r="O704" s="813"/>
      <c r="P704" s="772"/>
      <c r="R704" s="774"/>
    </row>
    <row r="705" spans="1:22" hidden="1">
      <c r="A705" s="786">
        <v>705</v>
      </c>
      <c r="C705" s="768"/>
      <c r="D705" s="795"/>
      <c r="E705" s="795"/>
      <c r="F705" s="806"/>
      <c r="H705" s="817" t="s">
        <v>1035</v>
      </c>
      <c r="I705" s="817"/>
      <c r="J705" s="817"/>
      <c r="K705" s="817"/>
      <c r="L705" s="817"/>
      <c r="M705" s="817"/>
      <c r="N705" s="817"/>
      <c r="O705" s="817"/>
      <c r="P705" s="772"/>
      <c r="R705" s="774"/>
    </row>
    <row r="706" spans="1:22" hidden="1">
      <c r="A706" s="786">
        <v>706</v>
      </c>
      <c r="B706" s="767"/>
      <c r="C706" s="767"/>
      <c r="D706" s="767"/>
      <c r="E706" s="767"/>
      <c r="F706" s="806"/>
      <c r="G706" s="778"/>
      <c r="H706" s="788"/>
      <c r="I706" s="788"/>
      <c r="J706" s="788"/>
      <c r="K706" s="788"/>
      <c r="L706" s="788"/>
      <c r="M706" s="788"/>
      <c r="N706" s="788"/>
      <c r="O706" s="788"/>
      <c r="P706" s="772"/>
      <c r="R706" s="774"/>
    </row>
    <row r="707" spans="1:22" hidden="1">
      <c r="A707" s="786">
        <v>707</v>
      </c>
      <c r="B707" s="767"/>
      <c r="D707" s="767"/>
      <c r="E707" s="767"/>
      <c r="F707" s="806"/>
      <c r="G707" s="778"/>
      <c r="H707" s="788"/>
      <c r="I707" s="788"/>
      <c r="J707" s="788"/>
      <c r="K707" s="788"/>
      <c r="L707" s="788"/>
      <c r="M707" s="788"/>
      <c r="N707" s="788"/>
      <c r="O707" s="788"/>
      <c r="P707" s="772"/>
      <c r="R707" s="774"/>
    </row>
    <row r="708" spans="1:22" hidden="1">
      <c r="A708" s="786">
        <v>708</v>
      </c>
      <c r="B708" s="767"/>
      <c r="C708" s="767" t="s">
        <v>1036</v>
      </c>
      <c r="D708" s="767" t="s">
        <v>1037</v>
      </c>
      <c r="E708" s="767"/>
      <c r="F708" s="806" t="s">
        <v>1428</v>
      </c>
      <c r="G708" s="778"/>
      <c r="H708" s="815">
        <v>24634547.458652236</v>
      </c>
      <c r="I708" s="815">
        <v>11462723.525937947</v>
      </c>
      <c r="J708" s="815">
        <v>3480165.3976608487</v>
      </c>
      <c r="K708" s="815">
        <v>4906632.285933746</v>
      </c>
      <c r="L708" s="815">
        <v>1962287.4728191437</v>
      </c>
      <c r="M708" s="815">
        <v>1634344.14362378</v>
      </c>
      <c r="N708" s="815">
        <v>1084056.0841745278</v>
      </c>
      <c r="O708" s="815">
        <v>104338.54850223867</v>
      </c>
      <c r="P708" s="772">
        <v>0</v>
      </c>
      <c r="Q708" s="774"/>
      <c r="R708" s="774">
        <v>974</v>
      </c>
      <c r="S708" s="774"/>
      <c r="T708" s="774"/>
      <c r="U708" s="774"/>
      <c r="V708" s="774"/>
    </row>
    <row r="709" spans="1:22" hidden="1">
      <c r="A709" s="786">
        <v>709</v>
      </c>
      <c r="B709" s="767"/>
      <c r="C709" s="767"/>
      <c r="D709" s="767"/>
      <c r="E709" s="767"/>
      <c r="F709" s="806"/>
      <c r="G709" s="778"/>
      <c r="H709" s="810"/>
      <c r="I709" s="810"/>
      <c r="J709" s="810"/>
      <c r="K709" s="810"/>
      <c r="L709" s="810"/>
      <c r="M709" s="810"/>
      <c r="N709" s="810"/>
      <c r="O709" s="810"/>
      <c r="P709" s="772"/>
      <c r="R709" s="774"/>
    </row>
    <row r="710" spans="1:22" hidden="1">
      <c r="A710" s="786">
        <v>710</v>
      </c>
      <c r="B710" s="767"/>
      <c r="C710" s="767"/>
      <c r="D710" s="767"/>
      <c r="E710" s="767"/>
      <c r="F710" s="806"/>
      <c r="G710" s="778"/>
      <c r="H710" s="788"/>
      <c r="I710" s="788"/>
      <c r="J710" s="788"/>
      <c r="K710" s="788"/>
      <c r="L710" s="788"/>
      <c r="M710" s="788"/>
      <c r="N710" s="788"/>
      <c r="O710" s="788"/>
      <c r="P710" s="772"/>
      <c r="R710" s="774"/>
    </row>
    <row r="711" spans="1:22" hidden="1">
      <c r="A711" s="786">
        <v>711</v>
      </c>
      <c r="C711" s="795"/>
      <c r="D711" s="795"/>
      <c r="E711" s="795"/>
      <c r="F711" s="806"/>
      <c r="H711" s="817" t="s">
        <v>1038</v>
      </c>
      <c r="I711" s="817"/>
      <c r="J711" s="817"/>
      <c r="K711" s="817"/>
      <c r="L711" s="817"/>
      <c r="M711" s="817"/>
      <c r="N711" s="817"/>
      <c r="O711" s="817"/>
      <c r="P711" s="772"/>
      <c r="R711" s="774"/>
    </row>
    <row r="712" spans="1:22" hidden="1">
      <c r="A712" s="786">
        <v>712</v>
      </c>
      <c r="B712" s="767"/>
      <c r="C712" s="767"/>
      <c r="D712" s="767"/>
      <c r="E712" s="767"/>
      <c r="F712" s="806"/>
      <c r="G712" s="778"/>
      <c r="H712" s="810"/>
      <c r="I712" s="810"/>
      <c r="J712" s="810"/>
      <c r="K712" s="810"/>
      <c r="L712" s="810"/>
      <c r="M712" s="810"/>
      <c r="N712" s="810"/>
      <c r="O712" s="810"/>
      <c r="P712" s="772"/>
      <c r="R712" s="774"/>
    </row>
    <row r="713" spans="1:22" hidden="1">
      <c r="A713" s="786">
        <v>713</v>
      </c>
      <c r="B713" s="767"/>
      <c r="C713" s="767"/>
      <c r="D713" s="767"/>
      <c r="E713" s="767"/>
      <c r="F713" s="806"/>
      <c r="G713" s="778"/>
      <c r="H713" s="788"/>
      <c r="I713" s="788"/>
      <c r="J713" s="788"/>
      <c r="K713" s="788"/>
      <c r="L713" s="788"/>
      <c r="M713" s="788"/>
      <c r="N713" s="788"/>
      <c r="O713" s="788"/>
      <c r="P713" s="772"/>
      <c r="R713" s="774"/>
    </row>
    <row r="714" spans="1:22" hidden="1">
      <c r="A714" s="786">
        <v>714</v>
      </c>
      <c r="B714" s="767"/>
      <c r="C714" s="767" t="s">
        <v>1039</v>
      </c>
      <c r="D714" s="767" t="s">
        <v>1040</v>
      </c>
      <c r="E714" s="767"/>
      <c r="F714" s="806" t="s">
        <v>1428</v>
      </c>
      <c r="G714" s="778"/>
      <c r="H714" s="815">
        <v>0</v>
      </c>
      <c r="I714" s="815">
        <v>0</v>
      </c>
      <c r="J714" s="815">
        <v>0</v>
      </c>
      <c r="K714" s="815">
        <v>0</v>
      </c>
      <c r="L714" s="815">
        <v>0</v>
      </c>
      <c r="M714" s="815">
        <v>0</v>
      </c>
      <c r="N714" s="815">
        <v>0</v>
      </c>
      <c r="O714" s="815">
        <v>0</v>
      </c>
      <c r="P714" s="772">
        <v>0</v>
      </c>
      <c r="Q714" s="774"/>
      <c r="R714" s="774">
        <v>979</v>
      </c>
      <c r="S714" s="774"/>
      <c r="T714" s="774"/>
      <c r="U714" s="774"/>
      <c r="V714" s="774"/>
    </row>
    <row r="715" spans="1:22" hidden="1">
      <c r="A715" s="786">
        <v>715</v>
      </c>
      <c r="B715" s="767"/>
      <c r="C715" s="767"/>
      <c r="D715" s="767"/>
      <c r="E715" s="767"/>
      <c r="F715" s="806"/>
      <c r="G715" s="778"/>
      <c r="H715" s="788"/>
      <c r="I715" s="788"/>
      <c r="J715" s="788"/>
      <c r="K715" s="788"/>
      <c r="L715" s="788"/>
      <c r="M715" s="788"/>
      <c r="N715" s="788"/>
      <c r="O715" s="788"/>
      <c r="P715" s="772"/>
      <c r="R715" s="774"/>
    </row>
    <row r="716" spans="1:22" hidden="1">
      <c r="A716" s="786">
        <v>716</v>
      </c>
      <c r="B716" s="767"/>
      <c r="C716" s="767" t="s">
        <v>1041</v>
      </c>
      <c r="D716" s="767" t="s">
        <v>1042</v>
      </c>
      <c r="E716" s="767"/>
      <c r="F716" s="806" t="s">
        <v>1428</v>
      </c>
      <c r="G716" s="778"/>
      <c r="H716" s="808">
        <v>0</v>
      </c>
      <c r="I716" s="808">
        <v>0</v>
      </c>
      <c r="J716" s="808">
        <v>0</v>
      </c>
      <c r="K716" s="808">
        <v>0</v>
      </c>
      <c r="L716" s="808">
        <v>0</v>
      </c>
      <c r="M716" s="808">
        <v>0</v>
      </c>
      <c r="N716" s="808">
        <v>0</v>
      </c>
      <c r="O716" s="808">
        <v>0</v>
      </c>
      <c r="P716" s="772">
        <v>0</v>
      </c>
      <c r="Q716" s="774"/>
      <c r="R716" s="774">
        <v>984</v>
      </c>
      <c r="S716" s="774"/>
      <c r="T716" s="774"/>
      <c r="U716" s="774"/>
      <c r="V716" s="774"/>
    </row>
    <row r="717" spans="1:22" hidden="1">
      <c r="A717" s="786">
        <v>717</v>
      </c>
      <c r="B717" s="767"/>
      <c r="C717" s="767"/>
      <c r="D717" s="767"/>
      <c r="E717" s="767"/>
      <c r="F717" s="806"/>
      <c r="G717" s="778"/>
      <c r="H717" s="788"/>
      <c r="I717" s="788"/>
      <c r="J717" s="788"/>
      <c r="K717" s="788"/>
      <c r="L717" s="788"/>
      <c r="M717" s="788"/>
      <c r="N717" s="788"/>
      <c r="O717" s="788"/>
      <c r="P717" s="772"/>
      <c r="R717" s="774"/>
    </row>
    <row r="718" spans="1:22" hidden="1">
      <c r="A718" s="786">
        <v>718</v>
      </c>
      <c r="B718" s="767"/>
      <c r="C718" s="767" t="s">
        <v>1043</v>
      </c>
      <c r="D718" s="767"/>
      <c r="E718" s="767"/>
      <c r="F718" s="806"/>
      <c r="G718" s="778"/>
      <c r="H718" s="815">
        <v>0</v>
      </c>
      <c r="I718" s="815">
        <v>0</v>
      </c>
      <c r="J718" s="815">
        <v>0</v>
      </c>
      <c r="K718" s="815">
        <v>0</v>
      </c>
      <c r="L718" s="815">
        <v>0</v>
      </c>
      <c r="M718" s="815">
        <v>0</v>
      </c>
      <c r="N718" s="815">
        <v>0</v>
      </c>
      <c r="O718" s="815">
        <v>0</v>
      </c>
      <c r="P718" s="772">
        <v>0</v>
      </c>
      <c r="Q718" s="774"/>
      <c r="R718" s="774"/>
      <c r="S718" s="774"/>
      <c r="T718" s="774"/>
      <c r="U718" s="774"/>
      <c r="V718" s="774"/>
    </row>
    <row r="719" spans="1:22" hidden="1">
      <c r="A719" s="786">
        <v>719</v>
      </c>
      <c r="B719" s="767"/>
      <c r="C719" s="767"/>
      <c r="D719" s="767"/>
      <c r="E719" s="767"/>
      <c r="F719" s="806"/>
      <c r="G719" s="778"/>
      <c r="H719" s="788"/>
      <c r="I719" s="788"/>
      <c r="J719" s="788"/>
      <c r="K719" s="788"/>
      <c r="L719" s="788"/>
      <c r="M719" s="788"/>
      <c r="N719" s="788"/>
      <c r="O719" s="788"/>
      <c r="P719" s="772"/>
      <c r="Q719" s="774"/>
      <c r="R719" s="774"/>
      <c r="S719" s="774"/>
      <c r="T719" s="774"/>
      <c r="U719" s="774"/>
      <c r="V719" s="774"/>
    </row>
    <row r="720" spans="1:22" hidden="1">
      <c r="A720" s="786">
        <v>720</v>
      </c>
      <c r="B720" s="767"/>
      <c r="C720" s="767"/>
      <c r="D720" s="767"/>
      <c r="E720" s="767"/>
      <c r="F720" s="806"/>
      <c r="G720" s="778"/>
      <c r="H720" s="788"/>
      <c r="I720" s="788"/>
      <c r="J720" s="788"/>
      <c r="K720" s="788"/>
      <c r="L720" s="788"/>
      <c r="M720" s="788"/>
      <c r="N720" s="788"/>
      <c r="O720" s="788"/>
      <c r="P720" s="772"/>
      <c r="R720" s="774"/>
    </row>
    <row r="721" spans="1:22" hidden="1">
      <c r="A721" s="786">
        <v>721</v>
      </c>
      <c r="C721" s="768"/>
      <c r="D721" s="795"/>
      <c r="E721" s="795"/>
      <c r="F721" s="806"/>
      <c r="H721" s="817" t="s">
        <v>1044</v>
      </c>
      <c r="I721" s="817"/>
      <c r="J721" s="817"/>
      <c r="K721" s="817"/>
      <c r="L721" s="817"/>
      <c r="M721" s="817"/>
      <c r="N721" s="817"/>
      <c r="O721" s="817"/>
      <c r="P721" s="772"/>
      <c r="R721" s="774"/>
    </row>
    <row r="722" spans="1:22" hidden="1">
      <c r="A722" s="786">
        <v>722</v>
      </c>
      <c r="B722" s="767"/>
      <c r="C722" s="767"/>
      <c r="D722" s="767"/>
      <c r="E722" s="767"/>
      <c r="F722" s="806"/>
      <c r="G722" s="778"/>
      <c r="H722" s="810"/>
      <c r="I722" s="810"/>
      <c r="J722" s="810"/>
      <c r="K722" s="810"/>
      <c r="L722" s="810"/>
      <c r="M722" s="810"/>
      <c r="N722" s="810"/>
      <c r="O722" s="810"/>
      <c r="P722" s="772"/>
      <c r="R722" s="774"/>
    </row>
    <row r="723" spans="1:22" hidden="1">
      <c r="A723" s="786">
        <v>723</v>
      </c>
      <c r="B723" s="767"/>
      <c r="C723" s="767"/>
      <c r="D723" s="767"/>
      <c r="E723" s="767"/>
      <c r="F723" s="806"/>
      <c r="G723" s="778"/>
      <c r="H723" s="788"/>
      <c r="I723" s="788"/>
      <c r="J723" s="788"/>
      <c r="K723" s="788"/>
      <c r="L723" s="788"/>
      <c r="M723" s="788"/>
      <c r="N723" s="788"/>
      <c r="O723" s="788"/>
      <c r="P723" s="772"/>
      <c r="R723" s="774"/>
    </row>
    <row r="724" spans="1:22" hidden="1">
      <c r="A724" s="786">
        <v>724</v>
      </c>
      <c r="B724" s="767"/>
      <c r="C724" s="764" t="s">
        <v>1045</v>
      </c>
      <c r="D724" s="767" t="s">
        <v>1046</v>
      </c>
      <c r="E724" s="767"/>
      <c r="F724" s="806" t="s">
        <v>1428</v>
      </c>
      <c r="G724" s="778"/>
      <c r="H724" s="815">
        <v>28405098.48003557</v>
      </c>
      <c r="I724" s="815">
        <v>12749356.139754828</v>
      </c>
      <c r="J724" s="815">
        <v>3920288.4522887897</v>
      </c>
      <c r="K724" s="815">
        <v>5939456.9978457568</v>
      </c>
      <c r="L724" s="815">
        <v>2393405.9169148458</v>
      </c>
      <c r="M724" s="815">
        <v>2119968.4457000578</v>
      </c>
      <c r="N724" s="815">
        <v>1194401.6045742068</v>
      </c>
      <c r="O724" s="815">
        <v>88220.922957078554</v>
      </c>
      <c r="P724" s="772">
        <v>0</v>
      </c>
      <c r="Q724" s="774"/>
      <c r="R724" s="774">
        <v>1032</v>
      </c>
      <c r="S724" s="774"/>
      <c r="T724" s="774"/>
      <c r="U724" s="774"/>
      <c r="V724" s="774"/>
    </row>
    <row r="725" spans="1:22" hidden="1">
      <c r="A725" s="786">
        <v>725</v>
      </c>
      <c r="B725" s="767"/>
      <c r="C725" s="764"/>
      <c r="D725" s="767"/>
      <c r="E725" s="767"/>
      <c r="F725" s="806"/>
      <c r="G725" s="778"/>
      <c r="H725" s="788"/>
      <c r="I725" s="788"/>
      <c r="J725" s="788"/>
      <c r="K725" s="788"/>
      <c r="L725" s="788"/>
      <c r="M725" s="788"/>
      <c r="N725" s="788"/>
      <c r="O725" s="788"/>
      <c r="P725" s="772"/>
      <c r="R725" s="774"/>
    </row>
    <row r="726" spans="1:22" hidden="1">
      <c r="A726" s="786">
        <v>726</v>
      </c>
      <c r="B726" s="767"/>
      <c r="C726" s="764" t="s">
        <v>1047</v>
      </c>
      <c r="D726" s="767" t="s">
        <v>1048</v>
      </c>
      <c r="E726" s="767"/>
      <c r="F726" s="806" t="s">
        <v>1428</v>
      </c>
      <c r="G726" s="778"/>
      <c r="H726" s="815">
        <v>0</v>
      </c>
      <c r="I726" s="815">
        <v>0</v>
      </c>
      <c r="J726" s="815">
        <v>0</v>
      </c>
      <c r="K726" s="815">
        <v>0</v>
      </c>
      <c r="L726" s="815">
        <v>0</v>
      </c>
      <c r="M726" s="815">
        <v>0</v>
      </c>
      <c r="N726" s="815">
        <v>0</v>
      </c>
      <c r="O726" s="815">
        <v>0</v>
      </c>
      <c r="P726" s="772">
        <v>0</v>
      </c>
      <c r="Q726" s="774"/>
      <c r="R726" s="774">
        <v>1047</v>
      </c>
      <c r="S726" s="774"/>
      <c r="T726" s="774"/>
      <c r="U726" s="774"/>
      <c r="V726" s="774"/>
    </row>
    <row r="727" spans="1:22" hidden="1">
      <c r="A727" s="786">
        <v>727</v>
      </c>
      <c r="B727" s="767"/>
      <c r="C727" s="764"/>
      <c r="D727" s="767"/>
      <c r="E727" s="767"/>
      <c r="F727" s="806"/>
      <c r="G727" s="778"/>
      <c r="H727" s="788"/>
      <c r="I727" s="788"/>
      <c r="J727" s="788"/>
      <c r="K727" s="788"/>
      <c r="L727" s="788"/>
      <c r="M727" s="788"/>
      <c r="N727" s="788"/>
      <c r="O727" s="788"/>
      <c r="P727" s="772"/>
      <c r="R727" s="774"/>
    </row>
    <row r="728" spans="1:22" hidden="1">
      <c r="A728" s="786">
        <v>728</v>
      </c>
      <c r="B728" s="767"/>
      <c r="C728" s="764" t="s">
        <v>1049</v>
      </c>
      <c r="D728" s="767" t="s">
        <v>1050</v>
      </c>
      <c r="E728" s="767"/>
      <c r="F728" s="806" t="s">
        <v>1428</v>
      </c>
      <c r="G728" s="778"/>
      <c r="H728" s="815">
        <v>-44361347.421951048</v>
      </c>
      <c r="I728" s="815">
        <v>-19910253.170456775</v>
      </c>
      <c r="J728" s="815">
        <v>-6156900.0053913267</v>
      </c>
      <c r="K728" s="815">
        <v>-9260882.4810423218</v>
      </c>
      <c r="L728" s="815">
        <v>-3730702.6687141131</v>
      </c>
      <c r="M728" s="815">
        <v>-3258582.3517988832</v>
      </c>
      <c r="N728" s="815">
        <v>-1893926.392436441</v>
      </c>
      <c r="O728" s="815">
        <v>-150100.35211117874</v>
      </c>
      <c r="P728" s="772">
        <v>0</v>
      </c>
      <c r="Q728" s="774"/>
      <c r="R728" s="774">
        <v>1063</v>
      </c>
      <c r="S728" s="774"/>
      <c r="T728" s="774"/>
      <c r="U728" s="774"/>
      <c r="V728" s="774"/>
    </row>
    <row r="729" spans="1:22" hidden="1">
      <c r="A729" s="786">
        <v>729</v>
      </c>
      <c r="B729" s="767"/>
      <c r="C729" s="764"/>
      <c r="D729" s="767"/>
      <c r="E729" s="767"/>
      <c r="F729" s="806"/>
      <c r="G729" s="778"/>
      <c r="H729" s="788"/>
      <c r="I729" s="788"/>
      <c r="J729" s="788"/>
      <c r="K729" s="788"/>
      <c r="L729" s="788"/>
      <c r="M729" s="788"/>
      <c r="N729" s="788"/>
      <c r="O729" s="788"/>
      <c r="P729" s="772"/>
      <c r="R729" s="774"/>
    </row>
    <row r="730" spans="1:22" hidden="1">
      <c r="A730" s="786">
        <v>730</v>
      </c>
      <c r="B730" s="767"/>
      <c r="C730" s="764" t="s">
        <v>1051</v>
      </c>
      <c r="D730" s="767" t="s">
        <v>1052</v>
      </c>
      <c r="E730" s="767"/>
      <c r="F730" s="806" t="s">
        <v>1428</v>
      </c>
      <c r="G730" s="778"/>
      <c r="H730" s="808">
        <v>0</v>
      </c>
      <c r="I730" s="808">
        <v>0</v>
      </c>
      <c r="J730" s="808">
        <v>0</v>
      </c>
      <c r="K730" s="808">
        <v>0</v>
      </c>
      <c r="L730" s="808">
        <v>0</v>
      </c>
      <c r="M730" s="808">
        <v>0</v>
      </c>
      <c r="N730" s="808">
        <v>0</v>
      </c>
      <c r="O730" s="808">
        <v>0</v>
      </c>
      <c r="P730" s="772">
        <v>0</v>
      </c>
      <c r="Q730" s="774"/>
      <c r="R730" s="774">
        <v>1078</v>
      </c>
      <c r="S730" s="774"/>
      <c r="T730" s="774"/>
      <c r="U730" s="774"/>
      <c r="V730" s="774"/>
    </row>
    <row r="731" spans="1:22" hidden="1">
      <c r="A731" s="786">
        <v>731</v>
      </c>
      <c r="B731" s="767"/>
      <c r="C731" s="767"/>
      <c r="D731" s="767"/>
      <c r="E731" s="767"/>
      <c r="F731" s="806"/>
      <c r="G731" s="778"/>
      <c r="H731" s="788"/>
      <c r="I731" s="788"/>
      <c r="J731" s="788"/>
      <c r="K731" s="788"/>
      <c r="L731" s="788"/>
      <c r="M731" s="788"/>
      <c r="N731" s="788"/>
      <c r="O731" s="788"/>
      <c r="P731" s="772"/>
      <c r="R731" s="774"/>
    </row>
    <row r="732" spans="1:22" hidden="1">
      <c r="A732" s="786">
        <v>732</v>
      </c>
      <c r="B732" s="767"/>
      <c r="C732" s="767" t="s">
        <v>1053</v>
      </c>
      <c r="D732" s="767"/>
      <c r="E732" s="767"/>
      <c r="F732" s="806"/>
      <c r="G732" s="778"/>
      <c r="H732" s="815">
        <v>-15956248.941915479</v>
      </c>
      <c r="I732" s="815">
        <v>-7160897.0307019483</v>
      </c>
      <c r="J732" s="815">
        <v>-2236611.5531025366</v>
      </c>
      <c r="K732" s="815">
        <v>-3321425.4831965645</v>
      </c>
      <c r="L732" s="815">
        <v>-1337296.7517992675</v>
      </c>
      <c r="M732" s="815">
        <v>-1138613.9060988259</v>
      </c>
      <c r="N732" s="815">
        <v>-699524.78786223417</v>
      </c>
      <c r="O732" s="815">
        <v>-61879.42915410018</v>
      </c>
      <c r="P732" s="772">
        <v>0</v>
      </c>
      <c r="Q732" s="774"/>
      <c r="R732" s="774"/>
      <c r="S732" s="774"/>
      <c r="T732" s="774"/>
      <c r="U732" s="774"/>
      <c r="V732" s="774"/>
    </row>
    <row r="733" spans="1:22" hidden="1">
      <c r="A733" s="786">
        <v>733</v>
      </c>
      <c r="B733" s="767"/>
      <c r="C733" s="767"/>
      <c r="D733" s="767"/>
      <c r="E733" s="767"/>
      <c r="F733" s="806"/>
      <c r="G733" s="778"/>
      <c r="H733" s="810"/>
      <c r="I733" s="810"/>
      <c r="J733" s="810"/>
      <c r="K733" s="810"/>
      <c r="L733" s="810"/>
      <c r="M733" s="810"/>
      <c r="N733" s="810"/>
      <c r="O733" s="810"/>
      <c r="P733" s="772"/>
      <c r="R733" s="774"/>
    </row>
    <row r="734" spans="1:22" hidden="1">
      <c r="A734" s="786">
        <v>734</v>
      </c>
      <c r="B734" s="767"/>
      <c r="C734" s="767"/>
      <c r="D734" s="767"/>
      <c r="E734" s="767"/>
      <c r="F734" s="806"/>
      <c r="G734" s="778"/>
      <c r="H734" s="810"/>
      <c r="I734" s="810"/>
      <c r="J734" s="810"/>
      <c r="K734" s="810"/>
      <c r="L734" s="810"/>
      <c r="M734" s="810"/>
      <c r="N734" s="810"/>
      <c r="O734" s="810"/>
      <c r="P734" s="772"/>
      <c r="R734" s="774"/>
    </row>
    <row r="735" spans="1:22" hidden="1">
      <c r="A735" s="786">
        <v>735</v>
      </c>
      <c r="B735" s="767"/>
      <c r="C735" s="767"/>
      <c r="D735" s="767"/>
      <c r="E735" s="767"/>
      <c r="F735" s="806"/>
      <c r="G735" s="778"/>
      <c r="H735" s="810"/>
      <c r="I735" s="810"/>
      <c r="J735" s="810"/>
      <c r="K735" s="810"/>
      <c r="L735" s="810"/>
      <c r="M735" s="810"/>
      <c r="N735" s="810"/>
      <c r="O735" s="810"/>
      <c r="P735" s="772"/>
      <c r="R735" s="774"/>
    </row>
    <row r="736" spans="1:22" hidden="1">
      <c r="A736" s="786">
        <v>736</v>
      </c>
      <c r="B736" s="767"/>
      <c r="C736" s="767"/>
      <c r="D736" s="767"/>
      <c r="E736" s="767"/>
      <c r="F736" s="806"/>
      <c r="G736" s="778"/>
      <c r="H736" s="810"/>
      <c r="I736" s="810"/>
      <c r="J736" s="810"/>
      <c r="K736" s="810"/>
      <c r="L736" s="810"/>
      <c r="M736" s="810"/>
      <c r="N736" s="810"/>
      <c r="O736" s="810"/>
      <c r="P736" s="772"/>
      <c r="R736" s="774"/>
    </row>
    <row r="737" spans="1:22" hidden="1">
      <c r="A737" s="786">
        <v>737</v>
      </c>
      <c r="B737" s="767"/>
      <c r="C737" s="767"/>
      <c r="D737" s="767"/>
      <c r="E737" s="767"/>
      <c r="F737" s="806"/>
      <c r="G737" s="778"/>
      <c r="H737" s="810"/>
      <c r="I737" s="810"/>
      <c r="J737" s="810"/>
      <c r="K737" s="810"/>
      <c r="L737" s="810"/>
      <c r="M737" s="810"/>
      <c r="N737" s="810"/>
      <c r="O737" s="810"/>
      <c r="P737" s="772"/>
      <c r="R737" s="774"/>
    </row>
    <row r="738" spans="1:22" hidden="1">
      <c r="A738" s="786">
        <v>738</v>
      </c>
      <c r="B738" s="767"/>
      <c r="C738" s="767" t="s">
        <v>1054</v>
      </c>
      <c r="D738" s="767" t="s">
        <v>642</v>
      </c>
      <c r="E738" s="767"/>
      <c r="F738" s="806" t="s">
        <v>1428</v>
      </c>
      <c r="G738" s="778"/>
      <c r="H738" s="826">
        <v>0</v>
      </c>
      <c r="I738" s="815">
        <v>0</v>
      </c>
      <c r="J738" s="815">
        <v>0</v>
      </c>
      <c r="K738" s="815">
        <v>0</v>
      </c>
      <c r="L738" s="815">
        <v>0</v>
      </c>
      <c r="M738" s="815">
        <v>0</v>
      </c>
      <c r="N738" s="815">
        <v>0</v>
      </c>
      <c r="O738" s="815">
        <v>0</v>
      </c>
      <c r="P738" s="772">
        <v>0</v>
      </c>
      <c r="Q738" s="774"/>
      <c r="R738" s="774">
        <v>1175</v>
      </c>
      <c r="S738" s="774"/>
      <c r="T738" s="774"/>
      <c r="U738" s="774"/>
      <c r="V738" s="774"/>
    </row>
    <row r="739" spans="1:22" hidden="1">
      <c r="A739" s="786">
        <v>739</v>
      </c>
      <c r="B739" s="767"/>
      <c r="C739" s="767"/>
      <c r="D739" s="767"/>
      <c r="E739" s="767"/>
      <c r="F739" s="806"/>
      <c r="G739" s="778"/>
      <c r="H739" s="815"/>
      <c r="I739" s="815"/>
      <c r="J739" s="815"/>
      <c r="K739" s="815"/>
      <c r="L739" s="815"/>
      <c r="M739" s="815"/>
      <c r="N739" s="815"/>
      <c r="O739" s="815"/>
      <c r="P739" s="772"/>
      <c r="Q739" s="774"/>
      <c r="R739" s="774"/>
      <c r="S739" s="774"/>
      <c r="T739" s="774"/>
      <c r="U739" s="774"/>
      <c r="V739" s="774"/>
    </row>
    <row r="740" spans="1:22" hidden="1">
      <c r="A740" s="786">
        <v>740</v>
      </c>
      <c r="B740" s="767"/>
      <c r="C740" s="767" t="s">
        <v>1055</v>
      </c>
      <c r="D740" s="767" t="s">
        <v>1056</v>
      </c>
      <c r="E740" s="767"/>
      <c r="F740" s="806" t="s">
        <v>1428</v>
      </c>
      <c r="G740" s="778"/>
      <c r="H740" s="815">
        <v>3728126.5134482095</v>
      </c>
      <c r="I740" s="815">
        <v>1517203.6165807017</v>
      </c>
      <c r="J740" s="815">
        <v>493380.9529268216</v>
      </c>
      <c r="K740" s="815">
        <v>864568.03298505128</v>
      </c>
      <c r="L740" s="815">
        <v>356167.87343910942</v>
      </c>
      <c r="M740" s="815">
        <v>364210.331526978</v>
      </c>
      <c r="N740" s="815">
        <v>129589.22637265443</v>
      </c>
      <c r="O740" s="815">
        <v>3006.4796168935641</v>
      </c>
      <c r="P740" s="772">
        <v>0</v>
      </c>
      <c r="Q740" s="774"/>
      <c r="R740" s="774">
        <v>1208</v>
      </c>
      <c r="S740" s="774"/>
      <c r="T740" s="774"/>
      <c r="U740" s="774"/>
      <c r="V740" s="774"/>
    </row>
    <row r="741" spans="1:22" hidden="1">
      <c r="A741" s="786">
        <v>741</v>
      </c>
      <c r="B741" s="767"/>
      <c r="C741" s="767"/>
      <c r="D741" s="767"/>
      <c r="E741" s="767"/>
      <c r="F741" s="806"/>
      <c r="G741" s="778"/>
      <c r="H741" s="788"/>
      <c r="I741" s="788"/>
      <c r="J741" s="788"/>
      <c r="K741" s="788"/>
      <c r="L741" s="788"/>
      <c r="M741" s="788"/>
      <c r="N741" s="788"/>
      <c r="O741" s="788"/>
      <c r="P741" s="772"/>
      <c r="Q741" s="774"/>
      <c r="R741" s="774"/>
    </row>
    <row r="742" spans="1:22" hidden="1">
      <c r="A742" s="786">
        <v>742</v>
      </c>
      <c r="B742" s="767"/>
      <c r="D742" s="767"/>
      <c r="E742" s="767"/>
      <c r="F742" s="806"/>
      <c r="G742" s="778"/>
      <c r="H742" s="788"/>
      <c r="I742" s="788"/>
      <c r="J742" s="788"/>
      <c r="K742" s="788"/>
      <c r="L742" s="788"/>
      <c r="M742" s="788"/>
      <c r="N742" s="788"/>
      <c r="O742" s="788"/>
      <c r="P742" s="772"/>
      <c r="R742" s="774"/>
    </row>
    <row r="743" spans="1:22" ht="13.5" hidden="1" thickBot="1">
      <c r="A743" s="786">
        <v>743</v>
      </c>
      <c r="B743" s="767"/>
      <c r="C743" s="767" t="s">
        <v>1057</v>
      </c>
      <c r="D743" s="767"/>
      <c r="E743" s="767"/>
      <c r="F743" s="806"/>
      <c r="G743" s="778"/>
      <c r="H743" s="814">
        <v>304496977.56201744</v>
      </c>
      <c r="I743" s="814">
        <v>136140411.71897557</v>
      </c>
      <c r="J743" s="814">
        <v>41527966.0276426</v>
      </c>
      <c r="K743" s="814">
        <v>64142396.5893149</v>
      </c>
      <c r="L743" s="814">
        <v>26036020.951908052</v>
      </c>
      <c r="M743" s="814">
        <v>23419632.858456291</v>
      </c>
      <c r="N743" s="814">
        <v>12240194.37263263</v>
      </c>
      <c r="O743" s="814">
        <v>990355.04308740539</v>
      </c>
      <c r="P743" s="772">
        <v>0</v>
      </c>
      <c r="Q743" s="774"/>
      <c r="R743" s="774"/>
      <c r="S743" s="774"/>
      <c r="T743" s="774"/>
      <c r="U743" s="774"/>
      <c r="V743" s="774"/>
    </row>
    <row r="744" spans="1:22" ht="13.5" hidden="1" thickTop="1">
      <c r="A744" s="786">
        <v>744</v>
      </c>
      <c r="B744" s="767"/>
      <c r="D744" s="767"/>
      <c r="E744" s="767"/>
      <c r="F744" s="806"/>
      <c r="G744" s="778"/>
      <c r="H744" s="788"/>
      <c r="I744" s="788"/>
      <c r="J744" s="788"/>
      <c r="K744" s="788"/>
      <c r="L744" s="788"/>
      <c r="M744" s="788"/>
      <c r="N744" s="788"/>
      <c r="O744" s="788"/>
      <c r="P744" s="772"/>
      <c r="R744" s="774"/>
    </row>
    <row r="745" spans="1:22" hidden="1">
      <c r="A745" s="786">
        <v>745</v>
      </c>
      <c r="B745" s="767"/>
      <c r="C745" s="767"/>
      <c r="D745" s="767"/>
      <c r="E745" s="767"/>
      <c r="F745" s="806"/>
      <c r="H745" s="817"/>
      <c r="I745" s="817"/>
      <c r="J745" s="817"/>
      <c r="K745" s="817"/>
      <c r="L745" s="819"/>
      <c r="M745" s="817"/>
      <c r="N745" s="817"/>
      <c r="O745" s="817"/>
      <c r="P745" s="772"/>
      <c r="R745" s="774"/>
    </row>
    <row r="746" spans="1:22" hidden="1">
      <c r="A746" s="786">
        <v>746</v>
      </c>
      <c r="B746" s="767"/>
      <c r="C746" s="781" t="s">
        <v>714</v>
      </c>
      <c r="D746" s="767"/>
      <c r="E746" s="767"/>
      <c r="F746" s="806"/>
      <c r="H746" s="817" t="s">
        <v>1058</v>
      </c>
      <c r="I746" s="817"/>
      <c r="J746" s="817"/>
      <c r="K746" s="817"/>
      <c r="L746" s="819"/>
      <c r="M746" s="817"/>
      <c r="N746" s="817"/>
      <c r="O746" s="817"/>
      <c r="P746" s="772"/>
      <c r="R746" s="774"/>
    </row>
    <row r="747" spans="1:22" hidden="1">
      <c r="A747" s="786">
        <v>747</v>
      </c>
      <c r="B747" s="767"/>
      <c r="C747" s="767"/>
      <c r="D747" s="767"/>
      <c r="E747" s="767"/>
      <c r="F747" s="806"/>
      <c r="G747" s="778"/>
      <c r="H747" s="810"/>
      <c r="I747" s="810"/>
      <c r="J747" s="810"/>
      <c r="K747" s="810"/>
      <c r="L747" s="810"/>
      <c r="M747" s="810"/>
      <c r="N747" s="810"/>
      <c r="O747" s="810"/>
      <c r="P747" s="772"/>
      <c r="R747" s="774"/>
    </row>
    <row r="748" spans="1:22" hidden="1">
      <c r="A748" s="786">
        <v>748</v>
      </c>
      <c r="B748" s="767"/>
      <c r="C748" s="777" t="s">
        <v>575</v>
      </c>
      <c r="D748" s="767"/>
      <c r="E748" s="777" t="s">
        <v>576</v>
      </c>
      <c r="F748" s="806" t="s">
        <v>577</v>
      </c>
      <c r="G748" s="778"/>
      <c r="H748" s="777" t="s">
        <v>578</v>
      </c>
      <c r="I748" s="777" t="s">
        <v>579</v>
      </c>
      <c r="J748" s="777" t="s">
        <v>580</v>
      </c>
      <c r="K748" s="777" t="s">
        <v>581</v>
      </c>
      <c r="L748" s="777" t="s">
        <v>582</v>
      </c>
      <c r="M748" s="777" t="s">
        <v>583</v>
      </c>
      <c r="N748" s="777" t="s">
        <v>584</v>
      </c>
      <c r="O748" s="777" t="s">
        <v>585</v>
      </c>
      <c r="P748" s="772"/>
      <c r="R748" s="774"/>
    </row>
    <row r="749" spans="1:22" ht="38.25" hidden="1">
      <c r="A749" s="786">
        <v>749</v>
      </c>
      <c r="B749" s="767"/>
      <c r="C749" s="797" t="s">
        <v>656</v>
      </c>
      <c r="D749" s="781"/>
      <c r="E749" s="782" t="s">
        <v>587</v>
      </c>
      <c r="F749" s="806" t="s">
        <v>1391</v>
      </c>
      <c r="G749" s="783"/>
      <c r="H749" s="784" t="s">
        <v>588</v>
      </c>
      <c r="I749" s="784" t="s">
        <v>589</v>
      </c>
      <c r="J749" s="784" t="s">
        <v>590</v>
      </c>
      <c r="K749" s="784" t="s">
        <v>591</v>
      </c>
      <c r="L749" s="784" t="s">
        <v>592</v>
      </c>
      <c r="M749" s="784" t="s">
        <v>593</v>
      </c>
      <c r="N749" s="784" t="s">
        <v>594</v>
      </c>
      <c r="O749" s="784" t="s">
        <v>595</v>
      </c>
      <c r="P749" s="772"/>
      <c r="R749" s="774"/>
    </row>
    <row r="750" spans="1:22" hidden="1">
      <c r="A750" s="786">
        <v>750</v>
      </c>
      <c r="B750" s="767"/>
      <c r="C750" s="767" t="s">
        <v>1059</v>
      </c>
      <c r="D750" s="767" t="s">
        <v>1060</v>
      </c>
      <c r="E750" s="767"/>
      <c r="F750" s="806" t="s">
        <v>1392</v>
      </c>
      <c r="G750" s="778"/>
      <c r="H750" s="815">
        <v>385939.21107992763</v>
      </c>
      <c r="I750" s="815">
        <v>161418.96911715591</v>
      </c>
      <c r="J750" s="815">
        <v>51575.607935537679</v>
      </c>
      <c r="K750" s="815">
        <v>87524.725544625922</v>
      </c>
      <c r="L750" s="815">
        <v>35679.877045868838</v>
      </c>
      <c r="M750" s="815">
        <v>33743.445848848292</v>
      </c>
      <c r="N750" s="815">
        <v>15375.508384483623</v>
      </c>
      <c r="O750" s="815">
        <v>621.07720340738786</v>
      </c>
      <c r="P750" s="772">
        <v>0</v>
      </c>
      <c r="Q750" s="774"/>
      <c r="R750" s="774">
        <v>1217</v>
      </c>
      <c r="S750" s="774"/>
      <c r="T750" s="774"/>
      <c r="U750" s="774"/>
      <c r="V750" s="774"/>
    </row>
    <row r="751" spans="1:22" hidden="1">
      <c r="A751" s="786">
        <v>751</v>
      </c>
      <c r="B751" s="767"/>
      <c r="C751" s="767"/>
      <c r="D751" s="767"/>
      <c r="E751" s="767" t="s">
        <v>718</v>
      </c>
      <c r="F751" s="806" t="s">
        <v>1392</v>
      </c>
      <c r="G751" s="778"/>
      <c r="H751" s="815">
        <v>257580.06455378761</v>
      </c>
      <c r="I751" s="815">
        <v>107732.7913094377</v>
      </c>
      <c r="J751" s="815">
        <v>34422.126697785461</v>
      </c>
      <c r="K751" s="815">
        <v>58414.962275414713</v>
      </c>
      <c r="L751" s="815">
        <v>23813.141471242663</v>
      </c>
      <c r="M751" s="815">
        <v>22520.746041048289</v>
      </c>
      <c r="N751" s="815">
        <v>10261.783017954074</v>
      </c>
      <c r="O751" s="815">
        <v>414.51374090472956</v>
      </c>
      <c r="P751" s="772">
        <v>0</v>
      </c>
      <c r="Q751" s="774"/>
      <c r="R751" s="774">
        <v>1219</v>
      </c>
      <c r="S751" s="774"/>
      <c r="T751" s="774"/>
      <c r="U751" s="774"/>
      <c r="V751" s="774"/>
    </row>
    <row r="752" spans="1:22" hidden="1">
      <c r="A752" s="786">
        <v>752</v>
      </c>
      <c r="B752" s="767"/>
      <c r="C752" s="767"/>
      <c r="D752" s="767"/>
      <c r="E752" s="767" t="s">
        <v>1061</v>
      </c>
      <c r="F752" s="806"/>
      <c r="G752" s="778"/>
      <c r="H752" s="815">
        <v>643519.27563371544</v>
      </c>
      <c r="I752" s="815">
        <v>269151.7604265936</v>
      </c>
      <c r="J752" s="815">
        <v>85997.73463332314</v>
      </c>
      <c r="K752" s="815">
        <v>145939.68782004062</v>
      </c>
      <c r="L752" s="815">
        <v>59493.018517111501</v>
      </c>
      <c r="M752" s="815">
        <v>56264.191889896581</v>
      </c>
      <c r="N752" s="815">
        <v>25637.291402437695</v>
      </c>
      <c r="O752" s="815">
        <v>1035.5909443121175</v>
      </c>
      <c r="P752" s="772">
        <v>0</v>
      </c>
      <c r="Q752" s="774"/>
      <c r="R752" s="774"/>
      <c r="S752" s="774"/>
      <c r="T752" s="774"/>
      <c r="U752" s="774"/>
      <c r="V752" s="774"/>
    </row>
    <row r="753" spans="1:22" hidden="1">
      <c r="A753" s="786">
        <v>753</v>
      </c>
      <c r="B753" s="767"/>
      <c r="C753" s="767"/>
      <c r="D753" s="767"/>
      <c r="E753" s="767"/>
      <c r="F753" s="806"/>
      <c r="G753" s="778"/>
      <c r="H753" s="788"/>
      <c r="I753" s="788"/>
      <c r="J753" s="788"/>
      <c r="K753" s="788"/>
      <c r="L753" s="788"/>
      <c r="M753" s="788"/>
      <c r="N753" s="788"/>
      <c r="O753" s="788"/>
      <c r="P753" s="772"/>
      <c r="R753" s="774"/>
    </row>
    <row r="754" spans="1:22" hidden="1">
      <c r="A754" s="786">
        <v>754</v>
      </c>
      <c r="B754" s="767"/>
      <c r="C754" s="767" t="s">
        <v>1062</v>
      </c>
      <c r="D754" s="767" t="s">
        <v>1063</v>
      </c>
      <c r="E754" s="767"/>
      <c r="F754" s="806" t="s">
        <v>1392</v>
      </c>
      <c r="G754" s="778"/>
      <c r="H754" s="815">
        <v>13617809.5442557</v>
      </c>
      <c r="I754" s="815">
        <v>5695645.104617998</v>
      </c>
      <c r="J754" s="815">
        <v>1819837.9066746335</v>
      </c>
      <c r="K754" s="815">
        <v>3088297.3501055515</v>
      </c>
      <c r="L754" s="815">
        <v>1258959.3288889138</v>
      </c>
      <c r="M754" s="815">
        <v>1190632.6326644151</v>
      </c>
      <c r="N754" s="815">
        <v>542522.6015260783</v>
      </c>
      <c r="O754" s="815">
        <v>21914.619778111071</v>
      </c>
      <c r="P754" s="772">
        <v>0</v>
      </c>
      <c r="Q754" s="774"/>
      <c r="R754" s="774">
        <v>1225</v>
      </c>
      <c r="S754" s="774"/>
      <c r="T754" s="774"/>
      <c r="U754" s="774"/>
      <c r="V754" s="774"/>
    </row>
    <row r="755" spans="1:22" hidden="1">
      <c r="A755" s="786">
        <v>755</v>
      </c>
      <c r="B755" s="767"/>
      <c r="C755" s="767"/>
      <c r="D755" s="767"/>
      <c r="E755" s="767" t="s">
        <v>718</v>
      </c>
      <c r="F755" s="806" t="s">
        <v>1392</v>
      </c>
      <c r="G755" s="778"/>
      <c r="H755" s="815">
        <v>32158954.560471315</v>
      </c>
      <c r="I755" s="815">
        <v>13450473.919224745</v>
      </c>
      <c r="J755" s="815">
        <v>4297613.6769998781</v>
      </c>
      <c r="K755" s="815">
        <v>7293126.9767363071</v>
      </c>
      <c r="L755" s="815">
        <v>2973078.4323017863</v>
      </c>
      <c r="M755" s="815">
        <v>2811722.4438801641</v>
      </c>
      <c r="N755" s="815">
        <v>1281186.9364016301</v>
      </c>
      <c r="O755" s="815">
        <v>51752.174926808249</v>
      </c>
      <c r="P755" s="772">
        <v>0</v>
      </c>
      <c r="Q755" s="774"/>
      <c r="R755" s="774">
        <v>1226</v>
      </c>
      <c r="S755" s="774"/>
      <c r="T755" s="774"/>
      <c r="U755" s="774"/>
      <c r="V755" s="774"/>
    </row>
    <row r="756" spans="1:22" hidden="1">
      <c r="A756" s="786">
        <v>756</v>
      </c>
      <c r="B756" s="767"/>
      <c r="C756" s="767"/>
      <c r="D756" s="767"/>
      <c r="E756" s="767" t="s">
        <v>1064</v>
      </c>
      <c r="F756" s="806"/>
      <c r="G756" s="778"/>
      <c r="H756" s="815">
        <v>45776764.10472703</v>
      </c>
      <c r="I756" s="815">
        <v>19146119.023842745</v>
      </c>
      <c r="J756" s="815">
        <v>6117451.5836745119</v>
      </c>
      <c r="K756" s="815">
        <v>10381424.326841859</v>
      </c>
      <c r="L756" s="815">
        <v>4232037.7611907003</v>
      </c>
      <c r="M756" s="815">
        <v>4002355.0765445791</v>
      </c>
      <c r="N756" s="815">
        <v>1823709.5379277084</v>
      </c>
      <c r="O756" s="815">
        <v>73666.794704919317</v>
      </c>
      <c r="P756" s="772">
        <v>0</v>
      </c>
      <c r="Q756" s="774"/>
      <c r="R756" s="774"/>
      <c r="S756" s="774"/>
      <c r="T756" s="774"/>
      <c r="U756" s="774"/>
      <c r="V756" s="774"/>
    </row>
    <row r="757" spans="1:22" hidden="1">
      <c r="A757" s="786">
        <v>757</v>
      </c>
      <c r="B757" s="767"/>
      <c r="C757" s="767"/>
      <c r="D757" s="767"/>
      <c r="E757" s="767"/>
      <c r="F757" s="806"/>
      <c r="G757" s="778"/>
      <c r="H757" s="788"/>
      <c r="I757" s="788"/>
      <c r="J757" s="788"/>
      <c r="K757" s="788"/>
      <c r="L757" s="788"/>
      <c r="M757" s="788"/>
      <c r="N757" s="788"/>
      <c r="O757" s="788"/>
      <c r="P757" s="772"/>
      <c r="R757" s="774"/>
    </row>
    <row r="758" spans="1:22" hidden="1">
      <c r="A758" s="786">
        <v>758</v>
      </c>
      <c r="B758" s="767"/>
      <c r="C758" s="767" t="s">
        <v>1065</v>
      </c>
      <c r="D758" s="767" t="s">
        <v>1066</v>
      </c>
      <c r="E758" s="767"/>
      <c r="F758" s="806"/>
      <c r="G758" s="778"/>
      <c r="H758" s="815"/>
      <c r="I758" s="815"/>
      <c r="J758" s="815"/>
      <c r="K758" s="815"/>
      <c r="L758" s="815"/>
      <c r="M758" s="815"/>
      <c r="N758" s="815"/>
      <c r="O758" s="815"/>
      <c r="P758" s="772"/>
      <c r="Q758" s="774"/>
      <c r="R758" s="774"/>
      <c r="S758" s="774"/>
      <c r="T758" s="774"/>
      <c r="U758" s="774"/>
      <c r="V758" s="774"/>
    </row>
    <row r="759" spans="1:22" hidden="1">
      <c r="A759" s="786">
        <v>759</v>
      </c>
      <c r="B759" s="767"/>
      <c r="C759" s="767"/>
      <c r="D759" s="767"/>
      <c r="E759" s="767" t="s">
        <v>788</v>
      </c>
      <c r="F759" s="806" t="s">
        <v>1392</v>
      </c>
      <c r="G759" s="778"/>
      <c r="H759" s="815">
        <v>12254273.458731979</v>
      </c>
      <c r="I759" s="815">
        <v>5125346.5110560739</v>
      </c>
      <c r="J759" s="815">
        <v>1637619.5662366494</v>
      </c>
      <c r="K759" s="815">
        <v>2779069.5799556524</v>
      </c>
      <c r="L759" s="815">
        <v>1132901.135053263</v>
      </c>
      <c r="M759" s="815">
        <v>1071415.9147360274</v>
      </c>
      <c r="N759" s="815">
        <v>488200.41835932538</v>
      </c>
      <c r="O759" s="815">
        <v>19720.333334988438</v>
      </c>
      <c r="P759" s="772">
        <v>0</v>
      </c>
      <c r="Q759" s="774"/>
      <c r="R759" s="774">
        <v>1230</v>
      </c>
      <c r="S759" s="774"/>
      <c r="T759" s="774"/>
      <c r="U759" s="774"/>
      <c r="V759" s="774"/>
    </row>
    <row r="760" spans="1:22" hidden="1">
      <c r="A760" s="786">
        <v>760</v>
      </c>
      <c r="B760" s="767"/>
      <c r="C760" s="767"/>
      <c r="D760" s="767"/>
      <c r="E760" s="767" t="s">
        <v>727</v>
      </c>
      <c r="F760" s="806" t="s">
        <v>1392</v>
      </c>
      <c r="G760" s="778"/>
      <c r="H760" s="815">
        <v>-119616.25699999859</v>
      </c>
      <c r="I760" s="815">
        <v>-50029.466662805149</v>
      </c>
      <c r="J760" s="815">
        <v>-15985.111117592012</v>
      </c>
      <c r="K760" s="815">
        <v>-27127.018359458991</v>
      </c>
      <c r="L760" s="815">
        <v>-11058.460037021532</v>
      </c>
      <c r="M760" s="815">
        <v>-10458.291292629156</v>
      </c>
      <c r="N760" s="815">
        <v>-4765.4156655337556</v>
      </c>
      <c r="O760" s="815">
        <v>-192.49386495800482</v>
      </c>
      <c r="P760" s="772">
        <v>0</v>
      </c>
      <c r="Q760" s="774"/>
      <c r="R760" s="774">
        <v>1231</v>
      </c>
      <c r="S760" s="774"/>
      <c r="T760" s="774"/>
      <c r="U760" s="774"/>
      <c r="V760" s="774"/>
    </row>
    <row r="761" spans="1:22" hidden="1">
      <c r="A761" s="786">
        <v>761</v>
      </c>
      <c r="B761" s="767"/>
      <c r="C761" s="767"/>
      <c r="D761" s="767"/>
      <c r="E761" s="767" t="s">
        <v>719</v>
      </c>
      <c r="F761" s="806" t="s">
        <v>1392</v>
      </c>
      <c r="G761" s="778"/>
      <c r="H761" s="815">
        <v>628249.13569485024</v>
      </c>
      <c r="I761" s="815">
        <v>262765.02858789527</v>
      </c>
      <c r="J761" s="815">
        <v>83957.084893681647</v>
      </c>
      <c r="K761" s="815">
        <v>142476.6688553768</v>
      </c>
      <c r="L761" s="815">
        <v>58081.302112428588</v>
      </c>
      <c r="M761" s="815">
        <v>54929.092668727484</v>
      </c>
      <c r="N761" s="815">
        <v>25028.941284279754</v>
      </c>
      <c r="O761" s="815">
        <v>1011.0172924607494</v>
      </c>
      <c r="P761" s="772">
        <v>0</v>
      </c>
      <c r="Q761" s="774"/>
      <c r="R761" s="774">
        <v>1232</v>
      </c>
      <c r="S761" s="774"/>
      <c r="T761" s="774"/>
      <c r="U761" s="774"/>
      <c r="V761" s="774"/>
    </row>
    <row r="762" spans="1:22" hidden="1">
      <c r="A762" s="786">
        <v>762</v>
      </c>
      <c r="B762" s="767"/>
      <c r="C762" s="767"/>
      <c r="D762" s="767"/>
      <c r="E762" s="767" t="s">
        <v>718</v>
      </c>
      <c r="F762" s="806" t="s">
        <v>1392</v>
      </c>
      <c r="G762" s="778"/>
      <c r="H762" s="815">
        <v>170013136.34682584</v>
      </c>
      <c r="I762" s="815">
        <v>71107947.618713483</v>
      </c>
      <c r="J762" s="815">
        <v>22719979.241236117</v>
      </c>
      <c r="K762" s="815">
        <v>38556209.554605976</v>
      </c>
      <c r="L762" s="815">
        <v>15717625.021990854</v>
      </c>
      <c r="M762" s="815">
        <v>14864592.38971675</v>
      </c>
      <c r="N762" s="815">
        <v>6773186.8862415571</v>
      </c>
      <c r="O762" s="815">
        <v>273595.63432112022</v>
      </c>
      <c r="P762" s="772">
        <v>0</v>
      </c>
      <c r="Q762" s="774"/>
      <c r="R762" s="774">
        <v>1233</v>
      </c>
      <c r="S762" s="774"/>
      <c r="T762" s="774"/>
      <c r="U762" s="774"/>
      <c r="V762" s="774"/>
    </row>
    <row r="763" spans="1:22" hidden="1">
      <c r="A763" s="786">
        <v>763</v>
      </c>
      <c r="B763" s="767"/>
      <c r="C763" s="767"/>
      <c r="D763" s="767"/>
      <c r="E763" s="767" t="s">
        <v>1067</v>
      </c>
      <c r="F763" s="806"/>
      <c r="G763" s="778"/>
      <c r="H763" s="815">
        <v>182776042.68425268</v>
      </c>
      <c r="I763" s="815">
        <v>76446029.691694647</v>
      </c>
      <c r="J763" s="815">
        <v>24425570.781248856</v>
      </c>
      <c r="K763" s="815">
        <v>41450628.785057545</v>
      </c>
      <c r="L763" s="815">
        <v>16897548.999119524</v>
      </c>
      <c r="M763" s="815">
        <v>15980479.105828876</v>
      </c>
      <c r="N763" s="815">
        <v>7281650.8302196283</v>
      </c>
      <c r="O763" s="815">
        <v>294134.49108361138</v>
      </c>
      <c r="P763" s="772">
        <v>0</v>
      </c>
      <c r="Q763" s="774"/>
      <c r="R763" s="774"/>
      <c r="S763" s="774"/>
      <c r="T763" s="774"/>
      <c r="U763" s="774"/>
      <c r="V763" s="774"/>
    </row>
    <row r="764" spans="1:22" hidden="1">
      <c r="A764" s="786">
        <v>764</v>
      </c>
      <c r="B764" s="767"/>
      <c r="C764" s="767"/>
      <c r="D764" s="767"/>
      <c r="E764" s="767"/>
      <c r="F764" s="806"/>
      <c r="G764" s="778"/>
      <c r="H764" s="788"/>
      <c r="I764" s="788"/>
      <c r="J764" s="788"/>
      <c r="K764" s="788"/>
      <c r="L764" s="788"/>
      <c r="M764" s="788"/>
      <c r="N764" s="788"/>
      <c r="O764" s="788"/>
      <c r="P764" s="772"/>
      <c r="R764" s="774"/>
    </row>
    <row r="765" spans="1:22" hidden="1">
      <c r="A765" s="786">
        <v>765</v>
      </c>
      <c r="B765" s="767"/>
      <c r="C765" s="767" t="s">
        <v>1068</v>
      </c>
      <c r="D765" s="767" t="s">
        <v>1069</v>
      </c>
      <c r="E765" s="767"/>
      <c r="F765" s="806" t="s">
        <v>1392</v>
      </c>
      <c r="G765" s="778"/>
      <c r="H765" s="815">
        <v>8411544.4657448363</v>
      </c>
      <c r="I765" s="815">
        <v>3518126.1643364197</v>
      </c>
      <c r="J765" s="815">
        <v>1124090.2894620665</v>
      </c>
      <c r="K765" s="815">
        <v>1907601.2481620165</v>
      </c>
      <c r="L765" s="815">
        <v>777642.86107088276</v>
      </c>
      <c r="M765" s="815">
        <v>735438.34634169517</v>
      </c>
      <c r="N765" s="815">
        <v>335109.17975300533</v>
      </c>
      <c r="O765" s="815">
        <v>13536.376618751399</v>
      </c>
      <c r="P765" s="772">
        <v>0</v>
      </c>
      <c r="Q765" s="774"/>
      <c r="R765" s="774">
        <v>1239</v>
      </c>
      <c r="S765" s="774"/>
      <c r="T765" s="774"/>
      <c r="U765" s="774"/>
      <c r="V765" s="774"/>
    </row>
    <row r="766" spans="1:22" hidden="1">
      <c r="A766" s="786">
        <v>766</v>
      </c>
      <c r="B766" s="767"/>
      <c r="C766" s="767"/>
      <c r="D766" s="767"/>
      <c r="E766" s="767" t="s">
        <v>718</v>
      </c>
      <c r="F766" s="806" t="s">
        <v>1392</v>
      </c>
      <c r="G766" s="778"/>
      <c r="H766" s="815">
        <v>44486336.313749619</v>
      </c>
      <c r="I766" s="815">
        <v>18606397.954411004</v>
      </c>
      <c r="J766" s="815">
        <v>5945003.1879016636</v>
      </c>
      <c r="K766" s="815">
        <v>10088776.326851353</v>
      </c>
      <c r="L766" s="815">
        <v>4112738.3907281579</v>
      </c>
      <c r="M766" s="815">
        <v>3889530.3646816611</v>
      </c>
      <c r="N766" s="815">
        <v>1772299.9305332564</v>
      </c>
      <c r="O766" s="815">
        <v>71590.158642528055</v>
      </c>
      <c r="P766" s="772">
        <v>0</v>
      </c>
      <c r="Q766" s="774"/>
      <c r="R766" s="774">
        <v>1240</v>
      </c>
      <c r="S766" s="774"/>
      <c r="T766" s="774"/>
      <c r="U766" s="774"/>
      <c r="V766" s="774"/>
    </row>
    <row r="767" spans="1:22" hidden="1">
      <c r="A767" s="786">
        <v>767</v>
      </c>
      <c r="B767" s="767"/>
      <c r="C767" s="767"/>
      <c r="D767" s="767"/>
      <c r="E767" s="767" t="s">
        <v>1070</v>
      </c>
      <c r="F767" s="806"/>
      <c r="G767" s="778"/>
      <c r="H767" s="815">
        <v>52897880.779494472</v>
      </c>
      <c r="I767" s="815">
        <v>22124524.118747424</v>
      </c>
      <c r="J767" s="815">
        <v>7069093.4773637298</v>
      </c>
      <c r="K767" s="815">
        <v>11996377.575013369</v>
      </c>
      <c r="L767" s="815">
        <v>4890381.2517990405</v>
      </c>
      <c r="M767" s="815">
        <v>4624968.7110233568</v>
      </c>
      <c r="N767" s="815">
        <v>2107409.1102862619</v>
      </c>
      <c r="O767" s="815">
        <v>85126.535261279452</v>
      </c>
      <c r="P767" s="772">
        <v>0</v>
      </c>
      <c r="Q767" s="774"/>
      <c r="R767" s="774"/>
      <c r="S767" s="774"/>
      <c r="T767" s="774"/>
      <c r="U767" s="774"/>
      <c r="V767" s="774"/>
    </row>
    <row r="768" spans="1:22" hidden="1">
      <c r="A768" s="786">
        <v>768</v>
      </c>
      <c r="B768" s="767"/>
      <c r="C768" s="767"/>
      <c r="D768" s="767"/>
      <c r="E768" s="767"/>
      <c r="F768" s="806"/>
      <c r="G768" s="778"/>
      <c r="H768" s="788"/>
      <c r="I768" s="788"/>
      <c r="J768" s="788"/>
      <c r="K768" s="788"/>
      <c r="L768" s="788"/>
      <c r="M768" s="788"/>
      <c r="N768" s="788"/>
      <c r="O768" s="788"/>
      <c r="P768" s="772"/>
      <c r="R768" s="774"/>
    </row>
    <row r="769" spans="1:22" hidden="1">
      <c r="A769" s="786">
        <v>769</v>
      </c>
      <c r="B769" s="767"/>
      <c r="C769" s="767" t="s">
        <v>1071</v>
      </c>
      <c r="D769" s="767" t="s">
        <v>1072</v>
      </c>
      <c r="E769" s="767"/>
      <c r="F769" s="806" t="s">
        <v>1392</v>
      </c>
      <c r="G769" s="778"/>
      <c r="H769" s="815">
        <v>2020188.2665008439</v>
      </c>
      <c r="I769" s="815">
        <v>844943.18804420775</v>
      </c>
      <c r="J769" s="815">
        <v>269971.11202427908</v>
      </c>
      <c r="K769" s="815">
        <v>458145.78694710933</v>
      </c>
      <c r="L769" s="815">
        <v>186765.34254336057</v>
      </c>
      <c r="M769" s="815">
        <v>176629.14629587191</v>
      </c>
      <c r="N769" s="815">
        <v>80482.678976576877</v>
      </c>
      <c r="O769" s="815">
        <v>3251.011669438577</v>
      </c>
      <c r="P769" s="772">
        <v>0</v>
      </c>
      <c r="Q769" s="774"/>
      <c r="R769" s="774">
        <v>1246</v>
      </c>
      <c r="S769" s="774"/>
      <c r="T769" s="774"/>
      <c r="U769" s="774"/>
      <c r="V769" s="774"/>
    </row>
    <row r="770" spans="1:22" hidden="1">
      <c r="A770" s="786">
        <v>770</v>
      </c>
      <c r="B770" s="767"/>
      <c r="C770" s="767"/>
      <c r="D770" s="767"/>
      <c r="E770" s="767" t="s">
        <v>718</v>
      </c>
      <c r="F770" s="806" t="s">
        <v>1392</v>
      </c>
      <c r="G770" s="778"/>
      <c r="H770" s="815">
        <v>13147103.839471312</v>
      </c>
      <c r="I770" s="815">
        <v>5498772.5727722393</v>
      </c>
      <c r="J770" s="815">
        <v>1756934.3918567188</v>
      </c>
      <c r="K770" s="815">
        <v>2981548.9647620078</v>
      </c>
      <c r="L770" s="815">
        <v>1215442.8340904161</v>
      </c>
      <c r="M770" s="815">
        <v>1149477.8808171181</v>
      </c>
      <c r="N770" s="815">
        <v>523770.06407261448</v>
      </c>
      <c r="O770" s="815">
        <v>21157.131100198923</v>
      </c>
      <c r="P770" s="772">
        <v>0</v>
      </c>
      <c r="Q770" s="774"/>
      <c r="R770" s="774">
        <v>1247</v>
      </c>
      <c r="S770" s="774"/>
      <c r="T770" s="774"/>
      <c r="U770" s="774"/>
      <c r="V770" s="774"/>
    </row>
    <row r="771" spans="1:22" hidden="1">
      <c r="A771" s="786">
        <v>771</v>
      </c>
      <c r="B771" s="767"/>
      <c r="C771" s="767"/>
      <c r="D771" s="767"/>
      <c r="E771" s="767" t="s">
        <v>1073</v>
      </c>
      <c r="F771" s="806"/>
      <c r="G771" s="778"/>
      <c r="H771" s="815">
        <v>15167292.105972158</v>
      </c>
      <c r="I771" s="815">
        <v>6343715.7608164474</v>
      </c>
      <c r="J771" s="815">
        <v>2026905.5038809979</v>
      </c>
      <c r="K771" s="815">
        <v>3439694.7517091171</v>
      </c>
      <c r="L771" s="815">
        <v>1402208.1766337766</v>
      </c>
      <c r="M771" s="815">
        <v>1326107.0271129899</v>
      </c>
      <c r="N771" s="815">
        <v>604252.74304919131</v>
      </c>
      <c r="O771" s="815">
        <v>24408.142769637499</v>
      </c>
      <c r="P771" s="772">
        <v>0</v>
      </c>
      <c r="Q771" s="774"/>
      <c r="R771" s="774"/>
      <c r="S771" s="774"/>
      <c r="T771" s="774"/>
      <c r="U771" s="774"/>
      <c r="V771" s="774"/>
    </row>
    <row r="772" spans="1:22" hidden="1">
      <c r="A772" s="786">
        <v>772</v>
      </c>
      <c r="B772" s="767"/>
      <c r="C772" s="767"/>
      <c r="D772" s="767"/>
      <c r="E772" s="767"/>
      <c r="F772" s="806"/>
      <c r="G772" s="778"/>
      <c r="H772" s="788"/>
      <c r="I772" s="788"/>
      <c r="J772" s="788"/>
      <c r="K772" s="788"/>
      <c r="L772" s="788"/>
      <c r="M772" s="788"/>
      <c r="N772" s="788"/>
      <c r="O772" s="788"/>
      <c r="P772" s="772"/>
      <c r="R772" s="774"/>
    </row>
    <row r="773" spans="1:22" hidden="1">
      <c r="A773" s="786">
        <v>773</v>
      </c>
      <c r="B773" s="767"/>
      <c r="C773" s="767" t="s">
        <v>1074</v>
      </c>
      <c r="D773" s="767" t="s">
        <v>1075</v>
      </c>
      <c r="E773" s="767"/>
      <c r="F773" s="806" t="s">
        <v>1392</v>
      </c>
      <c r="G773" s="778"/>
      <c r="H773" s="815">
        <v>93803.462205674878</v>
      </c>
      <c r="I773" s="815">
        <v>39233.272324133744</v>
      </c>
      <c r="J773" s="815">
        <v>12535.57671991503</v>
      </c>
      <c r="K773" s="815">
        <v>21273.097029228978</v>
      </c>
      <c r="L773" s="815">
        <v>8672.0807367825219</v>
      </c>
      <c r="M773" s="815">
        <v>8201.4264332321418</v>
      </c>
      <c r="N773" s="815">
        <v>3737.05464029218</v>
      </c>
      <c r="O773" s="815">
        <v>150.95432209028829</v>
      </c>
      <c r="P773" s="772">
        <v>0</v>
      </c>
      <c r="Q773" s="774"/>
      <c r="R773" s="774">
        <v>1253</v>
      </c>
      <c r="S773" s="774"/>
      <c r="T773" s="774"/>
      <c r="U773" s="774"/>
      <c r="V773" s="774"/>
    </row>
    <row r="774" spans="1:22" hidden="1">
      <c r="A774" s="786">
        <v>774</v>
      </c>
      <c r="B774" s="767"/>
      <c r="C774" s="767"/>
      <c r="D774" s="767"/>
      <c r="E774" s="767" t="s">
        <v>718</v>
      </c>
      <c r="F774" s="806" t="s">
        <v>1392</v>
      </c>
      <c r="G774" s="778"/>
      <c r="H774" s="815">
        <v>1112270.5031941724</v>
      </c>
      <c r="I774" s="815">
        <v>465206.83270982985</v>
      </c>
      <c r="J774" s="815">
        <v>148640.05974019933</v>
      </c>
      <c r="K774" s="815">
        <v>252244.82957056048</v>
      </c>
      <c r="L774" s="815">
        <v>102828.82292438504</v>
      </c>
      <c r="M774" s="815">
        <v>97248.05984026067</v>
      </c>
      <c r="N774" s="815">
        <v>44311.964052116135</v>
      </c>
      <c r="O774" s="815">
        <v>1789.9343568210265</v>
      </c>
      <c r="P774" s="772">
        <v>0</v>
      </c>
      <c r="Q774" s="774"/>
      <c r="R774" s="774">
        <v>1255</v>
      </c>
      <c r="S774" s="774"/>
      <c r="T774" s="774"/>
      <c r="U774" s="774"/>
      <c r="V774" s="774"/>
    </row>
    <row r="775" spans="1:22" hidden="1">
      <c r="A775" s="786">
        <v>775</v>
      </c>
      <c r="B775" s="767"/>
      <c r="C775" s="767"/>
      <c r="D775" s="767"/>
      <c r="E775" s="767" t="s">
        <v>1076</v>
      </c>
      <c r="F775" s="806"/>
      <c r="G775" s="778"/>
      <c r="H775" s="815">
        <v>1206073.9653998474</v>
      </c>
      <c r="I775" s="815">
        <v>504440.10503396357</v>
      </c>
      <c r="J775" s="815">
        <v>161175.63646011436</v>
      </c>
      <c r="K775" s="815">
        <v>273517.92659978947</v>
      </c>
      <c r="L775" s="815">
        <v>111500.90366116755</v>
      </c>
      <c r="M775" s="815">
        <v>105449.48627349282</v>
      </c>
      <c r="N775" s="815">
        <v>48049.018692408317</v>
      </c>
      <c r="O775" s="815">
        <v>1940.8886789113149</v>
      </c>
      <c r="P775" s="772">
        <v>0</v>
      </c>
      <c r="Q775" s="774"/>
      <c r="R775" s="774"/>
      <c r="S775" s="774"/>
      <c r="T775" s="774"/>
      <c r="U775" s="774"/>
      <c r="V775" s="774"/>
    </row>
    <row r="776" spans="1:22" hidden="1">
      <c r="A776" s="786">
        <v>776</v>
      </c>
      <c r="B776" s="767"/>
      <c r="C776" s="767"/>
      <c r="D776" s="767"/>
      <c r="E776" s="767"/>
      <c r="F776" s="806"/>
      <c r="G776" s="778"/>
      <c r="H776" s="788"/>
      <c r="I776" s="788"/>
      <c r="J776" s="788"/>
      <c r="K776" s="788"/>
      <c r="L776" s="788"/>
      <c r="M776" s="788"/>
      <c r="N776" s="788"/>
      <c r="O776" s="788"/>
      <c r="P776" s="772"/>
      <c r="R776" s="774"/>
    </row>
    <row r="777" spans="1:22" hidden="1">
      <c r="A777" s="786">
        <v>777</v>
      </c>
      <c r="B777" s="767"/>
      <c r="C777" s="767" t="s">
        <v>1077</v>
      </c>
      <c r="D777" s="767" t="s">
        <v>1078</v>
      </c>
      <c r="E777" s="767"/>
      <c r="F777" s="806" t="s">
        <v>1392</v>
      </c>
      <c r="G777" s="778"/>
      <c r="H777" s="815">
        <v>5577774.3200347871</v>
      </c>
      <c r="I777" s="815">
        <v>2332902.5785920913</v>
      </c>
      <c r="J777" s="815">
        <v>745394.85293047037</v>
      </c>
      <c r="K777" s="815">
        <v>1264948.3454786949</v>
      </c>
      <c r="L777" s="815">
        <v>515662.30176915141</v>
      </c>
      <c r="M777" s="815">
        <v>487676.09074635239</v>
      </c>
      <c r="N777" s="815">
        <v>222214.05175306549</v>
      </c>
      <c r="O777" s="815">
        <v>8976.098764961489</v>
      </c>
      <c r="P777" s="772">
        <v>0</v>
      </c>
      <c r="Q777" s="774"/>
      <c r="R777" s="774">
        <v>1262</v>
      </c>
      <c r="S777" s="774"/>
      <c r="T777" s="774"/>
      <c r="U777" s="774"/>
      <c r="V777" s="774"/>
    </row>
    <row r="778" spans="1:22" hidden="1">
      <c r="A778" s="786">
        <v>778</v>
      </c>
      <c r="B778" s="767"/>
      <c r="C778" s="767"/>
      <c r="D778" s="767"/>
      <c r="E778" s="767"/>
      <c r="F778" s="806"/>
      <c r="G778" s="778"/>
      <c r="H778" s="788"/>
      <c r="I778" s="788"/>
      <c r="J778" s="788"/>
      <c r="K778" s="788"/>
      <c r="L778" s="788"/>
      <c r="M778" s="788"/>
      <c r="N778" s="788"/>
      <c r="O778" s="788"/>
      <c r="P778" s="772"/>
      <c r="R778" s="774"/>
    </row>
    <row r="779" spans="1:22" hidden="1">
      <c r="A779" s="786">
        <v>779</v>
      </c>
      <c r="B779" s="767"/>
      <c r="C779" s="767"/>
      <c r="D779" s="767"/>
      <c r="E779" s="767"/>
      <c r="F779" s="806"/>
      <c r="G779" s="778"/>
      <c r="H779" s="827"/>
      <c r="I779" s="827"/>
      <c r="J779" s="827"/>
      <c r="K779" s="827"/>
      <c r="L779" s="827"/>
      <c r="M779" s="827"/>
      <c r="N779" s="827"/>
      <c r="O779" s="827"/>
      <c r="P779" s="772"/>
      <c r="R779" s="774"/>
    </row>
    <row r="780" spans="1:22" hidden="1">
      <c r="A780" s="786">
        <v>780</v>
      </c>
      <c r="B780" s="767"/>
      <c r="C780" s="767"/>
      <c r="D780" s="767"/>
      <c r="E780" s="767"/>
      <c r="F780" s="806"/>
      <c r="G780" s="778"/>
      <c r="H780" s="788"/>
      <c r="I780" s="788"/>
      <c r="J780" s="788"/>
      <c r="K780" s="788"/>
      <c r="L780" s="788"/>
      <c r="M780" s="788"/>
      <c r="N780" s="788"/>
      <c r="O780" s="788"/>
      <c r="P780" s="772"/>
      <c r="R780" s="774"/>
    </row>
    <row r="781" spans="1:22" hidden="1">
      <c r="A781" s="786">
        <v>781</v>
      </c>
      <c r="B781" s="767"/>
      <c r="C781" s="767" t="s">
        <v>1079</v>
      </c>
      <c r="D781" s="767"/>
      <c r="E781" s="767"/>
      <c r="F781" s="806"/>
      <c r="G781" s="778"/>
      <c r="H781" s="815">
        <v>304045347.2355147</v>
      </c>
      <c r="I781" s="815">
        <v>127166883.0391539</v>
      </c>
      <c r="J781" s="815">
        <v>40631589.570192009</v>
      </c>
      <c r="K781" s="815">
        <v>68952531.39852041</v>
      </c>
      <c r="L781" s="815">
        <v>28108832.412690472</v>
      </c>
      <c r="M781" s="815">
        <v>26583299.689419542</v>
      </c>
      <c r="N781" s="815">
        <v>12112922.5833307</v>
      </c>
      <c r="O781" s="815">
        <v>489288.54220763256</v>
      </c>
      <c r="P781" s="772">
        <v>0</v>
      </c>
      <c r="Q781" s="774"/>
      <c r="R781" s="774"/>
      <c r="S781" s="774"/>
      <c r="T781" s="774"/>
      <c r="U781" s="774"/>
      <c r="V781" s="774"/>
    </row>
    <row r="782" spans="1:22" hidden="1">
      <c r="A782" s="786">
        <v>782</v>
      </c>
      <c r="B782" s="767"/>
      <c r="C782" s="767"/>
      <c r="D782" s="767"/>
      <c r="E782" s="767"/>
      <c r="F782" s="806"/>
      <c r="G782" s="778"/>
      <c r="H782" s="810"/>
      <c r="I782" s="810"/>
      <c r="J782" s="810"/>
      <c r="K782" s="810"/>
      <c r="L782" s="810"/>
      <c r="M782" s="810"/>
      <c r="N782" s="810"/>
      <c r="O782" s="810"/>
      <c r="P782" s="772"/>
      <c r="R782" s="774"/>
    </row>
    <row r="783" spans="1:22" hidden="1">
      <c r="A783" s="786">
        <v>783</v>
      </c>
      <c r="B783" s="767"/>
      <c r="C783" s="767"/>
      <c r="D783" s="767"/>
      <c r="E783" s="767"/>
      <c r="F783" s="806"/>
      <c r="G783" s="778"/>
      <c r="H783" s="788"/>
      <c r="I783" s="788"/>
      <c r="J783" s="788"/>
      <c r="K783" s="788"/>
      <c r="L783" s="788"/>
      <c r="M783" s="788"/>
      <c r="N783" s="788"/>
      <c r="O783" s="788"/>
      <c r="P783" s="772"/>
      <c r="R783" s="774"/>
    </row>
    <row r="784" spans="1:22" hidden="1">
      <c r="A784" s="786">
        <v>784</v>
      </c>
      <c r="C784" s="769"/>
      <c r="D784" s="795"/>
      <c r="E784" s="795"/>
      <c r="F784" s="806"/>
      <c r="H784" s="817" t="s">
        <v>1080</v>
      </c>
      <c r="I784" s="817"/>
      <c r="J784" s="817"/>
      <c r="K784" s="817"/>
      <c r="L784" s="817"/>
      <c r="M784" s="817"/>
      <c r="N784" s="817"/>
      <c r="O784" s="817"/>
      <c r="P784" s="772"/>
      <c r="R784" s="774"/>
    </row>
    <row r="785" spans="1:22" hidden="1">
      <c r="A785" s="786">
        <v>785</v>
      </c>
      <c r="B785" s="767"/>
      <c r="D785" s="767"/>
      <c r="E785" s="767"/>
      <c r="F785" s="806"/>
      <c r="G785" s="778"/>
      <c r="H785" s="810"/>
      <c r="I785" s="810"/>
      <c r="J785" s="810"/>
      <c r="K785" s="810"/>
      <c r="L785" s="810"/>
      <c r="M785" s="810"/>
      <c r="N785" s="810"/>
      <c r="O785" s="810"/>
      <c r="P785" s="772"/>
      <c r="R785" s="774"/>
    </row>
    <row r="786" spans="1:22" hidden="1">
      <c r="A786" s="786">
        <v>786</v>
      </c>
      <c r="B786" s="767"/>
      <c r="C786" s="767"/>
      <c r="D786" s="767"/>
      <c r="E786" s="767"/>
      <c r="F786" s="806"/>
      <c r="G786" s="778"/>
      <c r="H786" s="788"/>
      <c r="I786" s="788"/>
      <c r="J786" s="788"/>
      <c r="K786" s="788"/>
      <c r="L786" s="788"/>
      <c r="M786" s="788"/>
      <c r="N786" s="788"/>
      <c r="O786" s="788"/>
      <c r="P786" s="772"/>
      <c r="R786" s="774"/>
    </row>
    <row r="787" spans="1:22" hidden="1">
      <c r="A787" s="786">
        <v>787</v>
      </c>
      <c r="B787" s="767"/>
      <c r="C787" s="767" t="s">
        <v>1081</v>
      </c>
      <c r="D787" s="767" t="s">
        <v>1060</v>
      </c>
      <c r="E787" s="767"/>
      <c r="F787" s="806" t="s">
        <v>1392</v>
      </c>
      <c r="G787" s="778"/>
      <c r="H787" s="815">
        <v>0</v>
      </c>
      <c r="I787" s="815">
        <v>0</v>
      </c>
      <c r="J787" s="815">
        <v>0</v>
      </c>
      <c r="K787" s="815">
        <v>0</v>
      </c>
      <c r="L787" s="815">
        <v>0</v>
      </c>
      <c r="M787" s="815">
        <v>0</v>
      </c>
      <c r="N787" s="815">
        <v>0</v>
      </c>
      <c r="O787" s="815">
        <v>0</v>
      </c>
      <c r="P787" s="772">
        <v>0</v>
      </c>
      <c r="Q787" s="774"/>
      <c r="R787" s="774">
        <v>1268</v>
      </c>
      <c r="S787" s="774"/>
      <c r="T787" s="774"/>
      <c r="U787" s="774"/>
      <c r="V787" s="774"/>
    </row>
    <row r="788" spans="1:22" hidden="1">
      <c r="A788" s="786">
        <v>788</v>
      </c>
      <c r="B788" s="767"/>
      <c r="C788" s="767"/>
      <c r="D788" s="767"/>
      <c r="E788" s="767"/>
      <c r="F788" s="806"/>
      <c r="G788" s="778"/>
      <c r="H788" s="788"/>
      <c r="I788" s="788"/>
      <c r="J788" s="788"/>
      <c r="K788" s="788"/>
      <c r="L788" s="788"/>
      <c r="M788" s="788"/>
      <c r="N788" s="788"/>
      <c r="O788" s="788"/>
      <c r="P788" s="772"/>
      <c r="R788" s="774"/>
    </row>
    <row r="789" spans="1:22" hidden="1">
      <c r="A789" s="786">
        <v>789</v>
      </c>
      <c r="B789" s="767"/>
      <c r="C789" s="767" t="s">
        <v>1082</v>
      </c>
      <c r="D789" s="767" t="s">
        <v>1063</v>
      </c>
      <c r="E789" s="767"/>
      <c r="F789" s="806" t="s">
        <v>1392</v>
      </c>
      <c r="G789" s="778"/>
      <c r="H789" s="815">
        <v>0</v>
      </c>
      <c r="I789" s="815">
        <v>0</v>
      </c>
      <c r="J789" s="815">
        <v>0</v>
      </c>
      <c r="K789" s="815">
        <v>0</v>
      </c>
      <c r="L789" s="815">
        <v>0</v>
      </c>
      <c r="M789" s="815">
        <v>0</v>
      </c>
      <c r="N789" s="815">
        <v>0</v>
      </c>
      <c r="O789" s="815">
        <v>0</v>
      </c>
      <c r="P789" s="772">
        <v>0</v>
      </c>
      <c r="Q789" s="774"/>
      <c r="R789" s="774">
        <v>1272</v>
      </c>
      <c r="S789" s="774"/>
      <c r="T789" s="774"/>
      <c r="U789" s="774"/>
      <c r="V789" s="774"/>
    </row>
    <row r="790" spans="1:22" hidden="1">
      <c r="A790" s="786">
        <v>790</v>
      </c>
      <c r="B790" s="767"/>
      <c r="C790" s="767"/>
      <c r="D790" s="767"/>
      <c r="E790" s="767"/>
      <c r="F790" s="806"/>
      <c r="G790" s="778"/>
      <c r="H790" s="788"/>
      <c r="I790" s="788"/>
      <c r="J790" s="788"/>
      <c r="K790" s="788"/>
      <c r="L790" s="788"/>
      <c r="M790" s="788"/>
      <c r="N790" s="788"/>
      <c r="O790" s="788"/>
      <c r="P790" s="772"/>
      <c r="R790" s="774"/>
    </row>
    <row r="791" spans="1:22" hidden="1">
      <c r="A791" s="786">
        <v>791</v>
      </c>
      <c r="B791" s="767"/>
      <c r="C791" s="767" t="s">
        <v>1083</v>
      </c>
      <c r="D791" s="767" t="s">
        <v>1084</v>
      </c>
      <c r="E791" s="767"/>
      <c r="F791" s="806" t="s">
        <v>1392</v>
      </c>
      <c r="G791" s="778"/>
      <c r="H791" s="815">
        <v>0</v>
      </c>
      <c r="I791" s="815">
        <v>0</v>
      </c>
      <c r="J791" s="815">
        <v>0</v>
      </c>
      <c r="K791" s="815">
        <v>0</v>
      </c>
      <c r="L791" s="815">
        <v>0</v>
      </c>
      <c r="M791" s="815">
        <v>0</v>
      </c>
      <c r="N791" s="815">
        <v>0</v>
      </c>
      <c r="O791" s="815">
        <v>0</v>
      </c>
      <c r="P791" s="772">
        <v>0</v>
      </c>
      <c r="Q791" s="774"/>
      <c r="R791" s="774">
        <v>1276</v>
      </c>
      <c r="S791" s="774"/>
      <c r="T791" s="774"/>
      <c r="U791" s="774"/>
      <c r="V791" s="774"/>
    </row>
    <row r="792" spans="1:22" hidden="1">
      <c r="A792" s="786">
        <v>792</v>
      </c>
      <c r="B792" s="767"/>
      <c r="C792" s="767"/>
      <c r="D792" s="767"/>
      <c r="E792" s="767"/>
      <c r="F792" s="806"/>
      <c r="G792" s="778"/>
      <c r="H792" s="788"/>
      <c r="I792" s="788"/>
      <c r="J792" s="788"/>
      <c r="K792" s="788"/>
      <c r="L792" s="788"/>
      <c r="M792" s="788"/>
      <c r="N792" s="788"/>
      <c r="O792" s="788"/>
      <c r="P792" s="772"/>
      <c r="R792" s="774"/>
    </row>
    <row r="793" spans="1:22" hidden="1">
      <c r="A793" s="786">
        <v>793</v>
      </c>
      <c r="B793" s="767"/>
      <c r="C793" s="767" t="s">
        <v>1085</v>
      </c>
      <c r="D793" s="767" t="s">
        <v>1069</v>
      </c>
      <c r="E793" s="767"/>
      <c r="F793" s="806" t="s">
        <v>1392</v>
      </c>
      <c r="G793" s="778"/>
      <c r="H793" s="815">
        <v>0</v>
      </c>
      <c r="I793" s="815">
        <v>0</v>
      </c>
      <c r="J793" s="815">
        <v>0</v>
      </c>
      <c r="K793" s="815">
        <v>0</v>
      </c>
      <c r="L793" s="815">
        <v>0</v>
      </c>
      <c r="M793" s="815">
        <v>0</v>
      </c>
      <c r="N793" s="815">
        <v>0</v>
      </c>
      <c r="O793" s="815">
        <v>0</v>
      </c>
      <c r="P793" s="772">
        <v>0</v>
      </c>
      <c r="Q793" s="774"/>
      <c r="R793" s="774">
        <v>1280</v>
      </c>
      <c r="S793" s="774"/>
      <c r="T793" s="774"/>
      <c r="U793" s="774"/>
      <c r="V793" s="774"/>
    </row>
    <row r="794" spans="1:22" hidden="1">
      <c r="A794" s="786">
        <v>794</v>
      </c>
      <c r="B794" s="767"/>
      <c r="C794" s="767"/>
      <c r="D794" s="767"/>
      <c r="E794" s="767"/>
      <c r="F794" s="806"/>
      <c r="G794" s="778"/>
      <c r="H794" s="788"/>
      <c r="I794" s="788"/>
      <c r="J794" s="788"/>
      <c r="K794" s="788"/>
      <c r="L794" s="788"/>
      <c r="M794" s="788"/>
      <c r="N794" s="788"/>
      <c r="O794" s="788"/>
      <c r="P794" s="772"/>
      <c r="R794" s="774"/>
    </row>
    <row r="795" spans="1:22" hidden="1">
      <c r="A795" s="786">
        <v>795</v>
      </c>
      <c r="B795" s="767"/>
      <c r="C795" s="767" t="s">
        <v>1086</v>
      </c>
      <c r="D795" s="767" t="s">
        <v>1060</v>
      </c>
      <c r="E795" s="767"/>
      <c r="F795" s="806" t="s">
        <v>1392</v>
      </c>
      <c r="G795" s="778"/>
      <c r="H795" s="815">
        <v>0</v>
      </c>
      <c r="I795" s="815">
        <v>0</v>
      </c>
      <c r="J795" s="815">
        <v>0</v>
      </c>
      <c r="K795" s="815">
        <v>0</v>
      </c>
      <c r="L795" s="815">
        <v>0</v>
      </c>
      <c r="M795" s="815">
        <v>0</v>
      </c>
      <c r="N795" s="815">
        <v>0</v>
      </c>
      <c r="O795" s="815">
        <v>0</v>
      </c>
      <c r="P795" s="772">
        <v>0</v>
      </c>
      <c r="Q795" s="774"/>
      <c r="R795" s="774">
        <v>1284</v>
      </c>
      <c r="S795" s="774"/>
      <c r="T795" s="774"/>
      <c r="U795" s="774"/>
      <c r="V795" s="774"/>
    </row>
    <row r="796" spans="1:22" hidden="1">
      <c r="A796" s="786">
        <v>796</v>
      </c>
      <c r="B796" s="767"/>
      <c r="C796" s="767"/>
      <c r="D796" s="767"/>
      <c r="E796" s="767"/>
      <c r="F796" s="806"/>
      <c r="G796" s="778"/>
      <c r="H796" s="788"/>
      <c r="I796" s="788"/>
      <c r="J796" s="788"/>
      <c r="K796" s="788"/>
      <c r="L796" s="788"/>
      <c r="M796" s="788"/>
      <c r="N796" s="788"/>
      <c r="O796" s="788"/>
      <c r="P796" s="772"/>
      <c r="R796" s="774"/>
    </row>
    <row r="797" spans="1:22" hidden="1">
      <c r="A797" s="786">
        <v>797</v>
      </c>
      <c r="B797" s="767"/>
      <c r="C797" s="767" t="s">
        <v>1087</v>
      </c>
      <c r="D797" s="767" t="s">
        <v>1088</v>
      </c>
      <c r="E797" s="767"/>
      <c r="F797" s="806" t="s">
        <v>1392</v>
      </c>
      <c r="G797" s="778"/>
      <c r="H797" s="815">
        <v>0</v>
      </c>
      <c r="I797" s="815">
        <v>0</v>
      </c>
      <c r="J797" s="815">
        <v>0</v>
      </c>
      <c r="K797" s="815">
        <v>0</v>
      </c>
      <c r="L797" s="815">
        <v>0</v>
      </c>
      <c r="M797" s="815">
        <v>0</v>
      </c>
      <c r="N797" s="815">
        <v>0</v>
      </c>
      <c r="O797" s="815">
        <v>0</v>
      </c>
      <c r="P797" s="772">
        <v>0</v>
      </c>
      <c r="Q797" s="774"/>
      <c r="R797" s="774">
        <v>1288</v>
      </c>
      <c r="S797" s="774"/>
      <c r="T797" s="774"/>
      <c r="U797" s="774"/>
      <c r="V797" s="774"/>
    </row>
    <row r="798" spans="1:22" hidden="1">
      <c r="A798" s="786">
        <v>798</v>
      </c>
      <c r="B798" s="767"/>
      <c r="C798" s="767"/>
      <c r="D798" s="767"/>
      <c r="E798" s="767"/>
      <c r="F798" s="806"/>
      <c r="G798" s="778"/>
      <c r="H798" s="788"/>
      <c r="I798" s="788"/>
      <c r="J798" s="788"/>
      <c r="K798" s="788"/>
      <c r="L798" s="788"/>
      <c r="M798" s="788"/>
      <c r="N798" s="788"/>
      <c r="O798" s="788"/>
      <c r="P798" s="772"/>
      <c r="R798" s="774"/>
    </row>
    <row r="799" spans="1:22" hidden="1">
      <c r="A799" s="786">
        <v>799</v>
      </c>
      <c r="B799" s="767"/>
      <c r="C799" s="767" t="s">
        <v>1089</v>
      </c>
      <c r="D799" s="767" t="s">
        <v>1090</v>
      </c>
      <c r="E799" s="767"/>
      <c r="F799" s="806" t="s">
        <v>1392</v>
      </c>
      <c r="G799" s="778"/>
      <c r="H799" s="828">
        <v>0</v>
      </c>
      <c r="I799" s="828">
        <v>0</v>
      </c>
      <c r="J799" s="828">
        <v>0</v>
      </c>
      <c r="K799" s="828">
        <v>0</v>
      </c>
      <c r="L799" s="828">
        <v>0</v>
      </c>
      <c r="M799" s="828">
        <v>0</v>
      </c>
      <c r="N799" s="828">
        <v>0</v>
      </c>
      <c r="O799" s="828">
        <v>0</v>
      </c>
      <c r="P799" s="772">
        <v>0</v>
      </c>
      <c r="Q799" s="774"/>
      <c r="R799" s="774">
        <v>1294</v>
      </c>
      <c r="S799" s="774"/>
      <c r="T799" s="774"/>
      <c r="U799" s="774"/>
      <c r="V799" s="774"/>
    </row>
    <row r="800" spans="1:22" hidden="1">
      <c r="A800" s="786">
        <v>800</v>
      </c>
      <c r="B800" s="767"/>
      <c r="C800" s="767"/>
      <c r="D800" s="767"/>
      <c r="E800" s="767"/>
      <c r="F800" s="806"/>
      <c r="G800" s="778"/>
      <c r="H800" s="788"/>
      <c r="I800" s="788"/>
      <c r="J800" s="788"/>
      <c r="K800" s="788"/>
      <c r="L800" s="788"/>
      <c r="M800" s="788"/>
      <c r="N800" s="788"/>
      <c r="O800" s="788"/>
      <c r="P800" s="772"/>
      <c r="R800" s="774"/>
    </row>
    <row r="801" spans="1:22" hidden="1">
      <c r="A801" s="786">
        <v>801</v>
      </c>
      <c r="B801" s="767"/>
      <c r="C801" s="764" t="s">
        <v>1091</v>
      </c>
      <c r="D801" s="767"/>
      <c r="E801" s="767"/>
      <c r="F801" s="806"/>
      <c r="G801" s="778"/>
      <c r="H801" s="815">
        <v>0</v>
      </c>
      <c r="I801" s="815">
        <v>0</v>
      </c>
      <c r="J801" s="815">
        <v>0</v>
      </c>
      <c r="K801" s="815">
        <v>0</v>
      </c>
      <c r="L801" s="815">
        <v>0</v>
      </c>
      <c r="M801" s="815">
        <v>0</v>
      </c>
      <c r="N801" s="815">
        <v>0</v>
      </c>
      <c r="O801" s="815">
        <v>0</v>
      </c>
      <c r="P801" s="772">
        <v>0</v>
      </c>
      <c r="Q801" s="774"/>
      <c r="R801" s="774"/>
      <c r="S801" s="774"/>
      <c r="T801" s="774"/>
      <c r="U801" s="774"/>
      <c r="V801" s="774"/>
    </row>
    <row r="802" spans="1:22" hidden="1">
      <c r="A802" s="786">
        <v>802</v>
      </c>
      <c r="B802" s="767"/>
      <c r="C802" s="767"/>
      <c r="D802" s="767"/>
      <c r="E802" s="767"/>
      <c r="F802" s="806"/>
      <c r="G802" s="778"/>
      <c r="H802" s="810"/>
      <c r="I802" s="810"/>
      <c r="J802" s="810"/>
      <c r="K802" s="810"/>
      <c r="L802" s="810"/>
      <c r="M802" s="810"/>
      <c r="N802" s="810"/>
      <c r="O802" s="810"/>
      <c r="P802" s="772"/>
      <c r="R802" s="774"/>
    </row>
    <row r="803" spans="1:22" hidden="1">
      <c r="A803" s="786">
        <v>803</v>
      </c>
      <c r="B803" s="767"/>
      <c r="C803" s="767"/>
      <c r="D803" s="767"/>
      <c r="E803" s="767"/>
      <c r="F803" s="806"/>
      <c r="G803" s="778"/>
      <c r="H803" s="788"/>
      <c r="I803" s="788"/>
      <c r="J803" s="788"/>
      <c r="K803" s="788"/>
      <c r="L803" s="788"/>
      <c r="M803" s="788"/>
      <c r="N803" s="788"/>
      <c r="O803" s="788"/>
      <c r="P803" s="772"/>
      <c r="R803" s="774"/>
    </row>
    <row r="804" spans="1:22" hidden="1">
      <c r="A804" s="786">
        <v>804</v>
      </c>
      <c r="C804" s="795"/>
      <c r="D804" s="795"/>
      <c r="E804" s="795"/>
      <c r="F804" s="806"/>
      <c r="H804" s="817" t="s">
        <v>1092</v>
      </c>
      <c r="I804" s="817"/>
      <c r="J804" s="817"/>
      <c r="K804" s="817"/>
      <c r="L804" s="817"/>
      <c r="M804" s="817"/>
      <c r="N804" s="817"/>
      <c r="O804" s="817"/>
      <c r="P804" s="772"/>
      <c r="R804" s="774"/>
    </row>
    <row r="805" spans="1:22" hidden="1">
      <c r="A805" s="786">
        <v>805</v>
      </c>
      <c r="B805" s="767"/>
      <c r="C805" s="767"/>
      <c r="D805" s="767"/>
      <c r="E805" s="767"/>
      <c r="F805" s="806"/>
      <c r="G805" s="778"/>
      <c r="H805" s="810"/>
      <c r="I805" s="810"/>
      <c r="J805" s="810"/>
      <c r="K805" s="810"/>
      <c r="L805" s="810"/>
      <c r="M805" s="810"/>
      <c r="N805" s="810"/>
      <c r="O805" s="810"/>
      <c r="P805" s="772"/>
      <c r="R805" s="774"/>
    </row>
    <row r="806" spans="1:22" hidden="1">
      <c r="A806" s="786">
        <v>806</v>
      </c>
      <c r="B806" s="767"/>
      <c r="C806" s="767"/>
      <c r="D806" s="767"/>
      <c r="E806" s="767"/>
      <c r="F806" s="806"/>
      <c r="G806" s="778"/>
      <c r="H806" s="788"/>
      <c r="I806" s="788"/>
      <c r="J806" s="788"/>
      <c r="K806" s="788"/>
      <c r="L806" s="788"/>
      <c r="M806" s="788"/>
      <c r="N806" s="788"/>
      <c r="O806" s="788"/>
      <c r="P806" s="772"/>
      <c r="R806" s="774"/>
    </row>
    <row r="807" spans="1:22" hidden="1">
      <c r="A807" s="786">
        <v>807</v>
      </c>
      <c r="B807" s="767"/>
      <c r="C807" s="767" t="s">
        <v>1093</v>
      </c>
      <c r="D807" s="767" t="s">
        <v>1060</v>
      </c>
      <c r="E807" s="767"/>
      <c r="F807" s="806" t="s">
        <v>1392</v>
      </c>
      <c r="G807" s="778"/>
      <c r="H807" s="815">
        <v>6422856.4128183629</v>
      </c>
      <c r="I807" s="815">
        <v>2686357.9319747845</v>
      </c>
      <c r="J807" s="815">
        <v>858328.75920236472</v>
      </c>
      <c r="K807" s="815">
        <v>1456599.1964678739</v>
      </c>
      <c r="L807" s="815">
        <v>593789.69670218136</v>
      </c>
      <c r="M807" s="815">
        <v>561563.32743287901</v>
      </c>
      <c r="N807" s="815">
        <v>255881.44400070078</v>
      </c>
      <c r="O807" s="815">
        <v>10336.057037579163</v>
      </c>
      <c r="P807" s="772">
        <v>0</v>
      </c>
      <c r="Q807" s="774"/>
      <c r="R807" s="774">
        <v>1302</v>
      </c>
      <c r="S807" s="774"/>
      <c r="T807" s="774"/>
      <c r="U807" s="774"/>
      <c r="V807" s="774"/>
    </row>
    <row r="808" spans="1:22" hidden="1">
      <c r="A808" s="786">
        <v>808</v>
      </c>
      <c r="B808" s="767"/>
      <c r="C808" s="767"/>
      <c r="D808" s="767"/>
      <c r="E808" s="767"/>
      <c r="F808" s="806"/>
      <c r="G808" s="778"/>
      <c r="H808" s="788"/>
      <c r="I808" s="788"/>
      <c r="J808" s="788"/>
      <c r="K808" s="788"/>
      <c r="L808" s="788"/>
      <c r="M808" s="788"/>
      <c r="N808" s="788"/>
      <c r="O808" s="788"/>
      <c r="P808" s="772"/>
      <c r="R808" s="774"/>
    </row>
    <row r="809" spans="1:22" hidden="1">
      <c r="A809" s="786">
        <v>809</v>
      </c>
      <c r="B809" s="767"/>
      <c r="C809" s="767" t="s">
        <v>1094</v>
      </c>
      <c r="D809" s="767" t="s">
        <v>1063</v>
      </c>
      <c r="E809" s="767"/>
      <c r="F809" s="806" t="s">
        <v>1392</v>
      </c>
      <c r="G809" s="778"/>
      <c r="H809" s="815">
        <v>56204825.082762524</v>
      </c>
      <c r="I809" s="815">
        <v>23507652.666032638</v>
      </c>
      <c r="J809" s="815">
        <v>7511022.3043744983</v>
      </c>
      <c r="K809" s="815">
        <v>12746338.667914497</v>
      </c>
      <c r="L809" s="815">
        <v>5196106.5130596934</v>
      </c>
      <c r="M809" s="815">
        <v>4914101.5402848376</v>
      </c>
      <c r="N809" s="815">
        <v>2239155.1169167939</v>
      </c>
      <c r="O809" s="815">
        <v>90448.274179568238</v>
      </c>
      <c r="P809" s="772">
        <v>0</v>
      </c>
      <c r="Q809" s="774"/>
      <c r="R809" s="774">
        <v>1307</v>
      </c>
      <c r="S809" s="774"/>
      <c r="T809" s="774"/>
      <c r="U809" s="774"/>
      <c r="V809" s="774"/>
    </row>
    <row r="810" spans="1:22" hidden="1">
      <c r="A810" s="786">
        <v>810</v>
      </c>
      <c r="B810" s="767"/>
      <c r="C810" s="767"/>
      <c r="D810" s="767"/>
      <c r="E810" s="767"/>
      <c r="F810" s="806"/>
      <c r="G810" s="778"/>
      <c r="H810" s="788"/>
      <c r="I810" s="788"/>
      <c r="J810" s="788"/>
      <c r="K810" s="788"/>
      <c r="L810" s="788"/>
      <c r="M810" s="788"/>
      <c r="N810" s="788"/>
      <c r="O810" s="788"/>
      <c r="P810" s="772"/>
      <c r="R810" s="774"/>
    </row>
    <row r="811" spans="1:22" hidden="1">
      <c r="A811" s="786">
        <v>811</v>
      </c>
      <c r="B811" s="767"/>
      <c r="C811" s="767" t="s">
        <v>1095</v>
      </c>
      <c r="D811" s="767" t="s">
        <v>1096</v>
      </c>
      <c r="E811" s="767"/>
      <c r="F811" s="806" t="s">
        <v>1392</v>
      </c>
      <c r="G811" s="778"/>
      <c r="H811" s="815">
        <v>-1754572.9134185612</v>
      </c>
      <c r="I811" s="815">
        <v>-733849.63951292878</v>
      </c>
      <c r="J811" s="815">
        <v>-234475.17660507618</v>
      </c>
      <c r="K811" s="815">
        <v>-397908.55214032758</v>
      </c>
      <c r="L811" s="815">
        <v>-162209.34287452107</v>
      </c>
      <c r="M811" s="815">
        <v>-153405.85872611383</v>
      </c>
      <c r="N811" s="815">
        <v>-69900.776513397446</v>
      </c>
      <c r="O811" s="815">
        <v>-2823.5670461964846</v>
      </c>
      <c r="P811" s="772">
        <v>0</v>
      </c>
      <c r="Q811" s="774"/>
      <c r="R811" s="774">
        <v>1312</v>
      </c>
      <c r="S811" s="774"/>
      <c r="T811" s="774"/>
      <c r="U811" s="774"/>
      <c r="V811" s="774"/>
    </row>
    <row r="812" spans="1:22" hidden="1">
      <c r="A812" s="786">
        <v>812</v>
      </c>
      <c r="B812" s="767"/>
      <c r="C812" s="767"/>
      <c r="D812" s="767"/>
      <c r="E812" s="767"/>
      <c r="F812" s="806"/>
      <c r="G812" s="778"/>
      <c r="H812" s="788"/>
      <c r="I812" s="788"/>
      <c r="J812" s="788"/>
      <c r="K812" s="788"/>
      <c r="L812" s="788"/>
      <c r="M812" s="788"/>
      <c r="N812" s="788"/>
      <c r="O812" s="788"/>
      <c r="P812" s="772"/>
      <c r="R812" s="774"/>
    </row>
    <row r="813" spans="1:22" hidden="1">
      <c r="A813" s="786">
        <v>813</v>
      </c>
      <c r="B813" s="767"/>
      <c r="C813" s="767" t="s">
        <v>1097</v>
      </c>
      <c r="D813" s="767" t="s">
        <v>1098</v>
      </c>
      <c r="E813" s="767"/>
      <c r="F813" s="806" t="s">
        <v>1392</v>
      </c>
      <c r="G813" s="778"/>
      <c r="H813" s="815">
        <v>19737628.463180393</v>
      </c>
      <c r="I813" s="815">
        <v>8255257.6879372606</v>
      </c>
      <c r="J813" s="815">
        <v>2637669.7624110505</v>
      </c>
      <c r="K813" s="815">
        <v>4476172.5798933934</v>
      </c>
      <c r="L813" s="815">
        <v>1824733.3686896898</v>
      </c>
      <c r="M813" s="815">
        <v>1725700.7790640977</v>
      </c>
      <c r="N813" s="815">
        <v>786331.2750116057</v>
      </c>
      <c r="O813" s="815">
        <v>31763.010173297462</v>
      </c>
      <c r="P813" s="772">
        <v>0</v>
      </c>
      <c r="Q813" s="774"/>
      <c r="R813" s="774">
        <v>1317</v>
      </c>
      <c r="S813" s="774"/>
      <c r="T813" s="774"/>
      <c r="U813" s="774"/>
      <c r="V813" s="774"/>
    </row>
    <row r="814" spans="1:22" hidden="1">
      <c r="A814" s="786">
        <v>814</v>
      </c>
      <c r="B814" s="767"/>
      <c r="C814" s="767"/>
      <c r="D814" s="767"/>
      <c r="E814" s="767"/>
      <c r="F814" s="806"/>
      <c r="G814" s="778"/>
      <c r="H814" s="788"/>
      <c r="I814" s="788"/>
      <c r="J814" s="788"/>
      <c r="K814" s="788"/>
      <c r="L814" s="788"/>
      <c r="M814" s="788"/>
      <c r="N814" s="788"/>
      <c r="O814" s="788"/>
      <c r="P814" s="772"/>
      <c r="R814" s="774"/>
    </row>
    <row r="815" spans="1:22" hidden="1">
      <c r="A815" s="786">
        <v>815</v>
      </c>
      <c r="B815" s="767"/>
      <c r="C815" s="767" t="s">
        <v>1099</v>
      </c>
      <c r="D815" s="767" t="s">
        <v>1072</v>
      </c>
      <c r="E815" s="767"/>
      <c r="F815" s="806" t="s">
        <v>1392</v>
      </c>
      <c r="G815" s="778"/>
      <c r="H815" s="815">
        <v>15056808.532999992</v>
      </c>
      <c r="I815" s="815">
        <v>6297506.0367419124</v>
      </c>
      <c r="J815" s="815">
        <v>2012140.8536994706</v>
      </c>
      <c r="K815" s="815">
        <v>3414638.8773020576</v>
      </c>
      <c r="L815" s="815">
        <v>1391994.0284309948</v>
      </c>
      <c r="M815" s="815">
        <v>1316447.224857237</v>
      </c>
      <c r="N815" s="815">
        <v>599851.1661847214</v>
      </c>
      <c r="O815" s="815">
        <v>24230.345783599209</v>
      </c>
      <c r="P815" s="772">
        <v>0</v>
      </c>
      <c r="Q815" s="774"/>
      <c r="R815" s="774">
        <v>1322</v>
      </c>
      <c r="S815" s="774"/>
      <c r="T815" s="774"/>
      <c r="U815" s="774"/>
      <c r="V815" s="774"/>
    </row>
    <row r="816" spans="1:22" hidden="1">
      <c r="A816" s="786">
        <v>816</v>
      </c>
      <c r="B816" s="767"/>
      <c r="C816" s="767"/>
      <c r="D816" s="767"/>
      <c r="E816" s="767"/>
      <c r="F816" s="806"/>
      <c r="G816" s="778"/>
      <c r="H816" s="788"/>
      <c r="I816" s="788"/>
      <c r="J816" s="788"/>
      <c r="K816" s="788"/>
      <c r="L816" s="788"/>
      <c r="M816" s="788"/>
      <c r="N816" s="788"/>
      <c r="O816" s="788"/>
      <c r="P816" s="772"/>
      <c r="R816" s="774"/>
    </row>
    <row r="817" spans="1:22" hidden="1">
      <c r="A817" s="786">
        <v>817</v>
      </c>
      <c r="B817" s="767"/>
      <c r="C817" s="767" t="s">
        <v>1100</v>
      </c>
      <c r="D817" s="767" t="s">
        <v>1088</v>
      </c>
      <c r="E817" s="767"/>
      <c r="F817" s="806" t="s">
        <v>1392</v>
      </c>
      <c r="G817" s="778"/>
      <c r="H817" s="815">
        <v>495321.06553625216</v>
      </c>
      <c r="I817" s="815">
        <v>207167.89972479531</v>
      </c>
      <c r="J817" s="815">
        <v>66193.028189146222</v>
      </c>
      <c r="K817" s="815">
        <v>112330.74814093925</v>
      </c>
      <c r="L817" s="815">
        <v>45792.171951406512</v>
      </c>
      <c r="M817" s="815">
        <v>43306.922626358741</v>
      </c>
      <c r="N817" s="815">
        <v>19733.193667607873</v>
      </c>
      <c r="O817" s="815">
        <v>797.10123599831002</v>
      </c>
      <c r="P817" s="772">
        <v>0</v>
      </c>
      <c r="Q817" s="774"/>
      <c r="R817" s="774">
        <v>1327</v>
      </c>
      <c r="S817" s="774"/>
      <c r="T817" s="774"/>
      <c r="U817" s="774"/>
      <c r="V817" s="774"/>
    </row>
    <row r="818" spans="1:22" hidden="1">
      <c r="A818" s="786">
        <v>818</v>
      </c>
      <c r="B818" s="767"/>
      <c r="C818" s="767"/>
      <c r="D818" s="767"/>
      <c r="E818" s="767"/>
      <c r="F818" s="806"/>
      <c r="G818" s="778"/>
      <c r="H818" s="788"/>
      <c r="I818" s="788"/>
      <c r="J818" s="788"/>
      <c r="K818" s="788"/>
      <c r="L818" s="788"/>
      <c r="M818" s="788"/>
      <c r="N818" s="788"/>
      <c r="O818" s="788"/>
      <c r="P818" s="772"/>
      <c r="R818" s="774"/>
    </row>
    <row r="819" spans="1:22" hidden="1">
      <c r="A819" s="786">
        <v>819</v>
      </c>
      <c r="B819" s="767"/>
      <c r="C819" s="767" t="s">
        <v>1101</v>
      </c>
      <c r="D819" s="767" t="s">
        <v>1102</v>
      </c>
      <c r="E819" s="767"/>
      <c r="F819" s="806" t="s">
        <v>1392</v>
      </c>
      <c r="G819" s="778"/>
      <c r="H819" s="815">
        <v>4799120.0052153217</v>
      </c>
      <c r="I819" s="815">
        <v>2007230.6251124714</v>
      </c>
      <c r="J819" s="815">
        <v>641338.12973287213</v>
      </c>
      <c r="K819" s="815">
        <v>1088362.2323236924</v>
      </c>
      <c r="L819" s="815">
        <v>443676.11996540596</v>
      </c>
      <c r="M819" s="815">
        <v>419596.76904809335</v>
      </c>
      <c r="N819" s="815">
        <v>191193.08885939981</v>
      </c>
      <c r="O819" s="815">
        <v>7723.0401733870376</v>
      </c>
      <c r="P819" s="772">
        <v>0</v>
      </c>
      <c r="Q819" s="774"/>
      <c r="R819" s="774">
        <v>1333</v>
      </c>
      <c r="S819" s="774"/>
      <c r="T819" s="774"/>
      <c r="U819" s="774"/>
      <c r="V819" s="774"/>
    </row>
    <row r="820" spans="1:22" hidden="1">
      <c r="A820" s="786">
        <v>820</v>
      </c>
      <c r="B820" s="767"/>
      <c r="C820" s="767"/>
      <c r="D820" s="767"/>
      <c r="E820" s="767"/>
      <c r="F820" s="806"/>
      <c r="G820" s="778"/>
      <c r="H820" s="788"/>
      <c r="I820" s="788"/>
      <c r="J820" s="788"/>
      <c r="K820" s="788"/>
      <c r="L820" s="788"/>
      <c r="M820" s="788"/>
      <c r="N820" s="788"/>
      <c r="O820" s="788"/>
      <c r="P820" s="772"/>
      <c r="R820" s="774"/>
    </row>
    <row r="821" spans="1:22" hidden="1">
      <c r="A821" s="786">
        <v>821</v>
      </c>
      <c r="B821" s="767"/>
      <c r="C821" s="767" t="s">
        <v>1103</v>
      </c>
      <c r="D821" s="767" t="s">
        <v>1104</v>
      </c>
      <c r="E821" s="767"/>
      <c r="F821" s="806" t="s">
        <v>1392</v>
      </c>
      <c r="G821" s="778"/>
      <c r="H821" s="828">
        <v>0</v>
      </c>
      <c r="I821" s="828">
        <v>0</v>
      </c>
      <c r="J821" s="828">
        <v>0</v>
      </c>
      <c r="K821" s="828">
        <v>0</v>
      </c>
      <c r="L821" s="828">
        <v>0</v>
      </c>
      <c r="M821" s="828">
        <v>0</v>
      </c>
      <c r="N821" s="828">
        <v>0</v>
      </c>
      <c r="O821" s="828">
        <v>0</v>
      </c>
      <c r="P821" s="772">
        <v>0</v>
      </c>
      <c r="Q821" s="774"/>
      <c r="R821" s="774">
        <v>1339</v>
      </c>
      <c r="S821" s="774"/>
      <c r="T821" s="774"/>
      <c r="U821" s="774"/>
      <c r="V821" s="774"/>
    </row>
    <row r="822" spans="1:22" hidden="1">
      <c r="A822" s="786">
        <v>822</v>
      </c>
      <c r="B822" s="767"/>
      <c r="C822" s="767"/>
      <c r="D822" s="767"/>
      <c r="E822" s="767"/>
      <c r="F822" s="806"/>
      <c r="G822" s="778"/>
      <c r="H822" s="788"/>
      <c r="I822" s="788"/>
      <c r="J822" s="788"/>
      <c r="K822" s="788"/>
      <c r="L822" s="788"/>
      <c r="M822" s="788"/>
      <c r="N822" s="788"/>
      <c r="O822" s="788"/>
      <c r="P822" s="772"/>
      <c r="R822" s="774"/>
    </row>
    <row r="823" spans="1:22" hidden="1">
      <c r="A823" s="786">
        <v>823</v>
      </c>
      <c r="B823" s="767"/>
      <c r="C823" s="767" t="s">
        <v>1105</v>
      </c>
      <c r="D823" s="767"/>
      <c r="E823" s="767"/>
      <c r="F823" s="806"/>
      <c r="G823" s="778"/>
      <c r="H823" s="815">
        <v>100961986.6490943</v>
      </c>
      <c r="I823" s="815">
        <v>42227323.208010934</v>
      </c>
      <c r="J823" s="815">
        <v>13492217.661004325</v>
      </c>
      <c r="K823" s="815">
        <v>22896533.749902125</v>
      </c>
      <c r="L823" s="815">
        <v>9333882.5559248496</v>
      </c>
      <c r="M823" s="815">
        <v>8827310.7045873888</v>
      </c>
      <c r="N823" s="815">
        <v>4022244.5081274323</v>
      </c>
      <c r="O823" s="815">
        <v>162474.2615372329</v>
      </c>
      <c r="P823" s="772">
        <v>0</v>
      </c>
      <c r="Q823" s="774"/>
      <c r="R823" s="774"/>
      <c r="S823" s="774"/>
      <c r="T823" s="774"/>
      <c r="U823" s="774"/>
      <c r="V823" s="774"/>
    </row>
    <row r="824" spans="1:22" hidden="1">
      <c r="A824" s="786">
        <v>824</v>
      </c>
      <c r="B824" s="767"/>
      <c r="C824" s="767"/>
      <c r="D824" s="767"/>
      <c r="E824" s="767"/>
      <c r="F824" s="806"/>
      <c r="G824" s="778"/>
      <c r="H824" s="788"/>
      <c r="I824" s="788"/>
      <c r="J824" s="788"/>
      <c r="K824" s="788"/>
      <c r="L824" s="788"/>
      <c r="M824" s="788"/>
      <c r="N824" s="788"/>
      <c r="O824" s="788"/>
      <c r="P824" s="772"/>
      <c r="R824" s="774"/>
    </row>
    <row r="825" spans="1:22" hidden="1">
      <c r="A825" s="786">
        <v>825</v>
      </c>
      <c r="B825" s="767"/>
      <c r="C825" s="781" t="s">
        <v>714</v>
      </c>
      <c r="D825" s="767"/>
      <c r="E825" s="767"/>
      <c r="F825" s="806"/>
      <c r="G825" s="778"/>
      <c r="H825" s="788"/>
      <c r="I825" s="788"/>
      <c r="J825" s="788"/>
      <c r="K825" s="788"/>
      <c r="L825" s="788"/>
      <c r="M825" s="788"/>
      <c r="N825" s="788"/>
      <c r="O825" s="788"/>
      <c r="P825" s="772"/>
      <c r="R825" s="774"/>
    </row>
    <row r="826" spans="1:22" hidden="1">
      <c r="A826" s="786">
        <v>826</v>
      </c>
      <c r="B826" s="767"/>
      <c r="C826" s="777" t="s">
        <v>575</v>
      </c>
      <c r="D826" s="767"/>
      <c r="E826" s="777" t="s">
        <v>576</v>
      </c>
      <c r="F826" s="806" t="s">
        <v>577</v>
      </c>
      <c r="G826" s="778"/>
      <c r="H826" s="777" t="s">
        <v>578</v>
      </c>
      <c r="I826" s="777" t="s">
        <v>579</v>
      </c>
      <c r="J826" s="777" t="s">
        <v>580</v>
      </c>
      <c r="K826" s="777" t="s">
        <v>581</v>
      </c>
      <c r="L826" s="777" t="s">
        <v>582</v>
      </c>
      <c r="M826" s="777" t="s">
        <v>583</v>
      </c>
      <c r="N826" s="777" t="s">
        <v>584</v>
      </c>
      <c r="O826" s="777" t="s">
        <v>585</v>
      </c>
      <c r="P826" s="772"/>
      <c r="R826" s="774"/>
    </row>
    <row r="827" spans="1:22" ht="38.25" hidden="1">
      <c r="A827" s="786">
        <v>827</v>
      </c>
      <c r="B827" s="767"/>
      <c r="C827" s="797" t="s">
        <v>656</v>
      </c>
      <c r="D827" s="781"/>
      <c r="E827" s="782" t="s">
        <v>587</v>
      </c>
      <c r="F827" s="806" t="s">
        <v>1391</v>
      </c>
      <c r="G827" s="783"/>
      <c r="H827" s="829" t="s">
        <v>588</v>
      </c>
      <c r="I827" s="829" t="s">
        <v>589</v>
      </c>
      <c r="J827" s="829" t="s">
        <v>590</v>
      </c>
      <c r="K827" s="829" t="s">
        <v>591</v>
      </c>
      <c r="L827" s="829" t="s">
        <v>592</v>
      </c>
      <c r="M827" s="829" t="s">
        <v>593</v>
      </c>
      <c r="N827" s="829" t="s">
        <v>594</v>
      </c>
      <c r="O827" s="829" t="s">
        <v>595</v>
      </c>
      <c r="P827" s="772"/>
      <c r="R827" s="774"/>
    </row>
    <row r="828" spans="1:22" hidden="1">
      <c r="A828" s="786">
        <v>828</v>
      </c>
      <c r="B828" s="767"/>
      <c r="C828" s="767" t="s">
        <v>1106</v>
      </c>
      <c r="D828" s="767" t="s">
        <v>1060</v>
      </c>
      <c r="E828" s="767"/>
      <c r="F828" s="806" t="s">
        <v>1392</v>
      </c>
      <c r="G828" s="778"/>
      <c r="H828" s="815">
        <v>976897.80883704626</v>
      </c>
      <c r="I828" s="815">
        <v>408587.24044659728</v>
      </c>
      <c r="J828" s="815">
        <v>130549.31174441053</v>
      </c>
      <c r="K828" s="815">
        <v>221544.50791448963</v>
      </c>
      <c r="L828" s="815">
        <v>90313.688542172851</v>
      </c>
      <c r="M828" s="815">
        <v>85412.151359568976</v>
      </c>
      <c r="N828" s="815">
        <v>38918.824569621131</v>
      </c>
      <c r="O828" s="815">
        <v>1572.0842601858994</v>
      </c>
      <c r="P828" s="772">
        <v>0</v>
      </c>
      <c r="Q828" s="774"/>
      <c r="R828" s="774">
        <v>1347</v>
      </c>
      <c r="S828" s="774"/>
      <c r="T828" s="774"/>
      <c r="U828" s="774"/>
      <c r="V828" s="774"/>
    </row>
    <row r="829" spans="1:22" hidden="1">
      <c r="A829" s="786">
        <v>829</v>
      </c>
      <c r="B829" s="767"/>
      <c r="C829" s="767"/>
      <c r="D829" s="767"/>
      <c r="E829" s="767" t="s">
        <v>1107</v>
      </c>
      <c r="F829" s="806"/>
      <c r="G829" s="778"/>
      <c r="H829" s="815">
        <v>976897.80883704626</v>
      </c>
      <c r="I829" s="815">
        <v>408587.24044659728</v>
      </c>
      <c r="J829" s="815">
        <v>130549.31174441053</v>
      </c>
      <c r="K829" s="815">
        <v>221544.50791448963</v>
      </c>
      <c r="L829" s="815">
        <v>90313.688542172851</v>
      </c>
      <c r="M829" s="815">
        <v>85412.151359568976</v>
      </c>
      <c r="N829" s="815">
        <v>38918.824569621131</v>
      </c>
      <c r="O829" s="815">
        <v>1572.0842601858994</v>
      </c>
      <c r="P829" s="772">
        <v>0</v>
      </c>
      <c r="Q829" s="774"/>
      <c r="R829" s="774"/>
      <c r="S829" s="774"/>
      <c r="T829" s="774"/>
      <c r="U829" s="774"/>
      <c r="V829" s="774"/>
    </row>
    <row r="830" spans="1:22" hidden="1">
      <c r="A830" s="786">
        <v>830</v>
      </c>
      <c r="B830" s="767"/>
      <c r="C830" s="767"/>
      <c r="D830" s="767"/>
      <c r="E830" s="767"/>
      <c r="F830" s="806"/>
      <c r="G830" s="778"/>
      <c r="H830" s="788"/>
      <c r="I830" s="788"/>
      <c r="J830" s="788"/>
      <c r="K830" s="788"/>
      <c r="L830" s="788"/>
      <c r="M830" s="788"/>
      <c r="N830" s="788"/>
      <c r="O830" s="788"/>
      <c r="P830" s="772"/>
      <c r="R830" s="774"/>
    </row>
    <row r="831" spans="1:22" hidden="1">
      <c r="A831" s="786">
        <v>831</v>
      </c>
      <c r="B831" s="767"/>
      <c r="C831" s="767" t="s">
        <v>1108</v>
      </c>
      <c r="D831" s="767" t="s">
        <v>1063</v>
      </c>
      <c r="E831" s="767"/>
      <c r="F831" s="806" t="s">
        <v>1392</v>
      </c>
      <c r="G831" s="778"/>
      <c r="H831" s="815">
        <v>12575345.454235533</v>
      </c>
      <c r="I831" s="815">
        <v>5259634.7850605482</v>
      </c>
      <c r="J831" s="815">
        <v>1680526.539365489</v>
      </c>
      <c r="K831" s="815">
        <v>2851883.4777917396</v>
      </c>
      <c r="L831" s="815">
        <v>1162584.0721416795</v>
      </c>
      <c r="M831" s="815">
        <v>1099487.8887226563</v>
      </c>
      <c r="N831" s="815">
        <v>500991.66894273763</v>
      </c>
      <c r="O831" s="815">
        <v>20237.022210684147</v>
      </c>
      <c r="P831" s="772">
        <v>0</v>
      </c>
      <c r="Q831" s="774"/>
      <c r="R831" s="774">
        <v>1352</v>
      </c>
      <c r="S831" s="774"/>
      <c r="T831" s="774"/>
      <c r="U831" s="774"/>
      <c r="V831" s="774"/>
    </row>
    <row r="832" spans="1:22" hidden="1">
      <c r="A832" s="786">
        <v>832</v>
      </c>
      <c r="B832" s="767"/>
      <c r="C832" s="767"/>
      <c r="D832" s="767"/>
      <c r="E832" s="767" t="s">
        <v>1109</v>
      </c>
      <c r="F832" s="806"/>
      <c r="G832" s="778"/>
      <c r="H832" s="815">
        <v>12575345.454235535</v>
      </c>
      <c r="I832" s="815">
        <v>5259634.7850605482</v>
      </c>
      <c r="J832" s="815">
        <v>1680526.539365489</v>
      </c>
      <c r="K832" s="815">
        <v>2851883.4777917396</v>
      </c>
      <c r="L832" s="815">
        <v>1162584.0721416795</v>
      </c>
      <c r="M832" s="815">
        <v>1099487.8887226563</v>
      </c>
      <c r="N832" s="815">
        <v>500991.66894273763</v>
      </c>
      <c r="O832" s="815">
        <v>20237.022210684147</v>
      </c>
      <c r="P832" s="772">
        <v>0</v>
      </c>
      <c r="Q832" s="774"/>
      <c r="R832" s="774"/>
      <c r="S832" s="774"/>
      <c r="T832" s="774"/>
      <c r="U832" s="774"/>
      <c r="V832" s="774"/>
    </row>
    <row r="833" spans="1:22" hidden="1">
      <c r="A833" s="786">
        <v>833</v>
      </c>
      <c r="B833" s="767"/>
      <c r="C833" s="767"/>
      <c r="D833" s="767"/>
      <c r="E833" s="767"/>
      <c r="F833" s="806"/>
      <c r="G833" s="778"/>
      <c r="H833" s="788"/>
      <c r="I833" s="788"/>
      <c r="J833" s="788"/>
      <c r="K833" s="788"/>
      <c r="L833" s="788"/>
      <c r="M833" s="788"/>
      <c r="N833" s="788"/>
      <c r="O833" s="788"/>
      <c r="P833" s="772"/>
      <c r="R833" s="774"/>
    </row>
    <row r="834" spans="1:22" hidden="1">
      <c r="A834" s="786">
        <v>834</v>
      </c>
      <c r="B834" s="767"/>
      <c r="C834" s="767" t="s">
        <v>1110</v>
      </c>
      <c r="D834" s="767" t="s">
        <v>1111</v>
      </c>
      <c r="E834" s="767"/>
      <c r="F834" s="806" t="s">
        <v>1392</v>
      </c>
      <c r="G834" s="778"/>
      <c r="H834" s="815">
        <v>350126.01659648248</v>
      </c>
      <c r="I834" s="815">
        <v>146440.11035301571</v>
      </c>
      <c r="J834" s="815">
        <v>46789.654022151051</v>
      </c>
      <c r="K834" s="815">
        <v>79402.876486405483</v>
      </c>
      <c r="L834" s="815">
        <v>32368.966054955097</v>
      </c>
      <c r="M834" s="815">
        <v>30612.225817214519</v>
      </c>
      <c r="N834" s="815">
        <v>13948.73946272896</v>
      </c>
      <c r="O834" s="815">
        <v>563.44440001168277</v>
      </c>
      <c r="P834" s="772">
        <v>0</v>
      </c>
      <c r="Q834" s="774"/>
      <c r="R834" s="774">
        <v>1357</v>
      </c>
      <c r="S834" s="774"/>
      <c r="T834" s="774"/>
      <c r="U834" s="774"/>
      <c r="V834" s="774"/>
    </row>
    <row r="835" spans="1:22" hidden="1">
      <c r="A835" s="786">
        <v>835</v>
      </c>
      <c r="B835" s="767"/>
      <c r="C835" s="767"/>
      <c r="D835" s="767"/>
      <c r="E835" s="767" t="s">
        <v>1112</v>
      </c>
      <c r="F835" s="806"/>
      <c r="G835" s="778"/>
      <c r="H835" s="815">
        <v>350126.01659648248</v>
      </c>
      <c r="I835" s="815">
        <v>146440.11035301571</v>
      </c>
      <c r="J835" s="815">
        <v>46789.654022151051</v>
      </c>
      <c r="K835" s="815">
        <v>79402.876486405483</v>
      </c>
      <c r="L835" s="815">
        <v>32368.966054955097</v>
      </c>
      <c r="M835" s="815">
        <v>30612.225817214519</v>
      </c>
      <c r="N835" s="815">
        <v>13948.73946272896</v>
      </c>
      <c r="O835" s="815">
        <v>563.44440001168277</v>
      </c>
      <c r="P835" s="772">
        <v>0</v>
      </c>
      <c r="Q835" s="774"/>
      <c r="R835" s="774"/>
      <c r="S835" s="774"/>
      <c r="T835" s="774"/>
      <c r="U835" s="774"/>
      <c r="V835" s="774"/>
    </row>
    <row r="836" spans="1:22" hidden="1">
      <c r="A836" s="786">
        <v>836</v>
      </c>
      <c r="B836" s="767"/>
      <c r="C836" s="767"/>
      <c r="D836" s="767"/>
      <c r="E836" s="767"/>
      <c r="F836" s="806"/>
      <c r="G836" s="778"/>
      <c r="H836" s="788"/>
      <c r="I836" s="788"/>
      <c r="J836" s="788"/>
      <c r="K836" s="788"/>
      <c r="L836" s="788"/>
      <c r="M836" s="788"/>
      <c r="N836" s="788"/>
      <c r="O836" s="788"/>
      <c r="P836" s="772"/>
      <c r="R836" s="774"/>
    </row>
    <row r="837" spans="1:22" hidden="1">
      <c r="A837" s="786">
        <v>837</v>
      </c>
      <c r="B837" s="767"/>
      <c r="C837" s="767" t="s">
        <v>1113</v>
      </c>
      <c r="D837" s="767" t="s">
        <v>1114</v>
      </c>
      <c r="E837" s="767"/>
      <c r="F837" s="806" t="s">
        <v>1392</v>
      </c>
      <c r="G837" s="778"/>
      <c r="H837" s="815">
        <v>324316669.78644621</v>
      </c>
      <c r="I837" s="815">
        <v>135645358.13282627</v>
      </c>
      <c r="J837" s="815">
        <v>43340580.401406474</v>
      </c>
      <c r="K837" s="815">
        <v>73549737.102839038</v>
      </c>
      <c r="L837" s="815">
        <v>29982905.519049693</v>
      </c>
      <c r="M837" s="815">
        <v>28355662.42205786</v>
      </c>
      <c r="N837" s="815">
        <v>12920515.802413775</v>
      </c>
      <c r="O837" s="815">
        <v>521910.40585313377</v>
      </c>
      <c r="P837" s="772">
        <v>0</v>
      </c>
      <c r="Q837" s="774"/>
      <c r="R837" s="774">
        <v>1365</v>
      </c>
      <c r="S837" s="774"/>
      <c r="T837" s="774"/>
      <c r="U837" s="774"/>
      <c r="V837" s="774"/>
    </row>
    <row r="838" spans="1:22" hidden="1">
      <c r="A838" s="786">
        <v>838</v>
      </c>
      <c r="B838" s="767"/>
      <c r="C838" s="767"/>
      <c r="D838" s="767"/>
      <c r="E838" s="767" t="s">
        <v>1115</v>
      </c>
      <c r="F838" s="806"/>
      <c r="G838" s="778"/>
      <c r="H838" s="815">
        <v>324316669.78644627</v>
      </c>
      <c r="I838" s="815">
        <v>135645358.13282627</v>
      </c>
      <c r="J838" s="815">
        <v>43340580.401406474</v>
      </c>
      <c r="K838" s="815">
        <v>73549737.102839038</v>
      </c>
      <c r="L838" s="815">
        <v>29982905.519049693</v>
      </c>
      <c r="M838" s="815">
        <v>28355662.42205786</v>
      </c>
      <c r="N838" s="815">
        <v>12920515.802413775</v>
      </c>
      <c r="O838" s="815">
        <v>521910.40585313377</v>
      </c>
      <c r="P838" s="772">
        <v>0</v>
      </c>
      <c r="Q838" s="774"/>
      <c r="R838" s="774"/>
      <c r="S838" s="774"/>
      <c r="T838" s="774"/>
      <c r="U838" s="774"/>
      <c r="V838" s="774"/>
    </row>
    <row r="839" spans="1:22" hidden="1">
      <c r="A839" s="786">
        <v>839</v>
      </c>
      <c r="B839" s="767"/>
      <c r="C839" s="767"/>
      <c r="D839" s="767"/>
      <c r="E839" s="767"/>
      <c r="F839" s="806"/>
      <c r="G839" s="778"/>
      <c r="H839" s="788"/>
      <c r="I839" s="788"/>
      <c r="J839" s="788"/>
      <c r="K839" s="788"/>
      <c r="L839" s="788"/>
      <c r="M839" s="788"/>
      <c r="N839" s="788"/>
      <c r="O839" s="788"/>
      <c r="P839" s="772"/>
      <c r="R839" s="774"/>
    </row>
    <row r="840" spans="1:22" hidden="1">
      <c r="A840" s="786">
        <v>840</v>
      </c>
      <c r="B840" s="767"/>
      <c r="C840" s="767" t="s">
        <v>1116</v>
      </c>
      <c r="D840" s="767" t="s">
        <v>1117</v>
      </c>
      <c r="E840" s="767"/>
      <c r="F840" s="806" t="s">
        <v>1392</v>
      </c>
      <c r="G840" s="778"/>
      <c r="H840" s="815">
        <v>29021301.901553459</v>
      </c>
      <c r="I840" s="815">
        <v>12138151.555728663</v>
      </c>
      <c r="J840" s="815">
        <v>3878308.4114855882</v>
      </c>
      <c r="K840" s="815">
        <v>6581558.4707591385</v>
      </c>
      <c r="L840" s="815">
        <v>2683004.0945075694</v>
      </c>
      <c r="M840" s="815">
        <v>2537391.1255038022</v>
      </c>
      <c r="N840" s="815">
        <v>1156185.37299532</v>
      </c>
      <c r="O840" s="815">
        <v>46702.87057338022</v>
      </c>
      <c r="P840" s="772">
        <v>0</v>
      </c>
      <c r="Q840" s="774"/>
      <c r="R840" s="774">
        <v>1372</v>
      </c>
      <c r="S840" s="774"/>
      <c r="T840" s="774"/>
      <c r="U840" s="774"/>
      <c r="V840" s="774"/>
    </row>
    <row r="841" spans="1:22" hidden="1">
      <c r="A841" s="786">
        <v>841</v>
      </c>
      <c r="B841" s="767"/>
      <c r="C841" s="767"/>
      <c r="D841" s="767"/>
      <c r="E841" s="767" t="s">
        <v>1118</v>
      </c>
      <c r="F841" s="806"/>
      <c r="G841" s="778"/>
      <c r="H841" s="815">
        <v>29021301.901553456</v>
      </c>
      <c r="I841" s="815">
        <v>12138151.555728663</v>
      </c>
      <c r="J841" s="815">
        <v>3878308.4114855882</v>
      </c>
      <c r="K841" s="815">
        <v>6581558.4707591385</v>
      </c>
      <c r="L841" s="815">
        <v>2683004.0945075694</v>
      </c>
      <c r="M841" s="815">
        <v>2537391.1255038022</v>
      </c>
      <c r="N841" s="815">
        <v>1156185.37299532</v>
      </c>
      <c r="O841" s="815">
        <v>46702.87057338022</v>
      </c>
      <c r="P841" s="772">
        <v>0</v>
      </c>
      <c r="Q841" s="774"/>
      <c r="R841" s="774"/>
      <c r="S841" s="774"/>
      <c r="T841" s="774"/>
      <c r="U841" s="774"/>
      <c r="V841" s="774"/>
    </row>
    <row r="842" spans="1:22" hidden="1">
      <c r="A842" s="786">
        <v>842</v>
      </c>
      <c r="B842" s="767"/>
      <c r="C842" s="767"/>
      <c r="D842" s="767"/>
      <c r="E842" s="767"/>
      <c r="F842" s="806"/>
      <c r="G842" s="778"/>
      <c r="H842" s="788"/>
      <c r="I842" s="788"/>
      <c r="J842" s="788"/>
      <c r="K842" s="788"/>
      <c r="L842" s="788"/>
      <c r="M842" s="788"/>
      <c r="N842" s="788"/>
      <c r="O842" s="788"/>
      <c r="P842" s="772"/>
      <c r="R842" s="774"/>
    </row>
    <row r="843" spans="1:22" hidden="1">
      <c r="A843" s="786">
        <v>843</v>
      </c>
      <c r="B843" s="767"/>
      <c r="C843" s="767" t="s">
        <v>1119</v>
      </c>
      <c r="D843" s="767" t="s">
        <v>1120</v>
      </c>
      <c r="E843" s="767"/>
      <c r="F843" s="806" t="s">
        <v>1392</v>
      </c>
      <c r="G843" s="778"/>
      <c r="H843" s="815">
        <v>19135021.713521142</v>
      </c>
      <c r="I843" s="815">
        <v>8003217.5802714666</v>
      </c>
      <c r="J843" s="815">
        <v>2557139.4390661712</v>
      </c>
      <c r="K843" s="815">
        <v>4339511.1864379821</v>
      </c>
      <c r="L843" s="815">
        <v>1769022.6916773973</v>
      </c>
      <c r="M843" s="815">
        <v>1673013.6520723128</v>
      </c>
      <c r="N843" s="815">
        <v>762323.90580440336</v>
      </c>
      <c r="O843" s="815">
        <v>30793.258191410154</v>
      </c>
      <c r="P843" s="772">
        <v>0</v>
      </c>
      <c r="Q843" s="774"/>
      <c r="R843" s="774">
        <v>1377</v>
      </c>
      <c r="S843" s="774"/>
      <c r="T843" s="774"/>
      <c r="U843" s="774"/>
      <c r="V843" s="774"/>
    </row>
    <row r="844" spans="1:22" hidden="1">
      <c r="A844" s="786">
        <v>844</v>
      </c>
      <c r="B844" s="767"/>
      <c r="C844" s="767"/>
      <c r="D844" s="767"/>
      <c r="E844" s="767" t="s">
        <v>1121</v>
      </c>
      <c r="F844" s="806"/>
      <c r="G844" s="778"/>
      <c r="H844" s="815">
        <v>19135021.713521142</v>
      </c>
      <c r="I844" s="815">
        <v>8003217.5802714666</v>
      </c>
      <c r="J844" s="815">
        <v>2557139.4390661712</v>
      </c>
      <c r="K844" s="815">
        <v>4339511.1864379821</v>
      </c>
      <c r="L844" s="815">
        <v>1769022.6916773973</v>
      </c>
      <c r="M844" s="815">
        <v>1673013.6520723128</v>
      </c>
      <c r="N844" s="815">
        <v>762323.90580440336</v>
      </c>
      <c r="O844" s="815">
        <v>30793.258191410154</v>
      </c>
      <c r="P844" s="772">
        <v>0</v>
      </c>
      <c r="Q844" s="774"/>
      <c r="R844" s="774"/>
      <c r="S844" s="774"/>
      <c r="T844" s="774"/>
      <c r="U844" s="774"/>
      <c r="V844" s="774"/>
    </row>
    <row r="845" spans="1:22" hidden="1">
      <c r="A845" s="786">
        <v>845</v>
      </c>
      <c r="B845" s="767"/>
      <c r="C845" s="767"/>
      <c r="D845" s="767"/>
      <c r="E845" s="767"/>
      <c r="F845" s="806"/>
      <c r="G845" s="778"/>
      <c r="H845" s="788"/>
      <c r="I845" s="788"/>
      <c r="J845" s="788"/>
      <c r="K845" s="788"/>
      <c r="L845" s="788"/>
      <c r="M845" s="788"/>
      <c r="N845" s="788"/>
      <c r="O845" s="788"/>
      <c r="P845" s="772"/>
      <c r="R845" s="774"/>
    </row>
    <row r="846" spans="1:22" hidden="1">
      <c r="A846" s="786">
        <v>846</v>
      </c>
      <c r="B846" s="767"/>
      <c r="C846" s="767" t="s">
        <v>1122</v>
      </c>
      <c r="D846" s="767" t="s">
        <v>1088</v>
      </c>
      <c r="E846" s="767"/>
      <c r="F846" s="806" t="s">
        <v>1392</v>
      </c>
      <c r="G846" s="778"/>
      <c r="H846" s="815">
        <v>881794.15030796116</v>
      </c>
      <c r="I846" s="815">
        <v>368810.16136702267</v>
      </c>
      <c r="J846" s="815">
        <v>117839.9811951611</v>
      </c>
      <c r="K846" s="815">
        <v>199976.54754125842</v>
      </c>
      <c r="L846" s="815">
        <v>81521.405339242992</v>
      </c>
      <c r="M846" s="815">
        <v>77097.046131924886</v>
      </c>
      <c r="N846" s="815">
        <v>35129.971151443366</v>
      </c>
      <c r="O846" s="815">
        <v>1419.0375819077944</v>
      </c>
      <c r="P846" s="772">
        <v>0</v>
      </c>
      <c r="Q846" s="774"/>
      <c r="R846" s="774">
        <v>1382</v>
      </c>
      <c r="S846" s="774"/>
      <c r="T846" s="774"/>
      <c r="U846" s="774"/>
      <c r="V846" s="774"/>
    </row>
    <row r="847" spans="1:22" hidden="1">
      <c r="A847" s="786">
        <v>847</v>
      </c>
      <c r="B847" s="767"/>
      <c r="C847" s="767"/>
      <c r="D847" s="767"/>
      <c r="E847" s="767"/>
      <c r="F847" s="806"/>
      <c r="G847" s="778"/>
      <c r="H847" s="788"/>
      <c r="I847" s="788"/>
      <c r="J847" s="788"/>
      <c r="K847" s="788"/>
      <c r="L847" s="788"/>
      <c r="M847" s="788"/>
      <c r="N847" s="788"/>
      <c r="O847" s="788"/>
      <c r="P847" s="772"/>
      <c r="R847" s="774"/>
    </row>
    <row r="848" spans="1:22" hidden="1">
      <c r="A848" s="786">
        <v>848</v>
      </c>
      <c r="B848" s="767"/>
      <c r="C848" s="767" t="s">
        <v>1123</v>
      </c>
      <c r="D848" s="767" t="s">
        <v>1124</v>
      </c>
      <c r="E848" s="767"/>
      <c r="F848" s="806" t="s">
        <v>1392</v>
      </c>
      <c r="G848" s="778"/>
      <c r="H848" s="828">
        <v>-119359.20448769673</v>
      </c>
      <c r="I848" s="828">
        <v>-49921.954520080297</v>
      </c>
      <c r="J848" s="828">
        <v>-15950.75949118891</v>
      </c>
      <c r="K848" s="828">
        <v>-27068.723037439697</v>
      </c>
      <c r="L848" s="828">
        <v>-11034.695667478469</v>
      </c>
      <c r="M848" s="828">
        <v>-10435.816671548551</v>
      </c>
      <c r="N848" s="828">
        <v>-4755.1748997740642</v>
      </c>
      <c r="O848" s="828">
        <v>-192.08020018675094</v>
      </c>
      <c r="P848" s="772">
        <v>0</v>
      </c>
      <c r="Q848" s="774"/>
      <c r="R848" s="774">
        <v>1387</v>
      </c>
      <c r="S848" s="774"/>
      <c r="T848" s="774"/>
      <c r="U848" s="774"/>
      <c r="V848" s="774"/>
    </row>
    <row r="849" spans="1:22" hidden="1">
      <c r="A849" s="786">
        <v>849</v>
      </c>
      <c r="B849" s="767"/>
      <c r="C849" s="767"/>
      <c r="D849" s="767"/>
      <c r="E849" s="767"/>
      <c r="F849" s="806"/>
      <c r="G849" s="778"/>
      <c r="H849" s="788"/>
      <c r="I849" s="788"/>
      <c r="J849" s="788"/>
      <c r="K849" s="788"/>
      <c r="L849" s="788"/>
      <c r="M849" s="788"/>
      <c r="N849" s="788"/>
      <c r="O849" s="788"/>
      <c r="P849" s="772"/>
      <c r="R849" s="774"/>
    </row>
    <row r="850" spans="1:22" hidden="1">
      <c r="A850" s="786">
        <v>850</v>
      </c>
      <c r="B850" s="767"/>
      <c r="C850" s="767" t="s">
        <v>1125</v>
      </c>
      <c r="D850" s="767"/>
      <c r="E850" s="767"/>
      <c r="F850" s="806"/>
      <c r="G850" s="778"/>
      <c r="H850" s="815">
        <v>387137797.62701017</v>
      </c>
      <c r="I850" s="815">
        <v>161920277.61153352</v>
      </c>
      <c r="J850" s="815">
        <v>51735782.978794254</v>
      </c>
      <c r="K850" s="815">
        <v>87796545.44673261</v>
      </c>
      <c r="L850" s="815">
        <v>35790685.741645232</v>
      </c>
      <c r="M850" s="815">
        <v>33848240.694993787</v>
      </c>
      <c r="N850" s="815">
        <v>15423259.110440256</v>
      </c>
      <c r="O850" s="815">
        <v>623006.04287052702</v>
      </c>
      <c r="P850" s="772">
        <v>0</v>
      </c>
      <c r="Q850" s="774"/>
      <c r="R850" s="774"/>
      <c r="S850" s="774"/>
      <c r="T850" s="774"/>
      <c r="U850" s="774"/>
      <c r="V850" s="774"/>
    </row>
    <row r="851" spans="1:22" hidden="1">
      <c r="A851" s="786">
        <v>851</v>
      </c>
      <c r="B851" s="767"/>
      <c r="C851" s="767"/>
      <c r="D851" s="767"/>
      <c r="E851" s="767"/>
      <c r="F851" s="806"/>
      <c r="G851" s="778"/>
      <c r="H851" s="788"/>
      <c r="I851" s="788"/>
      <c r="J851" s="788"/>
      <c r="K851" s="788"/>
      <c r="L851" s="788"/>
      <c r="M851" s="788"/>
      <c r="N851" s="788"/>
      <c r="O851" s="788"/>
      <c r="P851" s="772"/>
      <c r="R851" s="774"/>
    </row>
    <row r="852" spans="1:22" hidden="1">
      <c r="A852" s="786">
        <v>852</v>
      </c>
      <c r="B852" s="767"/>
      <c r="C852" s="767" t="s">
        <v>1126</v>
      </c>
      <c r="D852" s="767"/>
      <c r="E852" s="767"/>
      <c r="F852" s="806"/>
      <c r="G852" s="778"/>
      <c r="H852" s="788"/>
      <c r="I852" s="788"/>
      <c r="J852" s="788"/>
      <c r="K852" s="788"/>
      <c r="L852" s="788"/>
      <c r="M852" s="788"/>
      <c r="N852" s="788"/>
      <c r="O852" s="788"/>
      <c r="P852" s="772"/>
      <c r="R852" s="774"/>
    </row>
    <row r="853" spans="1:22" hidden="1">
      <c r="A853" s="786">
        <v>853</v>
      </c>
      <c r="B853" s="767"/>
      <c r="C853" s="767" t="s">
        <v>1127</v>
      </c>
      <c r="D853" s="767" t="s">
        <v>1126</v>
      </c>
      <c r="E853" s="767"/>
      <c r="F853" s="806" t="s">
        <v>1392</v>
      </c>
      <c r="G853" s="778"/>
      <c r="H853" s="815">
        <v>0</v>
      </c>
      <c r="I853" s="815">
        <v>0</v>
      </c>
      <c r="J853" s="815">
        <v>0</v>
      </c>
      <c r="K853" s="815">
        <v>0</v>
      </c>
      <c r="L853" s="815">
        <v>0</v>
      </c>
      <c r="M853" s="815">
        <v>0</v>
      </c>
      <c r="N853" s="815">
        <v>0</v>
      </c>
      <c r="O853" s="815">
        <v>0</v>
      </c>
      <c r="P853" s="772">
        <v>0</v>
      </c>
      <c r="Q853" s="774"/>
      <c r="R853" s="774">
        <v>1393</v>
      </c>
      <c r="S853" s="774"/>
      <c r="T853" s="774"/>
      <c r="U853" s="774"/>
      <c r="V853" s="774"/>
    </row>
    <row r="854" spans="1:22" hidden="1">
      <c r="A854" s="786">
        <v>854</v>
      </c>
      <c r="B854" s="767"/>
      <c r="C854" s="767"/>
      <c r="D854" s="767"/>
      <c r="E854" s="767"/>
      <c r="F854" s="806"/>
      <c r="G854" s="778"/>
      <c r="H854" s="788"/>
      <c r="I854" s="788"/>
      <c r="J854" s="788"/>
      <c r="K854" s="788"/>
      <c r="L854" s="788"/>
      <c r="M854" s="788"/>
      <c r="N854" s="788"/>
      <c r="O854" s="788"/>
      <c r="P854" s="772"/>
      <c r="R854" s="774"/>
    </row>
    <row r="855" spans="1:22" ht="13.5" thickBot="1">
      <c r="A855" s="786">
        <v>855</v>
      </c>
      <c r="B855" s="767"/>
      <c r="C855" s="767" t="s">
        <v>1128</v>
      </c>
      <c r="D855" s="767"/>
      <c r="E855" s="767"/>
      <c r="F855" s="806"/>
      <c r="G855" s="778"/>
      <c r="H855" s="814">
        <v>792145131.51161909</v>
      </c>
      <c r="I855" s="814">
        <v>331314483.85869837</v>
      </c>
      <c r="J855" s="814">
        <v>105859590.20999059</v>
      </c>
      <c r="K855" s="814">
        <v>179645610.59515515</v>
      </c>
      <c r="L855" s="814">
        <v>73233400.710260555</v>
      </c>
      <c r="M855" s="814">
        <v>69258851.089000717</v>
      </c>
      <c r="N855" s="814">
        <v>31558426.201898389</v>
      </c>
      <c r="O855" s="814">
        <v>1274768.8466153925</v>
      </c>
      <c r="P855" s="772">
        <v>0</v>
      </c>
      <c r="Q855" s="774"/>
      <c r="R855" s="774"/>
      <c r="S855" s="774"/>
      <c r="T855" s="774"/>
      <c r="U855" s="774"/>
      <c r="V855" s="774"/>
    </row>
    <row r="856" spans="1:22" ht="13.5" hidden="1" thickTop="1">
      <c r="A856" s="786">
        <v>856</v>
      </c>
      <c r="B856" s="767"/>
      <c r="C856" s="767"/>
      <c r="D856" s="767"/>
      <c r="E856" s="767"/>
      <c r="F856" s="806"/>
      <c r="G856" s="778"/>
      <c r="H856" s="810"/>
      <c r="I856" s="810"/>
      <c r="J856" s="810"/>
      <c r="K856" s="810"/>
      <c r="L856" s="810"/>
      <c r="M856" s="810"/>
      <c r="N856" s="810"/>
      <c r="O856" s="810"/>
      <c r="P856" s="772"/>
      <c r="R856" s="774"/>
    </row>
    <row r="857" spans="1:22" hidden="1">
      <c r="A857" s="786">
        <v>857</v>
      </c>
      <c r="B857" s="767"/>
      <c r="C857" s="767"/>
      <c r="D857" s="767"/>
      <c r="E857" s="767"/>
      <c r="F857" s="806"/>
      <c r="G857" s="830"/>
      <c r="H857" s="817" t="s">
        <v>1129</v>
      </c>
      <c r="I857" s="817"/>
      <c r="J857" s="817"/>
      <c r="K857" s="817"/>
      <c r="L857" s="817"/>
      <c r="M857" s="817"/>
      <c r="N857" s="817"/>
      <c r="O857" s="817"/>
      <c r="P857" s="772"/>
      <c r="R857" s="774"/>
    </row>
    <row r="858" spans="1:22" hidden="1">
      <c r="A858" s="786">
        <v>858</v>
      </c>
      <c r="B858" s="767"/>
      <c r="C858" s="767" t="s">
        <v>1130</v>
      </c>
      <c r="D858" s="775" t="s">
        <v>1060</v>
      </c>
      <c r="E858" s="767"/>
      <c r="F858" s="806"/>
      <c r="G858" s="778"/>
      <c r="H858" s="788"/>
      <c r="I858" s="788"/>
      <c r="J858" s="788"/>
      <c r="K858" s="788"/>
      <c r="L858" s="788"/>
      <c r="M858" s="788"/>
      <c r="N858" s="788"/>
      <c r="O858" s="788"/>
      <c r="P858" s="772"/>
      <c r="R858" s="774"/>
    </row>
    <row r="859" spans="1:22" hidden="1">
      <c r="A859" s="786">
        <v>859</v>
      </c>
      <c r="B859" s="767"/>
      <c r="E859" s="767" t="s">
        <v>210</v>
      </c>
      <c r="F859" s="806" t="s">
        <v>1396</v>
      </c>
      <c r="G859" s="778"/>
      <c r="H859" s="815">
        <v>8370406.054358732</v>
      </c>
      <c r="I859" s="815">
        <v>3735219.8797912677</v>
      </c>
      <c r="J859" s="815">
        <v>1111024.8305265619</v>
      </c>
      <c r="K859" s="815">
        <v>1778812.2910621346</v>
      </c>
      <c r="L859" s="815">
        <v>720274.29545873869</v>
      </c>
      <c r="M859" s="815">
        <v>706710.18542870681</v>
      </c>
      <c r="N859" s="815">
        <v>308628.24173719349</v>
      </c>
      <c r="O859" s="815">
        <v>9736.3303541299902</v>
      </c>
      <c r="P859" s="772">
        <v>0</v>
      </c>
      <c r="Q859" s="774"/>
      <c r="R859" s="774">
        <v>1402</v>
      </c>
      <c r="S859" s="774"/>
      <c r="T859" s="774"/>
      <c r="U859" s="774"/>
      <c r="V859" s="774"/>
    </row>
    <row r="860" spans="1:22" hidden="1">
      <c r="A860" s="786">
        <v>860</v>
      </c>
      <c r="B860" s="767"/>
      <c r="C860" s="767"/>
      <c r="D860" s="767"/>
      <c r="E860" s="767" t="s">
        <v>1131</v>
      </c>
      <c r="F860" s="806" t="s">
        <v>575</v>
      </c>
      <c r="G860" s="811"/>
      <c r="H860" s="831">
        <v>0</v>
      </c>
      <c r="I860" s="831">
        <v>0</v>
      </c>
      <c r="J860" s="831">
        <v>0</v>
      </c>
      <c r="K860" s="831">
        <v>0</v>
      </c>
      <c r="L860" s="831">
        <v>0</v>
      </c>
      <c r="M860" s="831">
        <v>0</v>
      </c>
      <c r="N860" s="831">
        <v>0</v>
      </c>
      <c r="O860" s="831">
        <v>0</v>
      </c>
      <c r="P860" s="772">
        <v>0</v>
      </c>
      <c r="Q860" s="774"/>
      <c r="R860" s="774"/>
      <c r="S860" s="774"/>
      <c r="T860" s="774"/>
      <c r="U860" s="774"/>
      <c r="V860" s="774"/>
    </row>
    <row r="861" spans="1:22" hidden="1">
      <c r="A861" s="786">
        <v>861</v>
      </c>
      <c r="B861" s="767"/>
      <c r="C861" s="767"/>
      <c r="D861" s="767"/>
      <c r="E861" s="767"/>
      <c r="F861" s="806"/>
      <c r="G861" s="778"/>
      <c r="H861" s="788">
        <v>8370406.0543587329</v>
      </c>
      <c r="I861" s="788">
        <v>3735219.8797912677</v>
      </c>
      <c r="J861" s="788">
        <v>1111024.8305265619</v>
      </c>
      <c r="K861" s="788">
        <v>1778812.2910621346</v>
      </c>
      <c r="L861" s="788">
        <v>720274.29545873869</v>
      </c>
      <c r="M861" s="788">
        <v>706710.18542870681</v>
      </c>
      <c r="N861" s="788">
        <v>308628.24173719349</v>
      </c>
      <c r="O861" s="788">
        <v>9736.3303541299902</v>
      </c>
      <c r="P861" s="772">
        <v>0</v>
      </c>
      <c r="Q861" s="774"/>
      <c r="R861" s="774"/>
      <c r="S861" s="774"/>
      <c r="T861" s="774"/>
      <c r="U861" s="774"/>
      <c r="V861" s="774"/>
    </row>
    <row r="862" spans="1:22" hidden="1">
      <c r="A862" s="786">
        <v>862</v>
      </c>
      <c r="B862" s="767"/>
      <c r="C862" s="767" t="s">
        <v>1132</v>
      </c>
      <c r="D862" s="775" t="s">
        <v>1063</v>
      </c>
      <c r="E862" s="767"/>
      <c r="F862" s="806"/>
      <c r="G862" s="778"/>
      <c r="H862" s="788"/>
      <c r="I862" s="788"/>
      <c r="J862" s="788"/>
      <c r="K862" s="788"/>
      <c r="L862" s="788"/>
      <c r="M862" s="788"/>
      <c r="N862" s="788"/>
      <c r="O862" s="788"/>
      <c r="P862" s="772"/>
      <c r="R862" s="774"/>
    </row>
    <row r="863" spans="1:22" hidden="1">
      <c r="A863" s="786">
        <v>863</v>
      </c>
      <c r="B863" s="767"/>
      <c r="E863" s="767" t="s">
        <v>210</v>
      </c>
      <c r="F863" s="806" t="s">
        <v>1396</v>
      </c>
      <c r="G863" s="778"/>
      <c r="H863" s="815">
        <v>16205308.146452697</v>
      </c>
      <c r="I863" s="815">
        <v>7231475.8392459862</v>
      </c>
      <c r="J863" s="815">
        <v>2150970.8872089679</v>
      </c>
      <c r="K863" s="815">
        <v>3443823.5282921181</v>
      </c>
      <c r="L863" s="815">
        <v>1394468.4202984229</v>
      </c>
      <c r="M863" s="815">
        <v>1368207.9759016312</v>
      </c>
      <c r="N863" s="815">
        <v>597511.72494728863</v>
      </c>
      <c r="O863" s="815">
        <v>18849.770558284483</v>
      </c>
      <c r="P863" s="772">
        <v>0</v>
      </c>
      <c r="Q863" s="774"/>
      <c r="R863" s="774">
        <v>1409</v>
      </c>
      <c r="S863" s="774"/>
      <c r="T863" s="774"/>
      <c r="U863" s="774"/>
      <c r="V863" s="774"/>
    </row>
    <row r="864" spans="1:22" hidden="1">
      <c r="A864" s="786">
        <v>864</v>
      </c>
      <c r="B864" s="767"/>
      <c r="C864" s="767"/>
      <c r="D864" s="767"/>
      <c r="E864" s="767" t="s">
        <v>1131</v>
      </c>
      <c r="F864" s="806" t="s">
        <v>575</v>
      </c>
      <c r="G864" s="811"/>
      <c r="H864" s="831">
        <v>0</v>
      </c>
      <c r="I864" s="831">
        <v>0</v>
      </c>
      <c r="J864" s="831">
        <v>0</v>
      </c>
      <c r="K864" s="831">
        <v>0</v>
      </c>
      <c r="L864" s="831">
        <v>0</v>
      </c>
      <c r="M864" s="831">
        <v>0</v>
      </c>
      <c r="N864" s="831">
        <v>0</v>
      </c>
      <c r="O864" s="831">
        <v>0</v>
      </c>
      <c r="P864" s="772">
        <v>0</v>
      </c>
      <c r="Q864" s="774"/>
      <c r="R864" s="774"/>
      <c r="S864" s="774"/>
      <c r="T864" s="774"/>
      <c r="U864" s="774"/>
      <c r="V864" s="774"/>
    </row>
    <row r="865" spans="1:22" hidden="1">
      <c r="A865" s="786">
        <v>865</v>
      </c>
      <c r="B865" s="767"/>
      <c r="C865" s="767"/>
      <c r="D865" s="767"/>
      <c r="E865" s="767"/>
      <c r="F865" s="806"/>
      <c r="G865" s="778"/>
      <c r="H865" s="788">
        <v>16205308.146452701</v>
      </c>
      <c r="I865" s="788">
        <v>7231475.8392459862</v>
      </c>
      <c r="J865" s="788">
        <v>2150970.8872089679</v>
      </c>
      <c r="K865" s="788">
        <v>3443823.5282921181</v>
      </c>
      <c r="L865" s="788">
        <v>1394468.4202984229</v>
      </c>
      <c r="M865" s="788">
        <v>1368207.9759016312</v>
      </c>
      <c r="N865" s="788">
        <v>597511.72494728863</v>
      </c>
      <c r="O865" s="788">
        <v>18849.770558284483</v>
      </c>
      <c r="P865" s="772">
        <v>0</v>
      </c>
      <c r="Q865" s="774"/>
      <c r="R865" s="774"/>
      <c r="S865" s="774"/>
      <c r="T865" s="774"/>
      <c r="U865" s="774"/>
      <c r="V865" s="774"/>
    </row>
    <row r="866" spans="1:22" hidden="1">
      <c r="A866" s="786">
        <v>866</v>
      </c>
      <c r="B866" s="767"/>
      <c r="C866" s="767" t="s">
        <v>1133</v>
      </c>
      <c r="D866" s="775" t="s">
        <v>1134</v>
      </c>
      <c r="E866" s="767"/>
      <c r="F866" s="806"/>
      <c r="G866" s="778"/>
      <c r="H866" s="810"/>
      <c r="I866" s="810"/>
      <c r="J866" s="810"/>
      <c r="K866" s="810"/>
      <c r="L866" s="810"/>
      <c r="M866" s="810"/>
      <c r="N866" s="810"/>
      <c r="O866" s="810"/>
      <c r="P866" s="772"/>
      <c r="R866" s="774"/>
    </row>
    <row r="867" spans="1:22" hidden="1">
      <c r="A867" s="786">
        <v>867</v>
      </c>
      <c r="B867" s="767"/>
      <c r="E867" s="767" t="s">
        <v>210</v>
      </c>
      <c r="F867" s="806" t="s">
        <v>1396</v>
      </c>
      <c r="G867" s="778"/>
      <c r="H867" s="815">
        <v>277787561.88258564</v>
      </c>
      <c r="I867" s="815">
        <v>123960249.57024294</v>
      </c>
      <c r="J867" s="815">
        <v>36871434.534800597</v>
      </c>
      <c r="K867" s="815">
        <v>59033208.923432894</v>
      </c>
      <c r="L867" s="815">
        <v>23903648.057550393</v>
      </c>
      <c r="M867" s="815">
        <v>23453497.726744447</v>
      </c>
      <c r="N867" s="815">
        <v>10242404.758325953</v>
      </c>
      <c r="O867" s="815">
        <v>323118.31148846063</v>
      </c>
      <c r="P867" s="772">
        <v>0</v>
      </c>
      <c r="Q867" s="774"/>
      <c r="R867" s="774">
        <v>1415</v>
      </c>
      <c r="S867" s="774"/>
      <c r="T867" s="774"/>
      <c r="U867" s="774"/>
      <c r="V867" s="774"/>
    </row>
    <row r="868" spans="1:22" hidden="1">
      <c r="A868" s="786">
        <v>868</v>
      </c>
      <c r="B868" s="767"/>
      <c r="C868" s="767"/>
      <c r="D868" s="767"/>
      <c r="E868" s="767" t="s">
        <v>1131</v>
      </c>
      <c r="F868" s="806" t="s">
        <v>575</v>
      </c>
      <c r="G868" s="811"/>
      <c r="H868" s="831">
        <v>0</v>
      </c>
      <c r="I868" s="831">
        <v>0</v>
      </c>
      <c r="J868" s="831">
        <v>0</v>
      </c>
      <c r="K868" s="831">
        <v>0</v>
      </c>
      <c r="L868" s="831">
        <v>0</v>
      </c>
      <c r="M868" s="831">
        <v>0</v>
      </c>
      <c r="N868" s="831">
        <v>0</v>
      </c>
      <c r="O868" s="831">
        <v>0</v>
      </c>
      <c r="P868" s="772">
        <v>0</v>
      </c>
      <c r="Q868" s="774"/>
      <c r="R868" s="774"/>
      <c r="S868" s="774"/>
      <c r="T868" s="774"/>
      <c r="U868" s="774"/>
      <c r="V868" s="774"/>
    </row>
    <row r="869" spans="1:22" hidden="1">
      <c r="A869" s="786">
        <v>869</v>
      </c>
      <c r="B869" s="767"/>
      <c r="C869" s="767"/>
      <c r="D869" s="767"/>
      <c r="E869" s="767"/>
      <c r="F869" s="806"/>
      <c r="G869" s="778"/>
      <c r="H869" s="788">
        <v>277787561.88258564</v>
      </c>
      <c r="I869" s="788">
        <v>123960249.57024294</v>
      </c>
      <c r="J869" s="788">
        <v>36871434.534800597</v>
      </c>
      <c r="K869" s="788">
        <v>59033208.923432894</v>
      </c>
      <c r="L869" s="788">
        <v>23903648.057550393</v>
      </c>
      <c r="M869" s="788">
        <v>23453497.726744447</v>
      </c>
      <c r="N869" s="788">
        <v>10242404.758325953</v>
      </c>
      <c r="O869" s="788">
        <v>323118.31148846063</v>
      </c>
      <c r="P869" s="772">
        <v>0</v>
      </c>
      <c r="Q869" s="774"/>
      <c r="R869" s="774"/>
      <c r="S869" s="774"/>
      <c r="T869" s="774"/>
      <c r="U869" s="774"/>
      <c r="V869" s="774"/>
    </row>
    <row r="870" spans="1:22" hidden="1">
      <c r="A870" s="786">
        <v>870</v>
      </c>
      <c r="B870" s="767"/>
      <c r="C870" s="767" t="s">
        <v>1135</v>
      </c>
      <c r="D870" s="775" t="s">
        <v>1136</v>
      </c>
      <c r="E870" s="767"/>
      <c r="F870" s="806"/>
      <c r="G870" s="778"/>
      <c r="H870" s="810"/>
      <c r="I870" s="810"/>
      <c r="J870" s="810"/>
      <c r="K870" s="810"/>
      <c r="L870" s="810"/>
      <c r="M870" s="810"/>
      <c r="N870" s="810"/>
      <c r="O870" s="810"/>
      <c r="P870" s="772"/>
      <c r="R870" s="774"/>
    </row>
    <row r="871" spans="1:22" hidden="1">
      <c r="A871" s="786">
        <v>871</v>
      </c>
      <c r="B871" s="767"/>
      <c r="E871" s="767" t="s">
        <v>210</v>
      </c>
      <c r="F871" s="806" t="s">
        <v>1396</v>
      </c>
      <c r="G871" s="778"/>
      <c r="H871" s="815">
        <v>45965109.663104855</v>
      </c>
      <c r="I871" s="815">
        <v>20511524.802433055</v>
      </c>
      <c r="J871" s="815">
        <v>6101063.4181830408</v>
      </c>
      <c r="K871" s="815">
        <v>9768140.4579139967</v>
      </c>
      <c r="L871" s="815">
        <v>3955302.3787939665</v>
      </c>
      <c r="M871" s="815">
        <v>3880816.6488348837</v>
      </c>
      <c r="N871" s="815">
        <v>1694796.0331260359</v>
      </c>
      <c r="O871" s="815">
        <v>53465.923819879426</v>
      </c>
      <c r="P871" s="772">
        <v>0</v>
      </c>
      <c r="Q871" s="774"/>
      <c r="R871" s="774">
        <v>1421</v>
      </c>
      <c r="S871" s="774"/>
      <c r="T871" s="774"/>
      <c r="U871" s="774"/>
      <c r="V871" s="774"/>
    </row>
    <row r="872" spans="1:22" hidden="1">
      <c r="A872" s="786">
        <v>872</v>
      </c>
      <c r="B872" s="767"/>
      <c r="C872" s="767"/>
      <c r="D872" s="767"/>
      <c r="E872" s="767" t="s">
        <v>1131</v>
      </c>
      <c r="F872" s="806" t="s">
        <v>575</v>
      </c>
      <c r="G872" s="811"/>
      <c r="H872" s="831">
        <v>0</v>
      </c>
      <c r="I872" s="831">
        <v>0</v>
      </c>
      <c r="J872" s="831">
        <v>0</v>
      </c>
      <c r="K872" s="831">
        <v>0</v>
      </c>
      <c r="L872" s="831">
        <v>0</v>
      </c>
      <c r="M872" s="831">
        <v>0</v>
      </c>
      <c r="N872" s="831">
        <v>0</v>
      </c>
      <c r="O872" s="831">
        <v>0</v>
      </c>
      <c r="P872" s="772">
        <v>0</v>
      </c>
      <c r="Q872" s="774"/>
      <c r="R872" s="774"/>
      <c r="S872" s="774"/>
      <c r="T872" s="774"/>
      <c r="U872" s="774"/>
      <c r="V872" s="774"/>
    </row>
    <row r="873" spans="1:22" hidden="1">
      <c r="A873" s="786">
        <v>873</v>
      </c>
      <c r="B873" s="767"/>
      <c r="C873" s="767"/>
      <c r="D873" s="767"/>
      <c r="E873" s="767"/>
      <c r="F873" s="806"/>
      <c r="G873" s="778"/>
      <c r="H873" s="788">
        <v>45965109.663104855</v>
      </c>
      <c r="I873" s="788">
        <v>20511524.802433055</v>
      </c>
      <c r="J873" s="788">
        <v>6101063.4181830408</v>
      </c>
      <c r="K873" s="788">
        <v>9768140.4579139967</v>
      </c>
      <c r="L873" s="788">
        <v>3955302.3787939665</v>
      </c>
      <c r="M873" s="788">
        <v>3880816.6488348837</v>
      </c>
      <c r="N873" s="788">
        <v>1694796.0331260359</v>
      </c>
      <c r="O873" s="788">
        <v>53465.923819879426</v>
      </c>
      <c r="P873" s="772">
        <v>0</v>
      </c>
      <c r="Q873" s="774"/>
      <c r="R873" s="774"/>
      <c r="S873" s="774"/>
      <c r="T873" s="774"/>
      <c r="U873" s="774"/>
      <c r="V873" s="774"/>
    </row>
    <row r="874" spans="1:22" hidden="1">
      <c r="A874" s="786">
        <v>874</v>
      </c>
      <c r="B874" s="767"/>
      <c r="C874" s="767" t="s">
        <v>1137</v>
      </c>
      <c r="D874" s="775" t="s">
        <v>1138</v>
      </c>
      <c r="E874" s="767"/>
      <c r="F874" s="806"/>
      <c r="G874" s="778"/>
      <c r="H874" s="810"/>
      <c r="I874" s="810"/>
      <c r="J874" s="810"/>
      <c r="K874" s="810"/>
      <c r="L874" s="810"/>
      <c r="M874" s="810"/>
      <c r="N874" s="810"/>
      <c r="O874" s="810"/>
      <c r="P874" s="772"/>
      <c r="R874" s="774"/>
    </row>
    <row r="875" spans="1:22" hidden="1">
      <c r="A875" s="786">
        <v>875</v>
      </c>
      <c r="B875" s="767"/>
      <c r="E875" s="767" t="s">
        <v>210</v>
      </c>
      <c r="F875" s="806" t="s">
        <v>1396</v>
      </c>
      <c r="G875" s="778"/>
      <c r="H875" s="815">
        <v>157402058.87639761</v>
      </c>
      <c r="I875" s="815">
        <v>70239280.581739724</v>
      </c>
      <c r="J875" s="815">
        <v>20892367.067021478</v>
      </c>
      <c r="K875" s="815">
        <v>33449836.859709207</v>
      </c>
      <c r="L875" s="815">
        <v>13544463.234482575</v>
      </c>
      <c r="M875" s="815">
        <v>13289395.698727695</v>
      </c>
      <c r="N875" s="815">
        <v>5803627.7286142344</v>
      </c>
      <c r="O875" s="815">
        <v>183087.70610271598</v>
      </c>
      <c r="P875" s="772">
        <v>0</v>
      </c>
      <c r="Q875" s="774"/>
      <c r="R875" s="774">
        <v>1428</v>
      </c>
      <c r="S875" s="774"/>
      <c r="T875" s="774"/>
      <c r="U875" s="774"/>
      <c r="V875" s="774"/>
    </row>
    <row r="876" spans="1:22" hidden="1">
      <c r="A876" s="786">
        <v>876</v>
      </c>
      <c r="B876" s="767"/>
      <c r="C876" s="767"/>
      <c r="D876" s="767"/>
      <c r="E876" s="767" t="s">
        <v>1131</v>
      </c>
      <c r="F876" s="806" t="s">
        <v>575</v>
      </c>
      <c r="G876" s="811"/>
      <c r="H876" s="831">
        <v>0</v>
      </c>
      <c r="I876" s="831">
        <v>0</v>
      </c>
      <c r="J876" s="831">
        <v>0</v>
      </c>
      <c r="K876" s="831">
        <v>0</v>
      </c>
      <c r="L876" s="831">
        <v>0</v>
      </c>
      <c r="M876" s="831">
        <v>0</v>
      </c>
      <c r="N876" s="831">
        <v>0</v>
      </c>
      <c r="O876" s="831">
        <v>0</v>
      </c>
      <c r="P876" s="772">
        <v>0</v>
      </c>
      <c r="Q876" s="774"/>
      <c r="R876" s="774"/>
      <c r="S876" s="774"/>
      <c r="T876" s="774"/>
      <c r="U876" s="774"/>
      <c r="V876" s="774"/>
    </row>
    <row r="877" spans="1:22" hidden="1">
      <c r="A877" s="786">
        <v>877</v>
      </c>
      <c r="B877" s="767"/>
      <c r="C877" s="767"/>
      <c r="D877" s="767"/>
      <c r="E877" s="767"/>
      <c r="F877" s="806"/>
      <c r="G877" s="778"/>
      <c r="H877" s="788">
        <v>157402058.87639764</v>
      </c>
      <c r="I877" s="788">
        <v>70239280.581739724</v>
      </c>
      <c r="J877" s="788">
        <v>20892367.067021478</v>
      </c>
      <c r="K877" s="788">
        <v>33449836.859709207</v>
      </c>
      <c r="L877" s="788">
        <v>13544463.234482575</v>
      </c>
      <c r="M877" s="788">
        <v>13289395.698727695</v>
      </c>
      <c r="N877" s="788">
        <v>5803627.7286142344</v>
      </c>
      <c r="O877" s="788">
        <v>183087.70610271598</v>
      </c>
      <c r="P877" s="772">
        <v>0</v>
      </c>
      <c r="Q877" s="774"/>
      <c r="R877" s="774"/>
      <c r="S877" s="774"/>
      <c r="T877" s="774"/>
      <c r="U877" s="774"/>
      <c r="V877" s="774"/>
    </row>
    <row r="878" spans="1:22" hidden="1">
      <c r="A878" s="786">
        <v>878</v>
      </c>
      <c r="B878" s="767"/>
      <c r="C878" s="767" t="s">
        <v>1139</v>
      </c>
      <c r="D878" s="775" t="s">
        <v>1140</v>
      </c>
      <c r="E878" s="767"/>
      <c r="F878" s="806"/>
      <c r="G878" s="778"/>
      <c r="H878" s="810"/>
      <c r="I878" s="810"/>
      <c r="J878" s="810"/>
      <c r="K878" s="810"/>
      <c r="L878" s="810"/>
      <c r="M878" s="810"/>
      <c r="N878" s="810"/>
      <c r="O878" s="810"/>
      <c r="P878" s="772"/>
      <c r="R878" s="774"/>
    </row>
    <row r="879" spans="1:22" hidden="1">
      <c r="A879" s="786">
        <v>879</v>
      </c>
      <c r="B879" s="767"/>
      <c r="E879" s="767" t="s">
        <v>210</v>
      </c>
      <c r="F879" s="806" t="s">
        <v>1396</v>
      </c>
      <c r="G879" s="778"/>
      <c r="H879" s="815">
        <v>76501643.27426371</v>
      </c>
      <c r="I879" s="815">
        <v>34138183.612482041</v>
      </c>
      <c r="J879" s="815">
        <v>10154253.533439117</v>
      </c>
      <c r="K879" s="815">
        <v>16257522.330335334</v>
      </c>
      <c r="L879" s="815">
        <v>6582974.2133134184</v>
      </c>
      <c r="M879" s="815">
        <v>6459004.5157728782</v>
      </c>
      <c r="N879" s="815">
        <v>2820719.5087563572</v>
      </c>
      <c r="O879" s="815">
        <v>88985.560164572176</v>
      </c>
      <c r="P879" s="772">
        <v>0</v>
      </c>
      <c r="Q879" s="774"/>
      <c r="R879" s="774">
        <v>1434</v>
      </c>
      <c r="S879" s="774"/>
      <c r="T879" s="774"/>
      <c r="U879" s="774"/>
      <c r="V879" s="774"/>
    </row>
    <row r="880" spans="1:22" hidden="1">
      <c r="A880" s="786">
        <v>880</v>
      </c>
      <c r="B880" s="767"/>
      <c r="C880" s="767"/>
      <c r="D880" s="767"/>
      <c r="E880" s="767" t="s">
        <v>1131</v>
      </c>
      <c r="F880" s="806" t="s">
        <v>575</v>
      </c>
      <c r="G880" s="811"/>
      <c r="H880" s="831">
        <v>0</v>
      </c>
      <c r="I880" s="831">
        <v>0</v>
      </c>
      <c r="J880" s="831">
        <v>0</v>
      </c>
      <c r="K880" s="831">
        <v>0</v>
      </c>
      <c r="L880" s="831">
        <v>0</v>
      </c>
      <c r="M880" s="831">
        <v>0</v>
      </c>
      <c r="N880" s="831">
        <v>0</v>
      </c>
      <c r="O880" s="831">
        <v>0</v>
      </c>
      <c r="P880" s="772">
        <v>0</v>
      </c>
      <c r="Q880" s="774"/>
      <c r="R880" s="774"/>
      <c r="S880" s="774"/>
      <c r="T880" s="774"/>
      <c r="U880" s="774"/>
      <c r="V880" s="774"/>
    </row>
    <row r="881" spans="1:22" hidden="1">
      <c r="A881" s="786">
        <v>881</v>
      </c>
      <c r="B881" s="767"/>
      <c r="C881" s="767"/>
      <c r="D881" s="767"/>
      <c r="E881" s="767"/>
      <c r="F881" s="806"/>
      <c r="G881" s="778"/>
      <c r="H881" s="788">
        <v>76501643.27426371</v>
      </c>
      <c r="I881" s="788">
        <v>34138183.612482041</v>
      </c>
      <c r="J881" s="788">
        <v>10154253.533439117</v>
      </c>
      <c r="K881" s="788">
        <v>16257522.330335334</v>
      </c>
      <c r="L881" s="788">
        <v>6582974.2133134184</v>
      </c>
      <c r="M881" s="788">
        <v>6459004.5157728782</v>
      </c>
      <c r="N881" s="788">
        <v>2820719.5087563572</v>
      </c>
      <c r="O881" s="788">
        <v>88985.560164572176</v>
      </c>
      <c r="P881" s="772">
        <v>0</v>
      </c>
      <c r="Q881" s="774"/>
      <c r="R881" s="774"/>
      <c r="S881" s="774"/>
      <c r="T881" s="774"/>
      <c r="U881" s="774"/>
      <c r="V881" s="774"/>
    </row>
    <row r="882" spans="1:22" hidden="1">
      <c r="A882" s="786">
        <v>882</v>
      </c>
      <c r="B882" s="767"/>
      <c r="C882" s="767" t="s">
        <v>1141</v>
      </c>
      <c r="D882" s="767" t="s">
        <v>1142</v>
      </c>
      <c r="E882" s="767"/>
      <c r="F882" s="806"/>
      <c r="G882" s="778"/>
      <c r="H882" s="810"/>
      <c r="I882" s="810"/>
      <c r="J882" s="810"/>
      <c r="K882" s="810"/>
      <c r="L882" s="810"/>
      <c r="M882" s="810"/>
      <c r="N882" s="810"/>
      <c r="O882" s="810"/>
      <c r="P882" s="772"/>
      <c r="R882" s="774"/>
    </row>
    <row r="883" spans="1:22" hidden="1">
      <c r="A883" s="786">
        <v>883</v>
      </c>
      <c r="B883" s="767"/>
      <c r="E883" s="767" t="s">
        <v>210</v>
      </c>
      <c r="F883" s="806" t="s">
        <v>1396</v>
      </c>
      <c r="G883" s="778"/>
      <c r="H883" s="815">
        <v>95169.4819133087</v>
      </c>
      <c r="I883" s="815">
        <v>42468.54196600381</v>
      </c>
      <c r="J883" s="815">
        <v>12632.082222459761</v>
      </c>
      <c r="K883" s="815">
        <v>20224.663303311925</v>
      </c>
      <c r="L883" s="815">
        <v>8189.3436338833826</v>
      </c>
      <c r="M883" s="815">
        <v>8035.1230004051486</v>
      </c>
      <c r="N883" s="815">
        <v>3509.028078112075</v>
      </c>
      <c r="O883" s="815">
        <v>110.69970913261277</v>
      </c>
      <c r="P883" s="772">
        <v>0</v>
      </c>
      <c r="Q883" s="774"/>
      <c r="R883" s="774">
        <v>1440</v>
      </c>
      <c r="S883" s="774"/>
      <c r="T883" s="774"/>
      <c r="U883" s="774"/>
      <c r="V883" s="774"/>
    </row>
    <row r="884" spans="1:22" hidden="1">
      <c r="A884" s="786">
        <v>884</v>
      </c>
      <c r="B884" s="767"/>
      <c r="C884" s="767"/>
      <c r="D884" s="767"/>
      <c r="E884" s="767" t="s">
        <v>1131</v>
      </c>
      <c r="F884" s="806" t="s">
        <v>575</v>
      </c>
      <c r="G884" s="811"/>
      <c r="H884" s="831">
        <v>0</v>
      </c>
      <c r="I884" s="831">
        <v>0</v>
      </c>
      <c r="J884" s="831">
        <v>0</v>
      </c>
      <c r="K884" s="831">
        <v>0</v>
      </c>
      <c r="L884" s="831">
        <v>0</v>
      </c>
      <c r="M884" s="831">
        <v>0</v>
      </c>
      <c r="N884" s="831">
        <v>0</v>
      </c>
      <c r="O884" s="831">
        <v>0</v>
      </c>
      <c r="P884" s="772">
        <v>0</v>
      </c>
      <c r="Q884" s="774"/>
      <c r="R884" s="774"/>
      <c r="S884" s="774"/>
      <c r="T884" s="774"/>
      <c r="U884" s="774"/>
      <c r="V884" s="774"/>
    </row>
    <row r="885" spans="1:22" hidden="1">
      <c r="A885" s="786">
        <v>885</v>
      </c>
      <c r="B885" s="767"/>
      <c r="C885" s="767"/>
      <c r="D885" s="767"/>
      <c r="E885" s="767"/>
      <c r="F885" s="806"/>
      <c r="G885" s="778"/>
      <c r="H885" s="788">
        <v>95169.481913308729</v>
      </c>
      <c r="I885" s="788">
        <v>42468.54196600381</v>
      </c>
      <c r="J885" s="788">
        <v>12632.082222459761</v>
      </c>
      <c r="K885" s="788">
        <v>20224.663303311925</v>
      </c>
      <c r="L885" s="788">
        <v>8189.3436338833826</v>
      </c>
      <c r="M885" s="788">
        <v>8035.1230004051486</v>
      </c>
      <c r="N885" s="788">
        <v>3509.028078112075</v>
      </c>
      <c r="O885" s="788">
        <v>110.69970913261277</v>
      </c>
      <c r="P885" s="772">
        <v>0</v>
      </c>
      <c r="Q885" s="774"/>
      <c r="R885" s="774"/>
      <c r="S885" s="774"/>
      <c r="T885" s="774"/>
      <c r="U885" s="774"/>
      <c r="V885" s="774"/>
    </row>
    <row r="886" spans="1:22" hidden="1">
      <c r="A886" s="786">
        <v>886</v>
      </c>
      <c r="B886" s="767"/>
      <c r="C886" s="767" t="s">
        <v>1143</v>
      </c>
      <c r="D886" s="767" t="s">
        <v>1144</v>
      </c>
      <c r="E886" s="767"/>
      <c r="F886" s="806"/>
      <c r="G886" s="778"/>
      <c r="H886" s="810"/>
      <c r="I886" s="810"/>
      <c r="J886" s="810"/>
      <c r="K886" s="810"/>
      <c r="L886" s="810"/>
      <c r="M886" s="810"/>
      <c r="N886" s="810"/>
      <c r="O886" s="810"/>
      <c r="P886" s="772"/>
      <c r="R886" s="774"/>
    </row>
    <row r="887" spans="1:22" hidden="1">
      <c r="A887" s="786">
        <v>887</v>
      </c>
      <c r="B887" s="767"/>
      <c r="E887" s="767" t="s">
        <v>210</v>
      </c>
      <c r="F887" s="806" t="s">
        <v>1396</v>
      </c>
      <c r="G887" s="778"/>
      <c r="H887" s="815">
        <v>66147.521128439505</v>
      </c>
      <c r="I887" s="815">
        <v>29517.747922061702</v>
      </c>
      <c r="J887" s="815">
        <v>8779.9251283881658</v>
      </c>
      <c r="K887" s="815">
        <v>14057.146432614112</v>
      </c>
      <c r="L887" s="815">
        <v>5692.0009456791995</v>
      </c>
      <c r="M887" s="815">
        <v>5584.8099385795149</v>
      </c>
      <c r="N887" s="815">
        <v>2438.948960010538</v>
      </c>
      <c r="O887" s="815">
        <v>76.941801106281062</v>
      </c>
      <c r="P887" s="772">
        <v>0</v>
      </c>
      <c r="Q887" s="774"/>
      <c r="R887" s="774">
        <v>1446</v>
      </c>
      <c r="S887" s="774"/>
      <c r="T887" s="774"/>
      <c r="U887" s="774"/>
      <c r="V887" s="774"/>
    </row>
    <row r="888" spans="1:22" hidden="1">
      <c r="A888" s="786">
        <v>888</v>
      </c>
      <c r="B888" s="767"/>
      <c r="C888" s="767"/>
      <c r="D888" s="767"/>
      <c r="E888" s="767" t="s">
        <v>1131</v>
      </c>
      <c r="F888" s="806" t="s">
        <v>575</v>
      </c>
      <c r="G888" s="811"/>
      <c r="H888" s="831">
        <v>0</v>
      </c>
      <c r="I888" s="831">
        <v>0</v>
      </c>
      <c r="J888" s="831">
        <v>0</v>
      </c>
      <c r="K888" s="831">
        <v>0</v>
      </c>
      <c r="L888" s="831">
        <v>0</v>
      </c>
      <c r="M888" s="831">
        <v>0</v>
      </c>
      <c r="N888" s="831">
        <v>0</v>
      </c>
      <c r="O888" s="831">
        <v>0</v>
      </c>
      <c r="P888" s="772">
        <v>0</v>
      </c>
      <c r="Q888" s="774"/>
      <c r="R888" s="774"/>
      <c r="S888" s="774"/>
      <c r="T888" s="774"/>
      <c r="U888" s="774"/>
      <c r="V888" s="774"/>
    </row>
    <row r="889" spans="1:22" hidden="1">
      <c r="A889" s="786">
        <v>889</v>
      </c>
      <c r="B889" s="767"/>
      <c r="C889" s="767"/>
      <c r="D889" s="767"/>
      <c r="E889" s="767"/>
      <c r="F889" s="806"/>
      <c r="G889" s="778"/>
      <c r="H889" s="788">
        <v>66147.521128439519</v>
      </c>
      <c r="I889" s="788">
        <v>29517.747922061702</v>
      </c>
      <c r="J889" s="788">
        <v>8779.9251283881658</v>
      </c>
      <c r="K889" s="788">
        <v>14057.146432614112</v>
      </c>
      <c r="L889" s="788">
        <v>5692.0009456791995</v>
      </c>
      <c r="M889" s="788">
        <v>5584.8099385795149</v>
      </c>
      <c r="N889" s="788">
        <v>2438.948960010538</v>
      </c>
      <c r="O889" s="788">
        <v>76.941801106281062</v>
      </c>
      <c r="P889" s="772">
        <v>0</v>
      </c>
      <c r="Q889" s="774"/>
      <c r="R889" s="774"/>
      <c r="S889" s="774"/>
      <c r="T889" s="774"/>
      <c r="U889" s="774"/>
      <c r="V889" s="774"/>
    </row>
    <row r="890" spans="1:22" hidden="1">
      <c r="A890" s="786">
        <v>890</v>
      </c>
      <c r="B890" s="767"/>
      <c r="C890" s="767" t="s">
        <v>1145</v>
      </c>
      <c r="D890" s="767" t="s">
        <v>1146</v>
      </c>
      <c r="E890" s="767"/>
      <c r="F890" s="806"/>
      <c r="G890" s="778"/>
      <c r="H890" s="810"/>
      <c r="I890" s="810"/>
      <c r="J890" s="810"/>
      <c r="K890" s="810"/>
      <c r="L890" s="810"/>
      <c r="M890" s="810"/>
      <c r="N890" s="810"/>
      <c r="O890" s="810"/>
      <c r="P890" s="772"/>
      <c r="R890" s="774"/>
    </row>
    <row r="891" spans="1:22" hidden="1">
      <c r="A891" s="786">
        <v>891</v>
      </c>
      <c r="B891" s="767"/>
      <c r="E891" s="767" t="s">
        <v>210</v>
      </c>
      <c r="F891" s="806" t="s">
        <v>1396</v>
      </c>
      <c r="G891" s="778"/>
      <c r="H891" s="815">
        <v>1524624.5217733565</v>
      </c>
      <c r="I891" s="815">
        <v>680350.24656654871</v>
      </c>
      <c r="J891" s="815">
        <v>202367.20774589179</v>
      </c>
      <c r="K891" s="815">
        <v>324001.10830620234</v>
      </c>
      <c r="L891" s="815">
        <v>131194.09573775466</v>
      </c>
      <c r="M891" s="815">
        <v>128723.46592200639</v>
      </c>
      <c r="N891" s="815">
        <v>56214.977195675521</v>
      </c>
      <c r="O891" s="815">
        <v>1773.4202992772359</v>
      </c>
      <c r="P891" s="772">
        <v>0</v>
      </c>
      <c r="Q891" s="774"/>
      <c r="R891" s="774">
        <v>1452</v>
      </c>
      <c r="S891" s="774"/>
      <c r="T891" s="774"/>
      <c r="U891" s="774"/>
      <c r="V891" s="774"/>
    </row>
    <row r="892" spans="1:22" hidden="1">
      <c r="A892" s="786">
        <v>892</v>
      </c>
      <c r="B892" s="767"/>
      <c r="C892" s="767"/>
      <c r="D892" s="767"/>
      <c r="E892" s="767" t="s">
        <v>1131</v>
      </c>
      <c r="F892" s="806" t="s">
        <v>575</v>
      </c>
      <c r="G892" s="811"/>
      <c r="H892" s="831">
        <v>0</v>
      </c>
      <c r="I892" s="831">
        <v>0</v>
      </c>
      <c r="J892" s="831">
        <v>0</v>
      </c>
      <c r="K892" s="831">
        <v>0</v>
      </c>
      <c r="L892" s="831">
        <v>0</v>
      </c>
      <c r="M892" s="831">
        <v>0</v>
      </c>
      <c r="N892" s="831">
        <v>0</v>
      </c>
      <c r="O892" s="831">
        <v>0</v>
      </c>
      <c r="P892" s="772">
        <v>0</v>
      </c>
      <c r="Q892" s="774"/>
      <c r="R892" s="774"/>
      <c r="S892" s="774"/>
      <c r="T892" s="774"/>
      <c r="U892" s="774"/>
      <c r="V892" s="774"/>
    </row>
    <row r="893" spans="1:22" hidden="1">
      <c r="A893" s="786">
        <v>893</v>
      </c>
      <c r="B893" s="767"/>
      <c r="C893" s="767"/>
      <c r="D893" s="767"/>
      <c r="E893" s="767"/>
      <c r="F893" s="806"/>
      <c r="G893" s="778"/>
      <c r="H893" s="788">
        <v>1524624.5217733565</v>
      </c>
      <c r="I893" s="788">
        <v>680350.24656654871</v>
      </c>
      <c r="J893" s="788">
        <v>202367.20774589179</v>
      </c>
      <c r="K893" s="788">
        <v>324001.10830620234</v>
      </c>
      <c r="L893" s="788">
        <v>131194.09573775466</v>
      </c>
      <c r="M893" s="788">
        <v>128723.46592200639</v>
      </c>
      <c r="N893" s="788">
        <v>56214.977195675521</v>
      </c>
      <c r="O893" s="788">
        <v>1773.4202992772359</v>
      </c>
      <c r="P893" s="772">
        <v>0</v>
      </c>
      <c r="Q893" s="774"/>
      <c r="R893" s="774"/>
      <c r="S893" s="774"/>
      <c r="T893" s="774"/>
      <c r="U893" s="774"/>
      <c r="V893" s="774"/>
    </row>
    <row r="894" spans="1:22" hidden="1">
      <c r="A894" s="786">
        <v>894</v>
      </c>
      <c r="B894" s="767"/>
      <c r="C894" s="767"/>
      <c r="D894" s="767"/>
      <c r="E894" s="767"/>
      <c r="F894" s="806"/>
      <c r="G894" s="778"/>
      <c r="H894" s="788"/>
      <c r="I894" s="788"/>
      <c r="J894" s="788"/>
      <c r="K894" s="788"/>
      <c r="L894" s="788"/>
      <c r="M894" s="788"/>
      <c r="N894" s="788"/>
      <c r="O894" s="788"/>
      <c r="P894" s="772"/>
      <c r="R894" s="774"/>
    </row>
    <row r="895" spans="1:22" hidden="1">
      <c r="A895" s="786">
        <v>895</v>
      </c>
      <c r="B895" s="767"/>
      <c r="C895" s="767" t="s">
        <v>1147</v>
      </c>
      <c r="D895" s="767" t="s">
        <v>1148</v>
      </c>
      <c r="E895" s="767"/>
      <c r="F895" s="806" t="s">
        <v>1392</v>
      </c>
      <c r="G895" s="778"/>
      <c r="H895" s="815">
        <v>8470059.1607269756</v>
      </c>
      <c r="I895" s="815">
        <v>3779689.199627405</v>
      </c>
      <c r="J895" s="815">
        <v>1124252.0353831972</v>
      </c>
      <c r="K895" s="815">
        <v>1799989.7786653847</v>
      </c>
      <c r="L895" s="815">
        <v>728849.45543467382</v>
      </c>
      <c r="M895" s="815">
        <v>715123.859128966</v>
      </c>
      <c r="N895" s="815">
        <v>312302.58713959664</v>
      </c>
      <c r="O895" s="815">
        <v>9852.2453477534164</v>
      </c>
      <c r="P895" s="772">
        <v>0</v>
      </c>
      <c r="Q895" s="774"/>
      <c r="R895" s="774">
        <v>1457</v>
      </c>
      <c r="S895" s="774"/>
      <c r="T895" s="774"/>
      <c r="U895" s="774"/>
      <c r="V895" s="774"/>
    </row>
    <row r="896" spans="1:22" hidden="1">
      <c r="A896" s="786">
        <v>896</v>
      </c>
      <c r="B896" s="767"/>
      <c r="C896" s="767" t="s">
        <v>1149</v>
      </c>
      <c r="D896" s="767" t="s">
        <v>1150</v>
      </c>
      <c r="E896" s="767"/>
      <c r="F896" s="806" t="s">
        <v>1392</v>
      </c>
      <c r="G896" s="778"/>
      <c r="H896" s="828">
        <v>0</v>
      </c>
      <c r="I896" s="828">
        <v>0</v>
      </c>
      <c r="J896" s="828">
        <v>0</v>
      </c>
      <c r="K896" s="828">
        <v>0</v>
      </c>
      <c r="L896" s="828">
        <v>0</v>
      </c>
      <c r="M896" s="828">
        <v>0</v>
      </c>
      <c r="N896" s="828">
        <v>0</v>
      </c>
      <c r="O896" s="828">
        <v>0</v>
      </c>
      <c r="P896" s="772">
        <v>0</v>
      </c>
      <c r="Q896" s="774"/>
      <c r="R896" s="774">
        <v>1461</v>
      </c>
      <c r="S896" s="774"/>
      <c r="T896" s="774"/>
      <c r="U896" s="774"/>
      <c r="V896" s="774"/>
    </row>
    <row r="897" spans="1:22" hidden="1">
      <c r="A897" s="786">
        <v>897</v>
      </c>
      <c r="B897" s="767"/>
      <c r="C897" s="767"/>
      <c r="D897" s="767"/>
      <c r="E897" s="767"/>
      <c r="F897" s="806"/>
      <c r="G897" s="778"/>
      <c r="H897" s="788"/>
      <c r="I897" s="788"/>
      <c r="J897" s="788"/>
      <c r="K897" s="788"/>
      <c r="L897" s="788"/>
      <c r="M897" s="788"/>
      <c r="N897" s="788"/>
      <c r="O897" s="788"/>
      <c r="P897" s="772"/>
      <c r="R897" s="774"/>
    </row>
    <row r="898" spans="1:22" ht="13.5" thickTop="1">
      <c r="A898" s="786">
        <v>898</v>
      </c>
      <c r="B898" s="767"/>
      <c r="C898" s="767" t="s">
        <v>1151</v>
      </c>
      <c r="D898" s="767"/>
      <c r="E898" s="767"/>
      <c r="F898" s="806"/>
      <c r="G898" s="778"/>
      <c r="H898" s="815">
        <v>592388088.5827055</v>
      </c>
      <c r="I898" s="815">
        <v>264347960.022017</v>
      </c>
      <c r="J898" s="815">
        <v>78629145.521659702</v>
      </c>
      <c r="K898" s="815">
        <v>125889617.08745319</v>
      </c>
      <c r="L898" s="815">
        <v>50975055.495649502</v>
      </c>
      <c r="M898" s="815">
        <v>50015100.009400204</v>
      </c>
      <c r="N898" s="815">
        <v>21842153.53688046</v>
      </c>
      <c r="O898" s="815">
        <v>689056.90964531247</v>
      </c>
      <c r="P898" s="772">
        <v>0</v>
      </c>
      <c r="Q898" s="774"/>
      <c r="R898" s="774"/>
      <c r="S898" s="774"/>
      <c r="T898" s="774"/>
      <c r="U898" s="774"/>
      <c r="V898" s="774"/>
    </row>
    <row r="899" spans="1:22" hidden="1">
      <c r="A899" s="786">
        <v>899</v>
      </c>
      <c r="B899" s="767"/>
      <c r="C899" s="781" t="s">
        <v>714</v>
      </c>
      <c r="D899" s="767"/>
      <c r="E899" s="767"/>
      <c r="F899" s="806"/>
      <c r="G899" s="778"/>
      <c r="H899" s="817" t="s">
        <v>1152</v>
      </c>
      <c r="I899" s="817"/>
      <c r="J899" s="817"/>
      <c r="K899" s="817"/>
      <c r="L899" s="817"/>
      <c r="M899" s="817"/>
      <c r="N899" s="817"/>
      <c r="O899" s="817"/>
      <c r="P899" s="772"/>
      <c r="R899" s="774"/>
    </row>
    <row r="900" spans="1:22" hidden="1">
      <c r="A900" s="786">
        <v>900</v>
      </c>
      <c r="B900" s="767"/>
      <c r="C900" s="777" t="s">
        <v>575</v>
      </c>
      <c r="D900" s="767"/>
      <c r="E900" s="777" t="s">
        <v>576</v>
      </c>
      <c r="F900" s="806" t="s">
        <v>577</v>
      </c>
      <c r="G900" s="778"/>
      <c r="H900" s="777" t="s">
        <v>578</v>
      </c>
      <c r="I900" s="777" t="s">
        <v>579</v>
      </c>
      <c r="J900" s="777" t="s">
        <v>580</v>
      </c>
      <c r="K900" s="777" t="s">
        <v>581</v>
      </c>
      <c r="L900" s="777" t="s">
        <v>582</v>
      </c>
      <c r="M900" s="777" t="s">
        <v>583</v>
      </c>
      <c r="N900" s="777" t="s">
        <v>584</v>
      </c>
      <c r="O900" s="777" t="s">
        <v>585</v>
      </c>
      <c r="P900" s="772"/>
      <c r="R900" s="774"/>
    </row>
    <row r="901" spans="1:22" ht="38.25" hidden="1">
      <c r="A901" s="786">
        <v>901</v>
      </c>
      <c r="B901" s="767"/>
      <c r="C901" s="797" t="s">
        <v>656</v>
      </c>
      <c r="D901" s="781"/>
      <c r="E901" s="782" t="s">
        <v>587</v>
      </c>
      <c r="F901" s="806" t="s">
        <v>1391</v>
      </c>
      <c r="G901" s="783"/>
      <c r="H901" s="829" t="s">
        <v>588</v>
      </c>
      <c r="I901" s="829" t="s">
        <v>589</v>
      </c>
      <c r="J901" s="829" t="s">
        <v>590</v>
      </c>
      <c r="K901" s="829" t="s">
        <v>591</v>
      </c>
      <c r="L901" s="829" t="s">
        <v>592</v>
      </c>
      <c r="M901" s="829" t="s">
        <v>593</v>
      </c>
      <c r="N901" s="829" t="s">
        <v>594</v>
      </c>
      <c r="O901" s="829" t="s">
        <v>595</v>
      </c>
      <c r="P901" s="772"/>
      <c r="R901" s="774"/>
    </row>
    <row r="902" spans="1:22" hidden="1">
      <c r="A902" s="786">
        <v>902</v>
      </c>
      <c r="B902" s="767"/>
      <c r="C902" s="767"/>
      <c r="D902" s="767"/>
      <c r="E902" s="767"/>
      <c r="F902" s="806"/>
      <c r="H902" s="817"/>
      <c r="I902" s="817"/>
      <c r="J902" s="817"/>
      <c r="K902" s="817"/>
      <c r="L902" s="819"/>
      <c r="M902" s="817"/>
      <c r="N902" s="817"/>
      <c r="O902" s="817"/>
      <c r="P902" s="772"/>
      <c r="R902" s="774"/>
    </row>
    <row r="903" spans="1:22" hidden="1">
      <c r="A903" s="786">
        <v>903</v>
      </c>
      <c r="B903" s="767"/>
      <c r="C903" s="767" t="s">
        <v>1153</v>
      </c>
      <c r="D903" s="775" t="s">
        <v>1060</v>
      </c>
      <c r="E903" s="767"/>
      <c r="F903" s="806"/>
      <c r="G903" s="778"/>
      <c r="H903" s="788"/>
      <c r="I903" s="788"/>
      <c r="J903" s="788"/>
      <c r="K903" s="788"/>
      <c r="L903" s="788"/>
      <c r="M903" s="788"/>
      <c r="N903" s="788"/>
      <c r="O903" s="788"/>
      <c r="P903" s="772"/>
      <c r="R903" s="774"/>
    </row>
    <row r="904" spans="1:22" hidden="1">
      <c r="A904" s="786">
        <v>904</v>
      </c>
      <c r="B904" s="767"/>
      <c r="C904" s="767"/>
      <c r="D904" s="767"/>
      <c r="E904" s="767" t="s">
        <v>1154</v>
      </c>
      <c r="F904" s="806" t="s">
        <v>1429</v>
      </c>
      <c r="G904" s="792"/>
      <c r="H904" s="815">
        <v>2118954.9007960064</v>
      </c>
      <c r="I904" s="815">
        <v>998069.69140466128</v>
      </c>
      <c r="J904" s="815">
        <v>304808.08269509324</v>
      </c>
      <c r="K904" s="815">
        <v>479641.24702906865</v>
      </c>
      <c r="L904" s="815">
        <v>203936.35189969305</v>
      </c>
      <c r="M904" s="815">
        <v>0</v>
      </c>
      <c r="N904" s="815">
        <v>128314.2658676759</v>
      </c>
      <c r="O904" s="815">
        <v>4185.2618998148109</v>
      </c>
      <c r="P904" s="772">
        <v>0</v>
      </c>
      <c r="Q904" s="774"/>
      <c r="R904" s="774">
        <v>1467</v>
      </c>
      <c r="S904" s="774"/>
      <c r="T904" s="774"/>
      <c r="U904" s="774"/>
      <c r="V904" s="774"/>
    </row>
    <row r="905" spans="1:22" hidden="1">
      <c r="A905" s="786">
        <v>905</v>
      </c>
      <c r="B905" s="767"/>
      <c r="C905" s="767"/>
      <c r="D905" s="767"/>
      <c r="E905" s="767" t="s">
        <v>1155</v>
      </c>
      <c r="F905" s="806" t="s">
        <v>575</v>
      </c>
      <c r="G905" s="811"/>
      <c r="H905" s="831">
        <v>0</v>
      </c>
      <c r="I905" s="809">
        <v>0</v>
      </c>
      <c r="J905" s="809">
        <v>0</v>
      </c>
      <c r="K905" s="809">
        <v>0</v>
      </c>
      <c r="L905" s="809">
        <v>0</v>
      </c>
      <c r="M905" s="809">
        <v>0</v>
      </c>
      <c r="N905" s="809">
        <v>0</v>
      </c>
      <c r="O905" s="809">
        <v>0</v>
      </c>
      <c r="P905" s="772">
        <v>0</v>
      </c>
      <c r="Q905" s="774"/>
      <c r="R905" s="774"/>
      <c r="S905" s="774"/>
      <c r="T905" s="774"/>
      <c r="U905" s="774"/>
      <c r="V905" s="774"/>
    </row>
    <row r="906" spans="1:22" hidden="1">
      <c r="A906" s="786">
        <v>906</v>
      </c>
      <c r="B906" s="767"/>
      <c r="C906" s="767"/>
      <c r="D906" s="767"/>
      <c r="E906" s="767"/>
      <c r="F906" s="806"/>
      <c r="G906" s="778"/>
      <c r="H906" s="788">
        <v>2118954.9007960074</v>
      </c>
      <c r="I906" s="788">
        <v>998069.69140466128</v>
      </c>
      <c r="J906" s="788">
        <v>304808.08269509324</v>
      </c>
      <c r="K906" s="788">
        <v>479641.24702906865</v>
      </c>
      <c r="L906" s="788">
        <v>203936.35189969305</v>
      </c>
      <c r="M906" s="788">
        <v>0</v>
      </c>
      <c r="N906" s="788">
        <v>128314.2658676759</v>
      </c>
      <c r="O906" s="788">
        <v>4185.2618998148109</v>
      </c>
      <c r="P906" s="772">
        <v>0</v>
      </c>
      <c r="Q906" s="774"/>
      <c r="R906" s="774"/>
      <c r="S906" s="774"/>
      <c r="T906" s="774"/>
      <c r="U906" s="774"/>
      <c r="V906" s="774"/>
    </row>
    <row r="907" spans="1:22" hidden="1">
      <c r="A907" s="786">
        <v>907</v>
      </c>
      <c r="B907" s="767"/>
      <c r="C907" s="767" t="s">
        <v>1156</v>
      </c>
      <c r="D907" s="775" t="s">
        <v>1063</v>
      </c>
      <c r="E907" s="767"/>
      <c r="F907" s="806"/>
      <c r="G907" s="778"/>
      <c r="H907" s="788"/>
      <c r="I907" s="788"/>
      <c r="J907" s="788"/>
      <c r="K907" s="788"/>
      <c r="L907" s="788"/>
      <c r="M907" s="788"/>
      <c r="N907" s="788"/>
      <c r="O907" s="788"/>
      <c r="P907" s="772"/>
      <c r="R907" s="774"/>
    </row>
    <row r="908" spans="1:22" hidden="1">
      <c r="A908" s="786">
        <v>908</v>
      </c>
      <c r="B908" s="767"/>
      <c r="C908" s="767"/>
      <c r="D908" s="767"/>
      <c r="E908" s="767" t="s">
        <v>1154</v>
      </c>
      <c r="F908" s="806" t="s">
        <v>1398</v>
      </c>
      <c r="G908" s="792"/>
      <c r="H908" s="815">
        <v>6594538.2045789845</v>
      </c>
      <c r="I908" s="815">
        <v>2819574.9760683775</v>
      </c>
      <c r="J908" s="815">
        <v>861091.41462949722</v>
      </c>
      <c r="K908" s="815">
        <v>1355000.025809898</v>
      </c>
      <c r="L908" s="815">
        <v>576125.93537209556</v>
      </c>
      <c r="M908" s="815">
        <v>608430.95660372823</v>
      </c>
      <c r="N908" s="815">
        <v>362491.41340411414</v>
      </c>
      <c r="O908" s="815">
        <v>11823.482691276045</v>
      </c>
      <c r="P908" s="772">
        <v>0</v>
      </c>
      <c r="Q908" s="774"/>
      <c r="R908" s="774">
        <v>1473</v>
      </c>
      <c r="S908" s="774"/>
      <c r="T908" s="774"/>
      <c r="U908" s="774"/>
      <c r="V908" s="774"/>
    </row>
    <row r="909" spans="1:22" hidden="1">
      <c r="A909" s="786">
        <v>909</v>
      </c>
      <c r="B909" s="767"/>
      <c r="C909" s="767"/>
      <c r="D909" s="767"/>
      <c r="E909" s="767" t="s">
        <v>1155</v>
      </c>
      <c r="F909" s="806" t="s">
        <v>575</v>
      </c>
      <c r="G909" s="811"/>
      <c r="H909" s="831">
        <v>0</v>
      </c>
      <c r="I909" s="809">
        <v>0</v>
      </c>
      <c r="J909" s="809">
        <v>0</v>
      </c>
      <c r="K909" s="809">
        <v>0</v>
      </c>
      <c r="L909" s="809">
        <v>0</v>
      </c>
      <c r="M909" s="809">
        <v>0</v>
      </c>
      <c r="N909" s="809">
        <v>0</v>
      </c>
      <c r="O909" s="809">
        <v>0</v>
      </c>
      <c r="P909" s="772">
        <v>0</v>
      </c>
      <c r="Q909" s="774"/>
      <c r="R909" s="774"/>
      <c r="S909" s="774"/>
      <c r="T909" s="774"/>
      <c r="U909" s="774"/>
      <c r="V909" s="774"/>
    </row>
    <row r="910" spans="1:22" hidden="1">
      <c r="A910" s="786">
        <v>910</v>
      </c>
      <c r="B910" s="767"/>
      <c r="C910" s="767"/>
      <c r="D910" s="767"/>
      <c r="E910" s="767"/>
      <c r="F910" s="806"/>
      <c r="G910" s="778"/>
      <c r="H910" s="788">
        <v>6594538.2045789873</v>
      </c>
      <c r="I910" s="788">
        <v>2819574.9760683775</v>
      </c>
      <c r="J910" s="788">
        <v>861091.41462949722</v>
      </c>
      <c r="K910" s="788">
        <v>1355000.025809898</v>
      </c>
      <c r="L910" s="788">
        <v>576125.93537209556</v>
      </c>
      <c r="M910" s="788">
        <v>608430.95660372823</v>
      </c>
      <c r="N910" s="788">
        <v>362491.41340411414</v>
      </c>
      <c r="O910" s="788">
        <v>11823.482691276045</v>
      </c>
      <c r="P910" s="772">
        <v>0</v>
      </c>
      <c r="Q910" s="774"/>
      <c r="R910" s="774"/>
      <c r="S910" s="774"/>
      <c r="T910" s="774"/>
      <c r="U910" s="774"/>
      <c r="V910" s="774"/>
    </row>
    <row r="911" spans="1:22" hidden="1">
      <c r="A911" s="786">
        <v>911</v>
      </c>
      <c r="B911" s="767"/>
      <c r="C911" s="767" t="s">
        <v>1157</v>
      </c>
      <c r="D911" s="775" t="s">
        <v>1134</v>
      </c>
      <c r="E911" s="767"/>
      <c r="F911" s="806"/>
      <c r="G911" s="778"/>
      <c r="H911" s="788"/>
      <c r="I911" s="788"/>
      <c r="J911" s="788"/>
      <c r="K911" s="788"/>
      <c r="L911" s="788"/>
      <c r="M911" s="788"/>
      <c r="N911" s="788"/>
      <c r="O911" s="788"/>
      <c r="P911" s="772"/>
      <c r="R911" s="774"/>
    </row>
    <row r="912" spans="1:22" hidden="1">
      <c r="A912" s="786">
        <v>912</v>
      </c>
      <c r="B912" s="767"/>
      <c r="C912" s="767"/>
      <c r="D912" s="767"/>
      <c r="E912" s="767" t="s">
        <v>1154</v>
      </c>
      <c r="F912" s="806" t="s">
        <v>1429</v>
      </c>
      <c r="G912" s="792"/>
      <c r="H912" s="815">
        <v>75171245.303331628</v>
      </c>
      <c r="I912" s="815">
        <v>35407144.141772896</v>
      </c>
      <c r="J912" s="815">
        <v>10813256.641801873</v>
      </c>
      <c r="K912" s="815">
        <v>17015572.074928775</v>
      </c>
      <c r="L912" s="815">
        <v>7234769.1445247205</v>
      </c>
      <c r="M912" s="815">
        <v>0</v>
      </c>
      <c r="N912" s="815">
        <v>4552028.5268141069</v>
      </c>
      <c r="O912" s="815">
        <v>148474.77348927059</v>
      </c>
      <c r="P912" s="772">
        <v>0</v>
      </c>
      <c r="Q912" s="774"/>
      <c r="R912" s="774">
        <v>1479</v>
      </c>
      <c r="S912" s="774"/>
      <c r="T912" s="774"/>
      <c r="U912" s="774"/>
      <c r="V912" s="774"/>
    </row>
    <row r="913" spans="1:22" hidden="1">
      <c r="A913" s="786">
        <v>913</v>
      </c>
      <c r="B913" s="767"/>
      <c r="C913" s="767"/>
      <c r="D913" s="767"/>
      <c r="E913" s="767" t="s">
        <v>1155</v>
      </c>
      <c r="F913" s="806" t="s">
        <v>575</v>
      </c>
      <c r="G913" s="811"/>
      <c r="H913" s="831">
        <v>5242060.5100000007</v>
      </c>
      <c r="I913" s="809">
        <v>0</v>
      </c>
      <c r="J913" s="809">
        <v>0</v>
      </c>
      <c r="K913" s="809">
        <v>0</v>
      </c>
      <c r="L913" s="809">
        <v>0</v>
      </c>
      <c r="M913" s="809">
        <v>5242060.5100000007</v>
      </c>
      <c r="N913" s="809">
        <v>0</v>
      </c>
      <c r="O913" s="809">
        <v>0</v>
      </c>
      <c r="P913" s="772">
        <v>0</v>
      </c>
      <c r="Q913" s="774"/>
      <c r="R913" s="774"/>
      <c r="S913" s="774"/>
      <c r="T913" s="774"/>
      <c r="U913" s="774"/>
      <c r="V913" s="774"/>
    </row>
    <row r="914" spans="1:22" hidden="1">
      <c r="A914" s="786">
        <v>914</v>
      </c>
      <c r="B914" s="767"/>
      <c r="F914" s="806"/>
      <c r="G914" s="778"/>
      <c r="H914" s="788">
        <v>80413305.813331634</v>
      </c>
      <c r="I914" s="788">
        <v>35407144.141772896</v>
      </c>
      <c r="J914" s="788">
        <v>10813256.641801873</v>
      </c>
      <c r="K914" s="788">
        <v>17015572.074928775</v>
      </c>
      <c r="L914" s="788">
        <v>7234769.1445247205</v>
      </c>
      <c r="M914" s="788">
        <v>5242060.5100000007</v>
      </c>
      <c r="N914" s="788">
        <v>4552028.5268141069</v>
      </c>
      <c r="O914" s="788">
        <v>148474.77348927059</v>
      </c>
      <c r="P914" s="772">
        <v>0</v>
      </c>
      <c r="Q914" s="774"/>
      <c r="R914" s="774"/>
      <c r="S914" s="774"/>
      <c r="T914" s="774"/>
      <c r="U914" s="774"/>
      <c r="V914" s="774"/>
    </row>
    <row r="915" spans="1:22" hidden="1">
      <c r="A915" s="786">
        <v>915</v>
      </c>
      <c r="B915" s="767"/>
      <c r="C915" s="767" t="s">
        <v>1158</v>
      </c>
      <c r="D915" s="775" t="s">
        <v>1159</v>
      </c>
      <c r="E915" s="767"/>
      <c r="F915" s="806"/>
      <c r="G915" s="778"/>
      <c r="H915" s="788"/>
      <c r="I915" s="788"/>
      <c r="J915" s="788"/>
      <c r="K915" s="788"/>
      <c r="L915" s="788"/>
      <c r="M915" s="788"/>
      <c r="N915" s="788"/>
      <c r="O915" s="788"/>
      <c r="P915" s="772"/>
      <c r="R915" s="774"/>
    </row>
    <row r="916" spans="1:22" hidden="1">
      <c r="A916" s="786">
        <v>916</v>
      </c>
      <c r="B916" s="767"/>
      <c r="C916" s="767"/>
      <c r="D916" s="767"/>
      <c r="E916" s="767" t="s">
        <v>1154</v>
      </c>
      <c r="F916" s="806" t="s">
        <v>1429</v>
      </c>
      <c r="G916" s="792"/>
      <c r="H916" s="815">
        <v>114903950.92052886</v>
      </c>
      <c r="I916" s="815">
        <v>54122034.779195674</v>
      </c>
      <c r="J916" s="815">
        <v>16528739.219990248</v>
      </c>
      <c r="K916" s="815">
        <v>26009366.356681656</v>
      </c>
      <c r="L916" s="815">
        <v>11058797.221588416</v>
      </c>
      <c r="M916" s="815">
        <v>0</v>
      </c>
      <c r="N916" s="815">
        <v>6958060.3636842212</v>
      </c>
      <c r="O916" s="815">
        <v>226952.97938867146</v>
      </c>
      <c r="P916" s="772">
        <v>0</v>
      </c>
      <c r="Q916" s="774"/>
      <c r="R916" s="774">
        <v>1485</v>
      </c>
      <c r="S916" s="774"/>
      <c r="T916" s="774"/>
      <c r="U916" s="774"/>
      <c r="V916" s="774"/>
    </row>
    <row r="917" spans="1:22" hidden="1">
      <c r="A917" s="786">
        <v>917</v>
      </c>
      <c r="B917" s="767"/>
      <c r="C917" s="767"/>
      <c r="D917" s="767"/>
      <c r="E917" s="767" t="s">
        <v>1160</v>
      </c>
      <c r="F917" s="806" t="s">
        <v>1430</v>
      </c>
      <c r="G917" s="792"/>
      <c r="H917" s="815">
        <v>543569.61721502536</v>
      </c>
      <c r="I917" s="815">
        <v>469000.64693982201</v>
      </c>
      <c r="J917" s="815">
        <v>73138.257971823434</v>
      </c>
      <c r="K917" s="815">
        <v>0</v>
      </c>
      <c r="L917" s="815">
        <v>0</v>
      </c>
      <c r="M917" s="815">
        <v>0</v>
      </c>
      <c r="N917" s="815">
        <v>0</v>
      </c>
      <c r="O917" s="815">
        <v>1430.7123033799292</v>
      </c>
      <c r="P917" s="772">
        <v>0</v>
      </c>
      <c r="Q917" s="774"/>
      <c r="R917" s="774"/>
      <c r="S917" s="774"/>
      <c r="T917" s="774"/>
      <c r="U917" s="774"/>
      <c r="V917" s="774"/>
    </row>
    <row r="918" spans="1:22" hidden="1">
      <c r="A918" s="786">
        <v>918</v>
      </c>
      <c r="B918" s="767"/>
      <c r="C918" s="767"/>
      <c r="D918" s="767"/>
      <c r="E918" s="767" t="s">
        <v>1155</v>
      </c>
      <c r="F918" s="806" t="s">
        <v>575</v>
      </c>
      <c r="G918" s="811"/>
      <c r="H918" s="831">
        <v>0</v>
      </c>
      <c r="I918" s="809">
        <v>0</v>
      </c>
      <c r="J918" s="809">
        <v>0</v>
      </c>
      <c r="K918" s="809">
        <v>0</v>
      </c>
      <c r="L918" s="809">
        <v>0</v>
      </c>
      <c r="M918" s="809">
        <v>0</v>
      </c>
      <c r="N918" s="809">
        <v>0</v>
      </c>
      <c r="O918" s="809">
        <v>0</v>
      </c>
      <c r="P918" s="772">
        <v>0</v>
      </c>
      <c r="Q918" s="774"/>
      <c r="R918" s="774"/>
      <c r="S918" s="774"/>
      <c r="T918" s="774"/>
      <c r="U918" s="774"/>
      <c r="V918" s="774"/>
    </row>
    <row r="919" spans="1:22" hidden="1">
      <c r="A919" s="786">
        <v>919</v>
      </c>
      <c r="B919" s="767"/>
      <c r="C919" s="767"/>
      <c r="D919" s="767"/>
      <c r="E919" s="767"/>
      <c r="F919" s="806"/>
      <c r="G919" s="792"/>
      <c r="H919" s="788">
        <v>115447520.53774393</v>
      </c>
      <c r="I919" s="788">
        <v>54591035.426135495</v>
      </c>
      <c r="J919" s="788">
        <v>16601877.477962071</v>
      </c>
      <c r="K919" s="788">
        <v>26009366.356681656</v>
      </c>
      <c r="L919" s="788">
        <v>11058797.221588416</v>
      </c>
      <c r="M919" s="788">
        <v>0</v>
      </c>
      <c r="N919" s="788">
        <v>6958060.3636842212</v>
      </c>
      <c r="O919" s="788">
        <v>228383.69169205139</v>
      </c>
      <c r="P919" s="772">
        <v>0</v>
      </c>
      <c r="Q919" s="774"/>
      <c r="R919" s="774"/>
      <c r="S919" s="774"/>
      <c r="T919" s="774"/>
      <c r="U919" s="774"/>
      <c r="V919" s="774"/>
    </row>
    <row r="920" spans="1:22" hidden="1">
      <c r="A920" s="786">
        <v>920</v>
      </c>
      <c r="B920" s="767"/>
      <c r="C920" s="767" t="s">
        <v>1161</v>
      </c>
      <c r="D920" s="775" t="s">
        <v>1140</v>
      </c>
      <c r="E920" s="767"/>
      <c r="F920" s="806"/>
      <c r="G920" s="792"/>
      <c r="H920" s="788"/>
      <c r="I920" s="788"/>
      <c r="J920" s="788"/>
      <c r="K920" s="788"/>
      <c r="L920" s="788"/>
      <c r="M920" s="788"/>
      <c r="N920" s="788"/>
      <c r="O920" s="788"/>
      <c r="P920" s="772"/>
      <c r="R920" s="774"/>
    </row>
    <row r="921" spans="1:22" hidden="1">
      <c r="A921" s="786">
        <v>921</v>
      </c>
      <c r="B921" s="767"/>
      <c r="C921" s="767"/>
      <c r="D921" s="767"/>
      <c r="E921" s="767" t="s">
        <v>1154</v>
      </c>
      <c r="F921" s="806" t="s">
        <v>1429</v>
      </c>
      <c r="G921" s="792"/>
      <c r="H921" s="815">
        <v>52968743.995159522</v>
      </c>
      <c r="I921" s="815">
        <v>24949326.648472577</v>
      </c>
      <c r="J921" s="815">
        <v>7619464.3377575735</v>
      </c>
      <c r="K921" s="815">
        <v>11989870.29589813</v>
      </c>
      <c r="L921" s="815">
        <v>5097915.2085887399</v>
      </c>
      <c r="M921" s="815">
        <v>0</v>
      </c>
      <c r="N921" s="815">
        <v>3207546.0865724576</v>
      </c>
      <c r="O921" s="815">
        <v>104621.41787005772</v>
      </c>
      <c r="P921" s="772">
        <v>0</v>
      </c>
      <c r="Q921" s="774"/>
      <c r="R921" s="774">
        <v>1492</v>
      </c>
      <c r="S921" s="774"/>
      <c r="T921" s="774"/>
      <c r="U921" s="774"/>
      <c r="V921" s="774"/>
    </row>
    <row r="922" spans="1:22" hidden="1">
      <c r="A922" s="786">
        <v>922</v>
      </c>
      <c r="B922" s="767"/>
      <c r="C922" s="767"/>
      <c r="D922" s="767"/>
      <c r="E922" s="767" t="s">
        <v>1160</v>
      </c>
      <c r="F922" s="806" t="s">
        <v>1430</v>
      </c>
      <c r="G922" s="792"/>
      <c r="H922" s="815">
        <v>24709783.268871263</v>
      </c>
      <c r="I922" s="815">
        <v>21320000.183636222</v>
      </c>
      <c r="J922" s="815">
        <v>3324745.2504904233</v>
      </c>
      <c r="K922" s="815">
        <v>0</v>
      </c>
      <c r="L922" s="815">
        <v>0</v>
      </c>
      <c r="M922" s="815">
        <v>0</v>
      </c>
      <c r="N922" s="815">
        <v>0</v>
      </c>
      <c r="O922" s="815">
        <v>65037.83474461719</v>
      </c>
      <c r="P922" s="772">
        <v>0</v>
      </c>
      <c r="Q922" s="774"/>
      <c r="R922" s="774"/>
      <c r="S922" s="774"/>
      <c r="T922" s="774"/>
      <c r="U922" s="774"/>
      <c r="V922" s="774"/>
    </row>
    <row r="923" spans="1:22" hidden="1">
      <c r="A923" s="786">
        <v>923</v>
      </c>
      <c r="B923" s="767"/>
      <c r="C923" s="767"/>
      <c r="D923" s="767"/>
      <c r="E923" s="767" t="s">
        <v>1155</v>
      </c>
      <c r="F923" s="806" t="s">
        <v>575</v>
      </c>
      <c r="G923" s="811"/>
      <c r="H923" s="831">
        <v>0</v>
      </c>
      <c r="I923" s="809">
        <v>0</v>
      </c>
      <c r="J923" s="809">
        <v>0</v>
      </c>
      <c r="K923" s="809">
        <v>0</v>
      </c>
      <c r="L923" s="809">
        <v>0</v>
      </c>
      <c r="M923" s="809">
        <v>0</v>
      </c>
      <c r="N923" s="809">
        <v>0</v>
      </c>
      <c r="O923" s="809">
        <v>0</v>
      </c>
      <c r="P923" s="772">
        <v>0</v>
      </c>
      <c r="Q923" s="774"/>
      <c r="R923" s="774"/>
      <c r="S923" s="774"/>
      <c r="T923" s="774"/>
      <c r="U923" s="774"/>
      <c r="V923" s="774"/>
    </row>
    <row r="924" spans="1:22" hidden="1">
      <c r="A924" s="786">
        <v>924</v>
      </c>
      <c r="B924" s="767"/>
      <c r="C924" s="767"/>
      <c r="D924" s="767"/>
      <c r="E924" s="767"/>
      <c r="F924" s="806"/>
      <c r="G924" s="792"/>
      <c r="H924" s="788">
        <v>77678527.264030784</v>
      </c>
      <c r="I924" s="788">
        <v>46269326.832108796</v>
      </c>
      <c r="J924" s="788">
        <v>10944209.588247996</v>
      </c>
      <c r="K924" s="788">
        <v>11989870.29589813</v>
      </c>
      <c r="L924" s="788">
        <v>5097915.2085887399</v>
      </c>
      <c r="M924" s="788">
        <v>0</v>
      </c>
      <c r="N924" s="788">
        <v>3207546.0865724576</v>
      </c>
      <c r="O924" s="788">
        <v>169659.25261467492</v>
      </c>
      <c r="P924" s="772">
        <v>0</v>
      </c>
      <c r="Q924" s="774"/>
      <c r="R924" s="774"/>
      <c r="S924" s="774"/>
      <c r="T924" s="774"/>
      <c r="U924" s="774"/>
      <c r="V924" s="774"/>
    </row>
    <row r="925" spans="1:22" hidden="1">
      <c r="A925" s="786">
        <v>925</v>
      </c>
      <c r="B925" s="767"/>
      <c r="C925" s="767" t="s">
        <v>1162</v>
      </c>
      <c r="D925" s="775" t="s">
        <v>1142</v>
      </c>
      <c r="E925" s="767"/>
      <c r="F925" s="806"/>
      <c r="G925" s="792"/>
      <c r="H925" s="788"/>
      <c r="I925" s="788"/>
      <c r="J925" s="788"/>
      <c r="K925" s="788"/>
      <c r="L925" s="788"/>
      <c r="M925" s="788"/>
      <c r="N925" s="788"/>
      <c r="O925" s="788"/>
      <c r="P925" s="772"/>
      <c r="R925" s="774"/>
    </row>
    <row r="926" spans="1:22" hidden="1">
      <c r="A926" s="786">
        <v>926</v>
      </c>
      <c r="B926" s="767"/>
      <c r="C926" s="767"/>
      <c r="D926" s="767"/>
      <c r="E926" s="767" t="s">
        <v>1154</v>
      </c>
      <c r="F926" s="806" t="s">
        <v>1429</v>
      </c>
      <c r="G926" s="792"/>
      <c r="H926" s="815">
        <v>10298530.066763816</v>
      </c>
      <c r="I926" s="815">
        <v>4850811.4645551499</v>
      </c>
      <c r="J926" s="815">
        <v>1481426.151660342</v>
      </c>
      <c r="K926" s="815">
        <v>2331149.0971012856</v>
      </c>
      <c r="L926" s="815">
        <v>991170.05791682366</v>
      </c>
      <c r="M926" s="815">
        <v>0</v>
      </c>
      <c r="N926" s="815">
        <v>623632.11436759285</v>
      </c>
      <c r="O926" s="815">
        <v>20341.181162625107</v>
      </c>
      <c r="P926" s="772">
        <v>0</v>
      </c>
      <c r="Q926" s="774"/>
      <c r="R926" s="774">
        <v>1499</v>
      </c>
      <c r="S926" s="774"/>
      <c r="T926" s="774"/>
      <c r="U926" s="774"/>
      <c r="V926" s="774"/>
    </row>
    <row r="927" spans="1:22" hidden="1">
      <c r="A927" s="786">
        <v>927</v>
      </c>
      <c r="B927" s="767"/>
      <c r="C927" s="767"/>
      <c r="D927" s="767"/>
      <c r="E927" s="767" t="s">
        <v>1160</v>
      </c>
      <c r="F927" s="806" t="s">
        <v>1430</v>
      </c>
      <c r="G927" s="792"/>
      <c r="H927" s="815">
        <v>10134755.748564472</v>
      </c>
      <c r="I927" s="815">
        <v>8744430.9838486481</v>
      </c>
      <c r="J927" s="815">
        <v>1363649.3964060352</v>
      </c>
      <c r="K927" s="815">
        <v>0</v>
      </c>
      <c r="L927" s="815">
        <v>0</v>
      </c>
      <c r="M927" s="815">
        <v>0</v>
      </c>
      <c r="N927" s="815">
        <v>0</v>
      </c>
      <c r="O927" s="815">
        <v>26675.36830978869</v>
      </c>
      <c r="P927" s="772">
        <v>0</v>
      </c>
      <c r="Q927" s="774"/>
      <c r="R927" s="774"/>
      <c r="S927" s="774"/>
      <c r="T927" s="774"/>
      <c r="U927" s="774"/>
      <c r="V927" s="774"/>
    </row>
    <row r="928" spans="1:22" hidden="1">
      <c r="A928" s="786">
        <v>928</v>
      </c>
      <c r="B928" s="767"/>
      <c r="C928" s="767"/>
      <c r="D928" s="767"/>
      <c r="E928" s="767" t="s">
        <v>1155</v>
      </c>
      <c r="F928" s="806" t="s">
        <v>575</v>
      </c>
      <c r="G928" s="811"/>
      <c r="H928" s="831">
        <v>0</v>
      </c>
      <c r="I928" s="809">
        <v>0</v>
      </c>
      <c r="J928" s="809">
        <v>0</v>
      </c>
      <c r="K928" s="809">
        <v>0</v>
      </c>
      <c r="L928" s="809">
        <v>0</v>
      </c>
      <c r="M928" s="809">
        <v>0</v>
      </c>
      <c r="N928" s="809">
        <v>0</v>
      </c>
      <c r="O928" s="809">
        <v>0</v>
      </c>
      <c r="P928" s="772">
        <v>0</v>
      </c>
      <c r="Q928" s="774"/>
      <c r="R928" s="774"/>
      <c r="S928" s="774"/>
      <c r="T928" s="774"/>
      <c r="U928" s="774"/>
      <c r="V928" s="774"/>
    </row>
    <row r="929" spans="1:22" hidden="1">
      <c r="A929" s="786">
        <v>929</v>
      </c>
      <c r="B929" s="767"/>
      <c r="C929" s="767"/>
      <c r="D929" s="767"/>
      <c r="E929" s="767"/>
      <c r="F929" s="806"/>
      <c r="G929" s="778"/>
      <c r="H929" s="788">
        <v>20433285.815328293</v>
      </c>
      <c r="I929" s="788">
        <v>13595242.448403798</v>
      </c>
      <c r="J929" s="788">
        <v>2845075.5480663772</v>
      </c>
      <c r="K929" s="788">
        <v>2331149.0971012856</v>
      </c>
      <c r="L929" s="788">
        <v>991170.05791682366</v>
      </c>
      <c r="M929" s="788">
        <v>0</v>
      </c>
      <c r="N929" s="788">
        <v>623632.11436759285</v>
      </c>
      <c r="O929" s="788">
        <v>47016.549472413797</v>
      </c>
      <c r="P929" s="772">
        <v>0</v>
      </c>
      <c r="Q929" s="774"/>
      <c r="R929" s="774"/>
      <c r="S929" s="774"/>
      <c r="T929" s="774"/>
      <c r="U929" s="774"/>
      <c r="V929" s="774"/>
    </row>
    <row r="930" spans="1:22" hidden="1">
      <c r="A930" s="786">
        <v>930</v>
      </c>
      <c r="B930" s="767"/>
      <c r="C930" s="767" t="s">
        <v>1163</v>
      </c>
      <c r="D930" s="767" t="s">
        <v>1144</v>
      </c>
      <c r="E930" s="767"/>
      <c r="F930" s="806"/>
      <c r="G930" s="778"/>
      <c r="H930" s="788"/>
      <c r="I930" s="788"/>
      <c r="J930" s="788"/>
      <c r="K930" s="788"/>
      <c r="L930" s="788"/>
      <c r="M930" s="788"/>
      <c r="N930" s="788"/>
      <c r="O930" s="788"/>
      <c r="P930" s="772"/>
      <c r="R930" s="774"/>
    </row>
    <row r="931" spans="1:22" hidden="1">
      <c r="A931" s="786">
        <v>931</v>
      </c>
      <c r="B931" s="767"/>
      <c r="C931" s="767"/>
      <c r="D931" s="767"/>
      <c r="E931" s="767" t="s">
        <v>1154</v>
      </c>
      <c r="F931" s="806" t="s">
        <v>1429</v>
      </c>
      <c r="G931" s="792"/>
      <c r="H931" s="815">
        <v>16086567.854018122</v>
      </c>
      <c r="I931" s="815">
        <v>7577091.8049216606</v>
      </c>
      <c r="J931" s="815">
        <v>2314025.6089857342</v>
      </c>
      <c r="K931" s="815">
        <v>3641314.6230816292</v>
      </c>
      <c r="L931" s="815">
        <v>1548233.0282267577</v>
      </c>
      <c r="M931" s="815">
        <v>0</v>
      </c>
      <c r="N931" s="815">
        <v>974129.34260350547</v>
      </c>
      <c r="O931" s="815">
        <v>31773.446198838818</v>
      </c>
      <c r="P931" s="772">
        <v>0</v>
      </c>
      <c r="Q931" s="774"/>
      <c r="R931" s="774">
        <v>1506</v>
      </c>
      <c r="S931" s="774"/>
      <c r="T931" s="774"/>
      <c r="U931" s="774"/>
      <c r="V931" s="774"/>
    </row>
    <row r="932" spans="1:22" hidden="1">
      <c r="A932" s="786">
        <v>932</v>
      </c>
      <c r="B932" s="767"/>
      <c r="C932" s="767"/>
      <c r="D932" s="767"/>
      <c r="E932" s="767" t="s">
        <v>1160</v>
      </c>
      <c r="F932" s="806" t="s">
        <v>1430</v>
      </c>
      <c r="G932" s="792"/>
      <c r="H932" s="815">
        <v>16832691.678747565</v>
      </c>
      <c r="I932" s="815">
        <v>14523518.307588266</v>
      </c>
      <c r="J932" s="815">
        <v>2264868.5786891598</v>
      </c>
      <c r="K932" s="815">
        <v>0</v>
      </c>
      <c r="L932" s="815">
        <v>0</v>
      </c>
      <c r="M932" s="815">
        <v>0</v>
      </c>
      <c r="N932" s="815">
        <v>0</v>
      </c>
      <c r="O932" s="815">
        <v>44304.792470139924</v>
      </c>
      <c r="P932" s="772">
        <v>0</v>
      </c>
      <c r="Q932" s="774"/>
      <c r="R932" s="774"/>
      <c r="S932" s="774"/>
      <c r="T932" s="774"/>
      <c r="U932" s="774"/>
      <c r="V932" s="774"/>
    </row>
    <row r="933" spans="1:22" hidden="1">
      <c r="A933" s="786">
        <v>933</v>
      </c>
      <c r="B933" s="767"/>
      <c r="C933" s="767"/>
      <c r="D933" s="767"/>
      <c r="E933" s="767" t="s">
        <v>1155</v>
      </c>
      <c r="F933" s="806" t="s">
        <v>575</v>
      </c>
      <c r="G933" s="811"/>
      <c r="H933" s="831">
        <v>0</v>
      </c>
      <c r="I933" s="809">
        <v>0</v>
      </c>
      <c r="J933" s="809">
        <v>0</v>
      </c>
      <c r="K933" s="809">
        <v>0</v>
      </c>
      <c r="L933" s="809">
        <v>0</v>
      </c>
      <c r="M933" s="809">
        <v>0</v>
      </c>
      <c r="N933" s="809">
        <v>0</v>
      </c>
      <c r="O933" s="809">
        <v>0</v>
      </c>
      <c r="P933" s="772">
        <v>0</v>
      </c>
      <c r="Q933" s="774"/>
      <c r="R933" s="774"/>
      <c r="S933" s="774"/>
      <c r="T933" s="774"/>
      <c r="U933" s="774"/>
      <c r="V933" s="774"/>
    </row>
    <row r="934" spans="1:22" hidden="1">
      <c r="A934" s="786">
        <v>934</v>
      </c>
      <c r="B934" s="767"/>
      <c r="C934" s="767"/>
      <c r="D934" s="767"/>
      <c r="E934" s="767"/>
      <c r="F934" s="806"/>
      <c r="G934" s="778"/>
      <c r="H934" s="788">
        <v>32919259.532765694</v>
      </c>
      <c r="I934" s="788">
        <v>22100610.112509929</v>
      </c>
      <c r="J934" s="788">
        <v>4578894.187674894</v>
      </c>
      <c r="K934" s="788">
        <v>3641314.6230816292</v>
      </c>
      <c r="L934" s="788">
        <v>1548233.0282267577</v>
      </c>
      <c r="M934" s="788">
        <v>0</v>
      </c>
      <c r="N934" s="788">
        <v>974129.34260350547</v>
      </c>
      <c r="O934" s="788">
        <v>76078.238668978738</v>
      </c>
      <c r="P934" s="772">
        <v>0</v>
      </c>
      <c r="Q934" s="774"/>
      <c r="R934" s="774"/>
      <c r="S934" s="774"/>
      <c r="T934" s="774"/>
      <c r="U934" s="774"/>
      <c r="V934" s="774"/>
    </row>
    <row r="935" spans="1:22" hidden="1">
      <c r="A935" s="786">
        <v>935</v>
      </c>
      <c r="B935" s="767"/>
      <c r="C935" s="767" t="s">
        <v>1164</v>
      </c>
      <c r="D935" s="767" t="s">
        <v>1165</v>
      </c>
      <c r="E935" s="767"/>
      <c r="F935" s="806"/>
      <c r="G935" s="778"/>
      <c r="H935" s="788"/>
      <c r="I935" s="788"/>
      <c r="J935" s="788"/>
      <c r="K935" s="788"/>
      <c r="L935" s="788"/>
      <c r="M935" s="788"/>
      <c r="N935" s="788"/>
      <c r="O935" s="788"/>
      <c r="P935" s="772"/>
      <c r="R935" s="774"/>
    </row>
    <row r="936" spans="1:22" hidden="1">
      <c r="A936" s="786">
        <v>936</v>
      </c>
      <c r="B936" s="767"/>
      <c r="C936" s="767"/>
      <c r="D936" s="767"/>
      <c r="E936" s="767" t="s">
        <v>1160</v>
      </c>
      <c r="F936" s="806" t="s">
        <v>1431</v>
      </c>
      <c r="G936" s="792"/>
      <c r="H936" s="815">
        <v>121331428.91328639</v>
      </c>
      <c r="I936" s="815">
        <v>65096528.390854277</v>
      </c>
      <c r="J936" s="815">
        <v>29071097.557096157</v>
      </c>
      <c r="K936" s="815">
        <v>10588459.516597012</v>
      </c>
      <c r="L936" s="815">
        <v>1290850.8420805901</v>
      </c>
      <c r="M936" s="815">
        <v>0</v>
      </c>
      <c r="N936" s="815">
        <v>15033683.599809634</v>
      </c>
      <c r="O936" s="815">
        <v>250809.00684872203</v>
      </c>
      <c r="P936" s="772">
        <v>0</v>
      </c>
      <c r="Q936" s="774"/>
      <c r="R936" s="774">
        <v>1513</v>
      </c>
      <c r="S936" s="774"/>
      <c r="T936" s="774"/>
      <c r="U936" s="774"/>
      <c r="V936" s="774"/>
    </row>
    <row r="937" spans="1:22" hidden="1">
      <c r="A937" s="786">
        <v>937</v>
      </c>
      <c r="B937" s="767"/>
      <c r="C937" s="767"/>
      <c r="D937" s="767"/>
      <c r="E937" s="767" t="s">
        <v>1155</v>
      </c>
      <c r="F937" s="806" t="s">
        <v>575</v>
      </c>
      <c r="G937" s="811"/>
      <c r="H937" s="831">
        <v>0</v>
      </c>
      <c r="I937" s="809">
        <v>0</v>
      </c>
      <c r="J937" s="809">
        <v>0</v>
      </c>
      <c r="K937" s="809">
        <v>0</v>
      </c>
      <c r="L937" s="809">
        <v>0</v>
      </c>
      <c r="M937" s="809">
        <v>0</v>
      </c>
      <c r="N937" s="809">
        <v>0</v>
      </c>
      <c r="O937" s="809">
        <v>0</v>
      </c>
      <c r="P937" s="772">
        <v>0</v>
      </c>
      <c r="Q937" s="774"/>
      <c r="R937" s="774"/>
      <c r="S937" s="774"/>
      <c r="T937" s="774"/>
      <c r="U937" s="774"/>
      <c r="V937" s="774"/>
    </row>
    <row r="938" spans="1:22" hidden="1">
      <c r="A938" s="786">
        <v>938</v>
      </c>
      <c r="B938" s="767"/>
      <c r="C938" s="767"/>
      <c r="D938" s="767"/>
      <c r="E938" s="767"/>
      <c r="F938" s="806"/>
      <c r="G938" s="778"/>
      <c r="H938" s="788">
        <v>121331428.9132864</v>
      </c>
      <c r="I938" s="788">
        <v>65096528.390854277</v>
      </c>
      <c r="J938" s="788">
        <v>29071097.557096157</v>
      </c>
      <c r="K938" s="788">
        <v>10588459.516597012</v>
      </c>
      <c r="L938" s="788">
        <v>1290850.8420805901</v>
      </c>
      <c r="M938" s="788">
        <v>0</v>
      </c>
      <c r="N938" s="788">
        <v>15033683.599809634</v>
      </c>
      <c r="O938" s="788">
        <v>250809.00684872203</v>
      </c>
      <c r="P938" s="772">
        <v>0</v>
      </c>
      <c r="Q938" s="774"/>
      <c r="R938" s="774"/>
      <c r="S938" s="774"/>
      <c r="T938" s="774"/>
      <c r="U938" s="774"/>
      <c r="V938" s="774"/>
    </row>
    <row r="939" spans="1:22" hidden="1">
      <c r="A939" s="786">
        <v>939</v>
      </c>
      <c r="B939" s="767"/>
      <c r="C939" s="767" t="s">
        <v>1166</v>
      </c>
      <c r="D939" s="767" t="s">
        <v>994</v>
      </c>
      <c r="E939" s="767"/>
      <c r="F939" s="806"/>
      <c r="G939" s="778"/>
      <c r="H939" s="788"/>
      <c r="I939" s="788"/>
      <c r="J939" s="788"/>
      <c r="K939" s="788"/>
      <c r="L939" s="788"/>
      <c r="M939" s="788"/>
      <c r="N939" s="788"/>
      <c r="O939" s="788"/>
      <c r="P939" s="772"/>
      <c r="R939" s="774"/>
    </row>
    <row r="940" spans="1:22" hidden="1">
      <c r="A940" s="786">
        <v>940</v>
      </c>
      <c r="B940" s="767"/>
      <c r="C940" s="767"/>
      <c r="D940" s="767"/>
      <c r="E940" s="767" t="s">
        <v>7</v>
      </c>
      <c r="F940" s="806" t="s">
        <v>1432</v>
      </c>
      <c r="G940" s="792"/>
      <c r="H940" s="815">
        <v>70144835.560202315</v>
      </c>
      <c r="I940" s="815">
        <v>51287147.514457449</v>
      </c>
      <c r="J940" s="815">
        <v>14268925.58800371</v>
      </c>
      <c r="K940" s="815">
        <v>3666676.0590689592</v>
      </c>
      <c r="L940" s="815">
        <v>922086.39867220062</v>
      </c>
      <c r="M940" s="815">
        <v>0</v>
      </c>
      <c r="N940" s="815">
        <v>0</v>
      </c>
      <c r="O940" s="815">
        <v>0</v>
      </c>
      <c r="P940" s="772">
        <v>0</v>
      </c>
      <c r="Q940" s="774"/>
      <c r="R940" s="774">
        <v>1519</v>
      </c>
      <c r="S940" s="774"/>
      <c r="T940" s="774"/>
      <c r="U940" s="774"/>
      <c r="V940" s="774"/>
    </row>
    <row r="941" spans="1:22" hidden="1">
      <c r="A941" s="786">
        <v>941</v>
      </c>
      <c r="B941" s="767"/>
      <c r="C941" s="767"/>
      <c r="D941" s="767"/>
      <c r="E941" s="767" t="s">
        <v>1155</v>
      </c>
      <c r="F941" s="806" t="s">
        <v>575</v>
      </c>
      <c r="G941" s="811"/>
      <c r="H941" s="831">
        <v>0</v>
      </c>
      <c r="I941" s="809">
        <v>0</v>
      </c>
      <c r="J941" s="809">
        <v>0</v>
      </c>
      <c r="K941" s="809">
        <v>0</v>
      </c>
      <c r="L941" s="809">
        <v>0</v>
      </c>
      <c r="M941" s="809">
        <v>0</v>
      </c>
      <c r="N941" s="809">
        <v>0</v>
      </c>
      <c r="O941" s="809">
        <v>0</v>
      </c>
      <c r="P941" s="772">
        <v>0</v>
      </c>
      <c r="Q941" s="774"/>
      <c r="R941" s="774"/>
      <c r="S941" s="774"/>
      <c r="T941" s="774"/>
      <c r="U941" s="774"/>
      <c r="V941" s="774"/>
    </row>
    <row r="942" spans="1:22" hidden="1">
      <c r="A942" s="786">
        <v>942</v>
      </c>
      <c r="B942" s="767"/>
      <c r="C942" s="767"/>
      <c r="D942" s="767"/>
      <c r="E942" s="767"/>
      <c r="F942" s="806"/>
      <c r="G942" s="778"/>
      <c r="H942" s="788">
        <v>70144835.560202315</v>
      </c>
      <c r="I942" s="788">
        <v>51287147.514457449</v>
      </c>
      <c r="J942" s="788">
        <v>14268925.58800371</v>
      </c>
      <c r="K942" s="788">
        <v>3666676.0590689592</v>
      </c>
      <c r="L942" s="788">
        <v>922086.39867220062</v>
      </c>
      <c r="M942" s="788">
        <v>0</v>
      </c>
      <c r="N942" s="788">
        <v>0</v>
      </c>
      <c r="O942" s="788">
        <v>0</v>
      </c>
      <c r="P942" s="772">
        <v>0</v>
      </c>
      <c r="Q942" s="774"/>
      <c r="R942" s="774"/>
      <c r="S942" s="774"/>
      <c r="T942" s="774"/>
      <c r="U942" s="774"/>
      <c r="V942" s="774"/>
    </row>
    <row r="943" spans="1:22" hidden="1">
      <c r="A943" s="786">
        <v>943</v>
      </c>
      <c r="B943" s="767"/>
      <c r="C943" s="767" t="s">
        <v>1167</v>
      </c>
      <c r="D943" s="767" t="s">
        <v>995</v>
      </c>
      <c r="E943" s="767"/>
      <c r="F943" s="806"/>
      <c r="G943" s="778"/>
      <c r="H943" s="788"/>
      <c r="I943" s="788"/>
      <c r="J943" s="788"/>
      <c r="K943" s="788"/>
      <c r="L943" s="788"/>
      <c r="M943" s="788"/>
      <c r="N943" s="788"/>
      <c r="O943" s="788"/>
      <c r="P943" s="772"/>
      <c r="R943" s="774"/>
    </row>
    <row r="944" spans="1:22" hidden="1">
      <c r="A944" s="786">
        <v>944</v>
      </c>
      <c r="B944" s="767"/>
      <c r="C944" s="767"/>
      <c r="D944" s="767"/>
      <c r="E944" s="767" t="s">
        <v>7</v>
      </c>
      <c r="F944" s="806" t="s">
        <v>1433</v>
      </c>
      <c r="G944" s="792"/>
      <c r="H944" s="815">
        <v>14106063.879547346</v>
      </c>
      <c r="I944" s="815">
        <v>9574638.6349774078</v>
      </c>
      <c r="J944" s="815">
        <v>2463004.0162662389</v>
      </c>
      <c r="K944" s="815">
        <v>1075089.7607169012</v>
      </c>
      <c r="L944" s="815">
        <v>188706.43889434804</v>
      </c>
      <c r="M944" s="815">
        <v>0</v>
      </c>
      <c r="N944" s="815">
        <v>804625.02869245177</v>
      </c>
      <c r="O944" s="815">
        <v>0</v>
      </c>
      <c r="P944" s="772">
        <v>0</v>
      </c>
      <c r="Q944" s="774"/>
      <c r="R944" s="774">
        <v>1526</v>
      </c>
      <c r="S944" s="774"/>
      <c r="T944" s="774"/>
      <c r="U944" s="774"/>
      <c r="V944" s="774"/>
    </row>
    <row r="945" spans="1:22" hidden="1">
      <c r="A945" s="786">
        <v>945</v>
      </c>
      <c r="B945" s="767"/>
      <c r="C945" s="767"/>
      <c r="D945" s="767"/>
      <c r="E945" s="767" t="s">
        <v>1155</v>
      </c>
      <c r="F945" s="806" t="s">
        <v>575</v>
      </c>
      <c r="G945" s="811"/>
      <c r="H945" s="831">
        <v>110788.96</v>
      </c>
      <c r="I945" s="809">
        <v>0</v>
      </c>
      <c r="J945" s="809">
        <v>0</v>
      </c>
      <c r="K945" s="809">
        <v>0</v>
      </c>
      <c r="L945" s="809">
        <v>0</v>
      </c>
      <c r="M945" s="809">
        <v>110788.96</v>
      </c>
      <c r="N945" s="809">
        <v>0</v>
      </c>
      <c r="O945" s="809">
        <v>0</v>
      </c>
      <c r="P945" s="772">
        <v>0</v>
      </c>
      <c r="Q945" s="774"/>
      <c r="R945" s="774"/>
      <c r="S945" s="774"/>
      <c r="T945" s="774"/>
      <c r="U945" s="774"/>
      <c r="V945" s="774"/>
    </row>
    <row r="946" spans="1:22" hidden="1">
      <c r="A946" s="786">
        <v>946</v>
      </c>
      <c r="B946" s="767"/>
      <c r="C946" s="767"/>
      <c r="D946" s="767"/>
      <c r="E946" s="767"/>
      <c r="F946" s="806"/>
      <c r="G946" s="778"/>
      <c r="H946" s="788">
        <v>14216852.839547347</v>
      </c>
      <c r="I946" s="788">
        <v>9574638.6349774078</v>
      </c>
      <c r="J946" s="788">
        <v>2463004.0162662389</v>
      </c>
      <c r="K946" s="788">
        <v>1075089.7607169012</v>
      </c>
      <c r="L946" s="788">
        <v>188706.43889434804</v>
      </c>
      <c r="M946" s="788">
        <v>110788.96</v>
      </c>
      <c r="N946" s="788">
        <v>804625.02869245177</v>
      </c>
      <c r="O946" s="788">
        <v>0</v>
      </c>
      <c r="P946" s="772">
        <v>0</v>
      </c>
      <c r="Q946" s="774"/>
      <c r="R946" s="774"/>
      <c r="S946" s="774"/>
      <c r="T946" s="774"/>
      <c r="U946" s="774"/>
      <c r="V946" s="774"/>
    </row>
    <row r="947" spans="1:22" hidden="1">
      <c r="A947" s="786">
        <v>947</v>
      </c>
      <c r="B947" s="767"/>
      <c r="C947" s="767" t="s">
        <v>1168</v>
      </c>
      <c r="D947" s="767" t="s">
        <v>1169</v>
      </c>
      <c r="E947" s="767"/>
      <c r="F947" s="806"/>
      <c r="G947" s="778"/>
      <c r="H947" s="788"/>
      <c r="I947" s="788"/>
      <c r="J947" s="788"/>
      <c r="K947" s="788"/>
      <c r="L947" s="788"/>
      <c r="M947" s="788"/>
      <c r="N947" s="788"/>
      <c r="O947" s="788"/>
      <c r="P947" s="772"/>
      <c r="R947" s="774"/>
    </row>
    <row r="948" spans="1:22" hidden="1">
      <c r="A948" s="786">
        <v>948</v>
      </c>
      <c r="B948" s="767"/>
      <c r="C948" s="767"/>
      <c r="D948" s="767"/>
      <c r="E948" s="767" t="s">
        <v>1154</v>
      </c>
      <c r="F948" s="806" t="s">
        <v>1398</v>
      </c>
      <c r="G948" s="792"/>
      <c r="H948" s="815">
        <v>0</v>
      </c>
      <c r="I948" s="815">
        <v>0</v>
      </c>
      <c r="J948" s="815">
        <v>0</v>
      </c>
      <c r="K948" s="815">
        <v>0</v>
      </c>
      <c r="L948" s="815">
        <v>0</v>
      </c>
      <c r="M948" s="815">
        <v>0</v>
      </c>
      <c r="N948" s="815">
        <v>0</v>
      </c>
      <c r="O948" s="815">
        <v>0</v>
      </c>
      <c r="P948" s="772">
        <v>0</v>
      </c>
      <c r="Q948" s="774"/>
      <c r="R948" s="774">
        <v>1532</v>
      </c>
      <c r="S948" s="774"/>
      <c r="T948" s="774"/>
      <c r="U948" s="774"/>
      <c r="V948" s="774"/>
    </row>
    <row r="949" spans="1:22" hidden="1">
      <c r="A949" s="786">
        <v>949</v>
      </c>
      <c r="B949" s="767"/>
      <c r="C949" s="767"/>
      <c r="D949" s="767"/>
      <c r="E949" s="767" t="s">
        <v>1160</v>
      </c>
      <c r="F949" s="806" t="s">
        <v>1430</v>
      </c>
      <c r="G949" s="792"/>
      <c r="H949" s="815">
        <v>0</v>
      </c>
      <c r="I949" s="815">
        <v>0</v>
      </c>
      <c r="J949" s="815">
        <v>0</v>
      </c>
      <c r="K949" s="815">
        <v>0</v>
      </c>
      <c r="L949" s="815">
        <v>0</v>
      </c>
      <c r="M949" s="815">
        <v>0</v>
      </c>
      <c r="N949" s="815">
        <v>0</v>
      </c>
      <c r="O949" s="815">
        <v>0</v>
      </c>
      <c r="P949" s="772">
        <v>0</v>
      </c>
      <c r="Q949" s="774"/>
      <c r="R949" s="774"/>
      <c r="S949" s="774"/>
      <c r="T949" s="774"/>
      <c r="U949" s="774"/>
      <c r="V949" s="774"/>
    </row>
    <row r="950" spans="1:22" hidden="1">
      <c r="A950" s="786">
        <v>950</v>
      </c>
      <c r="B950" s="767"/>
      <c r="C950" s="767"/>
      <c r="D950" s="767"/>
      <c r="E950" s="767" t="s">
        <v>1155</v>
      </c>
      <c r="F950" s="806" t="s">
        <v>575</v>
      </c>
      <c r="G950" s="811"/>
      <c r="H950" s="831">
        <v>546583.48480086296</v>
      </c>
      <c r="I950" s="809">
        <v>0</v>
      </c>
      <c r="J950" s="809">
        <v>0</v>
      </c>
      <c r="K950" s="809">
        <v>0</v>
      </c>
      <c r="L950" s="809">
        <v>0</v>
      </c>
      <c r="M950" s="809">
        <v>0</v>
      </c>
      <c r="N950" s="809">
        <v>0</v>
      </c>
      <c r="O950" s="809">
        <v>546583.48480086296</v>
      </c>
      <c r="P950" s="772">
        <v>0</v>
      </c>
      <c r="Q950" s="774"/>
      <c r="R950" s="774"/>
      <c r="S950" s="774"/>
      <c r="T950" s="774"/>
      <c r="U950" s="774"/>
      <c r="V950" s="774"/>
    </row>
    <row r="951" spans="1:22" hidden="1">
      <c r="A951" s="786">
        <v>951</v>
      </c>
      <c r="B951" s="767"/>
      <c r="C951" s="767"/>
      <c r="D951" s="767"/>
      <c r="E951" s="767"/>
      <c r="F951" s="806"/>
      <c r="G951" s="792"/>
      <c r="H951" s="788">
        <v>546583.48480086296</v>
      </c>
      <c r="I951" s="788">
        <v>0</v>
      </c>
      <c r="J951" s="788">
        <v>0</v>
      </c>
      <c r="K951" s="788">
        <v>0</v>
      </c>
      <c r="L951" s="788">
        <v>0</v>
      </c>
      <c r="M951" s="788">
        <v>0</v>
      </c>
      <c r="N951" s="788">
        <v>0</v>
      </c>
      <c r="O951" s="788">
        <v>546583.48480086296</v>
      </c>
      <c r="P951" s="772">
        <v>0</v>
      </c>
      <c r="Q951" s="774"/>
      <c r="R951" s="774"/>
      <c r="S951" s="774"/>
      <c r="T951" s="774"/>
      <c r="U951" s="774"/>
      <c r="V951" s="774"/>
    </row>
    <row r="952" spans="1:22" hidden="1">
      <c r="A952" s="786">
        <v>952</v>
      </c>
      <c r="B952" s="767"/>
      <c r="C952" s="767" t="s">
        <v>1170</v>
      </c>
      <c r="D952" s="767" t="s">
        <v>997</v>
      </c>
      <c r="E952" s="767"/>
      <c r="F952" s="806"/>
      <c r="G952" s="792"/>
      <c r="H952" s="788"/>
      <c r="I952" s="788"/>
      <c r="J952" s="788"/>
      <c r="K952" s="788"/>
      <c r="L952" s="788"/>
      <c r="M952" s="788"/>
      <c r="N952" s="788"/>
      <c r="O952" s="788"/>
      <c r="P952" s="772"/>
      <c r="R952" s="774"/>
    </row>
    <row r="953" spans="1:22" hidden="1">
      <c r="A953" s="786">
        <v>953</v>
      </c>
      <c r="B953" s="767"/>
      <c r="C953" s="767"/>
      <c r="D953" s="767"/>
      <c r="E953" s="767" t="s">
        <v>1154</v>
      </c>
      <c r="F953" s="806" t="s">
        <v>1398</v>
      </c>
      <c r="G953" s="811"/>
      <c r="H953" s="815">
        <v>0</v>
      </c>
      <c r="I953" s="815">
        <v>0</v>
      </c>
      <c r="J953" s="815">
        <v>0</v>
      </c>
      <c r="K953" s="815">
        <v>0</v>
      </c>
      <c r="L953" s="815">
        <v>0</v>
      </c>
      <c r="M953" s="815">
        <v>0</v>
      </c>
      <c r="N953" s="815">
        <v>0</v>
      </c>
      <c r="O953" s="815">
        <v>0</v>
      </c>
      <c r="P953" s="772">
        <v>0</v>
      </c>
      <c r="Q953" s="774"/>
      <c r="R953" s="774">
        <v>1539</v>
      </c>
      <c r="S953" s="774"/>
      <c r="T953" s="774"/>
      <c r="U953" s="774"/>
      <c r="V953" s="774"/>
    </row>
    <row r="954" spans="1:22" hidden="1">
      <c r="A954" s="786">
        <v>954</v>
      </c>
      <c r="B954" s="767"/>
      <c r="C954" s="767"/>
      <c r="D954" s="767"/>
      <c r="E954" s="767" t="s">
        <v>1160</v>
      </c>
      <c r="F954" s="806" t="s">
        <v>1430</v>
      </c>
      <c r="G954" s="811"/>
      <c r="H954" s="815">
        <v>0</v>
      </c>
      <c r="I954" s="815">
        <v>0</v>
      </c>
      <c r="J954" s="815">
        <v>0</v>
      </c>
      <c r="K954" s="815">
        <v>0</v>
      </c>
      <c r="L954" s="815">
        <v>0</v>
      </c>
      <c r="M954" s="815">
        <v>0</v>
      </c>
      <c r="N954" s="815">
        <v>0</v>
      </c>
      <c r="O954" s="815">
        <v>0</v>
      </c>
      <c r="P954" s="772">
        <v>0</v>
      </c>
      <c r="Q954" s="774"/>
      <c r="R954" s="774"/>
      <c r="S954" s="774"/>
      <c r="T954" s="774"/>
      <c r="U954" s="774"/>
      <c r="V954" s="774"/>
    </row>
    <row r="955" spans="1:22" hidden="1">
      <c r="A955" s="786">
        <v>955</v>
      </c>
      <c r="B955" s="767"/>
      <c r="C955" s="767"/>
      <c r="D955" s="767"/>
      <c r="E955" s="767" t="s">
        <v>1155</v>
      </c>
      <c r="F955" s="806" t="s">
        <v>575</v>
      </c>
      <c r="G955" s="811"/>
      <c r="H955" s="831">
        <v>0</v>
      </c>
      <c r="I955" s="809">
        <v>0</v>
      </c>
      <c r="J955" s="809">
        <v>0</v>
      </c>
      <c r="K955" s="809">
        <v>0</v>
      </c>
      <c r="L955" s="809">
        <v>0</v>
      </c>
      <c r="M955" s="809">
        <v>0</v>
      </c>
      <c r="N955" s="809">
        <v>0</v>
      </c>
      <c r="O955" s="809">
        <v>0</v>
      </c>
      <c r="P955" s="772">
        <v>0</v>
      </c>
      <c r="Q955" s="774"/>
      <c r="R955" s="774"/>
      <c r="S955" s="774"/>
      <c r="T955" s="774"/>
      <c r="U955" s="774"/>
      <c r="V955" s="774"/>
    </row>
    <row r="956" spans="1:22" hidden="1">
      <c r="A956" s="786">
        <v>956</v>
      </c>
      <c r="B956" s="767"/>
      <c r="C956" s="767"/>
      <c r="D956" s="767"/>
      <c r="E956" s="767"/>
      <c r="F956" s="806"/>
      <c r="G956" s="778"/>
      <c r="H956" s="788">
        <v>0</v>
      </c>
      <c r="I956" s="788">
        <v>0</v>
      </c>
      <c r="J956" s="788">
        <v>0</v>
      </c>
      <c r="K956" s="788">
        <v>0</v>
      </c>
      <c r="L956" s="788">
        <v>0</v>
      </c>
      <c r="M956" s="788">
        <v>0</v>
      </c>
      <c r="N956" s="788">
        <v>0</v>
      </c>
      <c r="O956" s="788">
        <v>0</v>
      </c>
      <c r="P956" s="772">
        <v>0</v>
      </c>
      <c r="Q956" s="774"/>
      <c r="R956" s="774"/>
      <c r="S956" s="774"/>
      <c r="T956" s="774"/>
      <c r="U956" s="774"/>
      <c r="V956" s="774"/>
    </row>
    <row r="957" spans="1:22" hidden="1">
      <c r="A957" s="786">
        <v>957</v>
      </c>
      <c r="B957" s="767"/>
      <c r="E957" s="767"/>
      <c r="F957" s="806"/>
      <c r="G957" s="778"/>
      <c r="H957" s="788"/>
      <c r="I957" s="788"/>
      <c r="J957" s="788"/>
      <c r="K957" s="788"/>
      <c r="L957" s="788"/>
      <c r="M957" s="788"/>
      <c r="N957" s="788"/>
      <c r="O957" s="788"/>
      <c r="P957" s="772"/>
      <c r="R957" s="774"/>
    </row>
    <row r="958" spans="1:22" hidden="1">
      <c r="A958" s="786">
        <v>958</v>
      </c>
      <c r="B958" s="767"/>
      <c r="C958" s="767" t="s">
        <v>1171</v>
      </c>
      <c r="D958" s="767" t="s">
        <v>1172</v>
      </c>
      <c r="F958" s="806" t="s">
        <v>575</v>
      </c>
      <c r="G958" s="811"/>
      <c r="H958" s="831">
        <v>5044269.550829011</v>
      </c>
      <c r="I958" s="809">
        <v>0</v>
      </c>
      <c r="J958" s="809">
        <v>0</v>
      </c>
      <c r="K958" s="809">
        <v>0</v>
      </c>
      <c r="L958" s="809">
        <v>0</v>
      </c>
      <c r="M958" s="809">
        <v>0</v>
      </c>
      <c r="N958" s="809">
        <v>0</v>
      </c>
      <c r="O958" s="809">
        <v>5044269.550829011</v>
      </c>
      <c r="P958" s="772">
        <v>0</v>
      </c>
      <c r="Q958" s="774"/>
      <c r="R958" s="774">
        <v>1548</v>
      </c>
      <c r="S958" s="774"/>
      <c r="T958" s="774"/>
      <c r="U958" s="774"/>
      <c r="V958" s="774"/>
    </row>
    <row r="959" spans="1:22" hidden="1">
      <c r="A959" s="786">
        <v>959</v>
      </c>
      <c r="B959" s="767"/>
      <c r="C959" s="767"/>
      <c r="D959" s="767"/>
      <c r="E959" s="767"/>
      <c r="F959" s="806"/>
      <c r="G959" s="778"/>
      <c r="H959" s="813"/>
      <c r="I959" s="813"/>
      <c r="J959" s="813"/>
      <c r="K959" s="813"/>
      <c r="L959" s="813"/>
      <c r="M959" s="813"/>
      <c r="N959" s="813"/>
      <c r="O959" s="813"/>
      <c r="P959" s="772"/>
      <c r="R959" s="774"/>
    </row>
    <row r="960" spans="1:22" hidden="1">
      <c r="A960" s="786">
        <v>960</v>
      </c>
      <c r="B960" s="767"/>
      <c r="C960" s="767"/>
      <c r="D960" s="767"/>
      <c r="E960" s="767"/>
      <c r="F960" s="806"/>
      <c r="G960" s="778"/>
      <c r="H960" s="788"/>
      <c r="I960" s="788"/>
      <c r="J960" s="788"/>
      <c r="K960" s="788"/>
      <c r="L960" s="788"/>
      <c r="M960" s="788"/>
      <c r="N960" s="788"/>
      <c r="O960" s="788"/>
      <c r="P960" s="772"/>
      <c r="R960" s="774"/>
    </row>
    <row r="961" spans="1:22" hidden="1">
      <c r="A961" s="786">
        <v>961</v>
      </c>
      <c r="B961" s="767"/>
      <c r="C961" s="767" t="s">
        <v>1173</v>
      </c>
      <c r="D961" s="767" t="s">
        <v>1174</v>
      </c>
      <c r="E961" s="767"/>
      <c r="F961" s="806" t="s">
        <v>1430</v>
      </c>
      <c r="G961" s="778"/>
      <c r="H961" s="815">
        <v>4546566.7</v>
      </c>
      <c r="I961" s="815">
        <v>3922851.1972028404</v>
      </c>
      <c r="J961" s="815">
        <v>611748.62917174515</v>
      </c>
      <c r="K961" s="815">
        <v>0</v>
      </c>
      <c r="L961" s="815">
        <v>0</v>
      </c>
      <c r="M961" s="815">
        <v>0</v>
      </c>
      <c r="N961" s="815">
        <v>0</v>
      </c>
      <c r="O961" s="815">
        <v>11966.873625415128</v>
      </c>
      <c r="P961" s="772">
        <v>0</v>
      </c>
      <c r="Q961" s="774"/>
      <c r="R961" s="774">
        <v>1551</v>
      </c>
      <c r="S961" s="774"/>
      <c r="T961" s="774"/>
      <c r="U961" s="774"/>
      <c r="V961" s="774"/>
    </row>
    <row r="962" spans="1:22" hidden="1">
      <c r="A962" s="786">
        <v>962</v>
      </c>
      <c r="B962" s="767"/>
      <c r="C962" s="767" t="s">
        <v>1175</v>
      </c>
      <c r="D962" s="767" t="s">
        <v>1176</v>
      </c>
      <c r="E962" s="767"/>
      <c r="F962" s="806" t="s">
        <v>1398</v>
      </c>
      <c r="G962" s="792"/>
      <c r="H962" s="828">
        <v>0</v>
      </c>
      <c r="I962" s="828">
        <v>0</v>
      </c>
      <c r="J962" s="828">
        <v>0</v>
      </c>
      <c r="K962" s="828">
        <v>0</v>
      </c>
      <c r="L962" s="828">
        <v>0</v>
      </c>
      <c r="M962" s="828">
        <v>0</v>
      </c>
      <c r="N962" s="828">
        <v>0</v>
      </c>
      <c r="O962" s="828">
        <v>0</v>
      </c>
      <c r="P962" s="772">
        <v>0</v>
      </c>
      <c r="Q962" s="774"/>
      <c r="R962" s="774">
        <v>1555</v>
      </c>
      <c r="S962" s="774"/>
      <c r="T962" s="774"/>
      <c r="U962" s="774"/>
      <c r="V962" s="774"/>
    </row>
    <row r="963" spans="1:22" hidden="1">
      <c r="A963" s="786">
        <v>963</v>
      </c>
      <c r="B963" s="767"/>
      <c r="C963" s="767" t="s">
        <v>1177</v>
      </c>
      <c r="D963" s="767"/>
      <c r="E963" s="767"/>
      <c r="F963" s="806"/>
      <c r="G963" s="778"/>
      <c r="H963" s="788">
        <v>551435929.11724138</v>
      </c>
      <c r="I963" s="788">
        <v>305662169.36589593</v>
      </c>
      <c r="J963" s="788">
        <v>93363988.731615648</v>
      </c>
      <c r="K963" s="788">
        <v>78152139.056913331</v>
      </c>
      <c r="L963" s="788">
        <v>29112590.627764385</v>
      </c>
      <c r="M963" s="788">
        <v>5961280.4266037289</v>
      </c>
      <c r="N963" s="788">
        <v>32644510.741815757</v>
      </c>
      <c r="O963" s="788">
        <v>6539250.1666324912</v>
      </c>
      <c r="P963" s="772">
        <v>0</v>
      </c>
      <c r="Q963" s="774"/>
      <c r="R963" s="774"/>
      <c r="S963" s="774"/>
      <c r="T963" s="774"/>
      <c r="U963" s="774"/>
      <c r="V963" s="774"/>
    </row>
    <row r="964" spans="1:22" hidden="1">
      <c r="A964" s="786">
        <v>964</v>
      </c>
      <c r="B964" s="767"/>
      <c r="C964" s="767"/>
      <c r="D964" s="767"/>
      <c r="E964" s="767"/>
      <c r="F964" s="806"/>
      <c r="G964" s="830"/>
      <c r="H964" s="817"/>
      <c r="I964" s="817"/>
      <c r="J964" s="817"/>
      <c r="K964" s="817"/>
      <c r="L964" s="819"/>
      <c r="M964" s="817"/>
      <c r="N964" s="817"/>
      <c r="O964" s="817"/>
      <c r="P964" s="772"/>
      <c r="R964" s="774"/>
    </row>
    <row r="965" spans="1:22" hidden="1">
      <c r="A965" s="786">
        <v>965</v>
      </c>
      <c r="B965" s="767"/>
      <c r="C965" s="781" t="s">
        <v>714</v>
      </c>
      <c r="D965" s="767"/>
      <c r="E965" s="767"/>
      <c r="F965" s="806"/>
      <c r="G965" s="778"/>
      <c r="H965" s="817" t="s">
        <v>1178</v>
      </c>
      <c r="I965" s="817"/>
      <c r="J965" s="817"/>
      <c r="K965" s="817"/>
      <c r="L965" s="817"/>
      <c r="M965" s="817"/>
      <c r="N965" s="817"/>
      <c r="O965" s="817"/>
      <c r="P965" s="772"/>
      <c r="R965" s="774"/>
    </row>
    <row r="966" spans="1:22" hidden="1">
      <c r="A966" s="786">
        <v>966</v>
      </c>
      <c r="B966" s="767"/>
      <c r="C966" s="767"/>
      <c r="D966" s="767"/>
      <c r="E966" s="767"/>
      <c r="F966" s="806"/>
      <c r="G966" s="778"/>
      <c r="H966" s="810"/>
      <c r="I966" s="810"/>
      <c r="J966" s="810"/>
      <c r="K966" s="810"/>
      <c r="L966" s="810"/>
      <c r="M966" s="810"/>
      <c r="N966" s="810"/>
      <c r="O966" s="810"/>
      <c r="P966" s="772"/>
      <c r="R966" s="774"/>
    </row>
    <row r="967" spans="1:22" hidden="1">
      <c r="A967" s="786">
        <v>967</v>
      </c>
      <c r="B967" s="767"/>
      <c r="C967" s="777" t="s">
        <v>575</v>
      </c>
      <c r="D967" s="767"/>
      <c r="E967" s="777" t="s">
        <v>576</v>
      </c>
      <c r="F967" s="806" t="s">
        <v>577</v>
      </c>
      <c r="G967" s="778"/>
      <c r="H967" s="777" t="s">
        <v>578</v>
      </c>
      <c r="I967" s="777" t="s">
        <v>579</v>
      </c>
      <c r="J967" s="777" t="s">
        <v>580</v>
      </c>
      <c r="K967" s="777" t="s">
        <v>581</v>
      </c>
      <c r="L967" s="777" t="s">
        <v>582</v>
      </c>
      <c r="M967" s="777" t="s">
        <v>583</v>
      </c>
      <c r="N967" s="777" t="s">
        <v>584</v>
      </c>
      <c r="O967" s="777" t="s">
        <v>585</v>
      </c>
      <c r="P967" s="772"/>
      <c r="R967" s="774"/>
    </row>
    <row r="968" spans="1:22" ht="38.25" hidden="1">
      <c r="A968" s="786">
        <v>968</v>
      </c>
      <c r="B968" s="767"/>
      <c r="C968" s="797" t="s">
        <v>656</v>
      </c>
      <c r="D968" s="781"/>
      <c r="E968" s="782" t="s">
        <v>587</v>
      </c>
      <c r="F968" s="806" t="s">
        <v>1391</v>
      </c>
      <c r="G968" s="783"/>
      <c r="H968" s="829" t="s">
        <v>588</v>
      </c>
      <c r="I968" s="829" t="s">
        <v>589</v>
      </c>
      <c r="J968" s="829" t="s">
        <v>590</v>
      </c>
      <c r="K968" s="829" t="s">
        <v>591</v>
      </c>
      <c r="L968" s="829" t="s">
        <v>592</v>
      </c>
      <c r="M968" s="829" t="s">
        <v>593</v>
      </c>
      <c r="N968" s="829" t="s">
        <v>594</v>
      </c>
      <c r="O968" s="829" t="s">
        <v>595</v>
      </c>
      <c r="P968" s="772"/>
      <c r="R968" s="774"/>
    </row>
    <row r="969" spans="1:22" hidden="1">
      <c r="A969" s="786">
        <v>969</v>
      </c>
      <c r="B969" s="767"/>
      <c r="C969" s="767" t="s">
        <v>1179</v>
      </c>
      <c r="D969" s="775" t="s">
        <v>1060</v>
      </c>
      <c r="E969" s="767"/>
      <c r="F969" s="806"/>
      <c r="G969" s="778"/>
      <c r="H969" s="788"/>
      <c r="I969" s="788"/>
      <c r="J969" s="788"/>
      <c r="K969" s="788"/>
      <c r="L969" s="788"/>
      <c r="M969" s="788"/>
      <c r="N969" s="788"/>
      <c r="O969" s="788"/>
      <c r="P969" s="772"/>
      <c r="R969" s="774"/>
    </row>
    <row r="970" spans="1:22" hidden="1">
      <c r="A970" s="786">
        <v>970</v>
      </c>
      <c r="B970" s="767"/>
      <c r="C970" s="767"/>
      <c r="D970" s="767"/>
      <c r="E970" s="767" t="s">
        <v>727</v>
      </c>
      <c r="F970" s="806" t="s">
        <v>1425</v>
      </c>
      <c r="G970" s="778"/>
      <c r="H970" s="815">
        <v>1098826.3500000001</v>
      </c>
      <c r="I970" s="815">
        <v>572766.13066357537</v>
      </c>
      <c r="J970" s="815">
        <v>173750.30264772469</v>
      </c>
      <c r="K970" s="815">
        <v>179520.21060727315</v>
      </c>
      <c r="L970" s="815">
        <v>69187.836180794795</v>
      </c>
      <c r="M970" s="815">
        <v>36619.80657213449</v>
      </c>
      <c r="N970" s="815">
        <v>57545.91004894214</v>
      </c>
      <c r="O970" s="815">
        <v>9436.153279555283</v>
      </c>
      <c r="P970" s="772">
        <v>0</v>
      </c>
      <c r="Q970" s="774"/>
      <c r="R970" s="774">
        <v>1562</v>
      </c>
      <c r="S970" s="774"/>
      <c r="T970" s="774"/>
      <c r="U970" s="774"/>
      <c r="V970" s="774"/>
    </row>
    <row r="971" spans="1:22" hidden="1">
      <c r="A971" s="786">
        <v>971</v>
      </c>
      <c r="B971" s="767"/>
      <c r="C971" s="767"/>
      <c r="D971" s="767"/>
      <c r="E971" s="767" t="s">
        <v>1003</v>
      </c>
      <c r="F971" s="806" t="s">
        <v>1410</v>
      </c>
      <c r="G971" s="778"/>
      <c r="H971" s="815">
        <v>78274.160878202412</v>
      </c>
      <c r="I971" s="815">
        <v>63823.265550100194</v>
      </c>
      <c r="J971" s="815">
        <v>11077.938785248705</v>
      </c>
      <c r="K971" s="815">
        <v>644.7611260316412</v>
      </c>
      <c r="L971" s="815">
        <v>164.9595888495397</v>
      </c>
      <c r="M971" s="815">
        <v>2.5584144904405162</v>
      </c>
      <c r="N971" s="815">
        <v>1084.2046291843944</v>
      </c>
      <c r="O971" s="815">
        <v>1476.4727842974899</v>
      </c>
      <c r="P971" s="772">
        <v>0</v>
      </c>
      <c r="Q971" s="774"/>
      <c r="R971" s="774">
        <v>1563</v>
      </c>
      <c r="S971" s="774"/>
      <c r="T971" s="774"/>
      <c r="U971" s="774"/>
      <c r="V971" s="774"/>
    </row>
    <row r="972" spans="1:22" hidden="1">
      <c r="A972" s="786">
        <v>972</v>
      </c>
      <c r="B972" s="767"/>
      <c r="C972" s="767"/>
      <c r="D972" s="767"/>
      <c r="E972" s="767" t="s">
        <v>1002</v>
      </c>
      <c r="F972" s="806" t="s">
        <v>1426</v>
      </c>
      <c r="G972" s="778"/>
      <c r="H972" s="815">
        <v>0</v>
      </c>
      <c r="I972" s="815">
        <v>0</v>
      </c>
      <c r="J972" s="815">
        <v>0</v>
      </c>
      <c r="K972" s="815">
        <v>0</v>
      </c>
      <c r="L972" s="815">
        <v>0</v>
      </c>
      <c r="M972" s="815">
        <v>0</v>
      </c>
      <c r="N972" s="815">
        <v>0</v>
      </c>
      <c r="O972" s="815">
        <v>0</v>
      </c>
      <c r="P972" s="772">
        <v>0</v>
      </c>
      <c r="Q972" s="774"/>
      <c r="R972" s="774">
        <v>1564</v>
      </c>
      <c r="S972" s="774"/>
      <c r="T972" s="774"/>
      <c r="U972" s="774"/>
      <c r="V972" s="774"/>
    </row>
    <row r="973" spans="1:22" hidden="1">
      <c r="A973" s="786">
        <v>973</v>
      </c>
      <c r="B973" s="767"/>
      <c r="C973" s="767"/>
      <c r="D973" s="767"/>
      <c r="E973" s="767" t="s">
        <v>1180</v>
      </c>
      <c r="F973" s="806" t="s">
        <v>1426</v>
      </c>
      <c r="G973" s="778"/>
      <c r="H973" s="815">
        <v>0</v>
      </c>
      <c r="I973" s="815">
        <v>0</v>
      </c>
      <c r="J973" s="815">
        <v>0</v>
      </c>
      <c r="K973" s="815">
        <v>0</v>
      </c>
      <c r="L973" s="815">
        <v>0</v>
      </c>
      <c r="M973" s="815">
        <v>0</v>
      </c>
      <c r="N973" s="815">
        <v>0</v>
      </c>
      <c r="O973" s="815">
        <v>0</v>
      </c>
      <c r="P973" s="772">
        <v>0</v>
      </c>
      <c r="Q973" s="774"/>
      <c r="R973" s="774">
        <v>1565</v>
      </c>
      <c r="S973" s="774"/>
      <c r="T973" s="774"/>
      <c r="U973" s="774"/>
      <c r="V973" s="774"/>
    </row>
    <row r="974" spans="1:22" hidden="1">
      <c r="A974" s="786">
        <v>974</v>
      </c>
      <c r="B974" s="767"/>
      <c r="C974" s="767"/>
      <c r="D974" s="767"/>
      <c r="E974" s="767" t="s">
        <v>1005</v>
      </c>
      <c r="F974" s="806" t="s">
        <v>1411</v>
      </c>
      <c r="G974" s="778"/>
      <c r="H974" s="815">
        <v>503724.69182073919</v>
      </c>
      <c r="I974" s="815">
        <v>234586.46815019893</v>
      </c>
      <c r="J974" s="815">
        <v>72739.162802325023</v>
      </c>
      <c r="K974" s="815">
        <v>99622.903565925531</v>
      </c>
      <c r="L974" s="815">
        <v>39782.098741501359</v>
      </c>
      <c r="M974" s="815">
        <v>31887.212330369206</v>
      </c>
      <c r="N974" s="815">
        <v>22757.229167612881</v>
      </c>
      <c r="O974" s="815">
        <v>2349.6170628061409</v>
      </c>
      <c r="P974" s="772">
        <v>0</v>
      </c>
      <c r="Q974" s="774"/>
      <c r="R974" s="774">
        <v>1566</v>
      </c>
      <c r="S974" s="774"/>
      <c r="T974" s="774"/>
      <c r="U974" s="774"/>
      <c r="V974" s="774"/>
    </row>
    <row r="975" spans="1:22" hidden="1">
      <c r="A975" s="786">
        <v>975</v>
      </c>
      <c r="B975" s="767"/>
      <c r="C975" s="767"/>
      <c r="D975" s="767" t="s">
        <v>1181</v>
      </c>
      <c r="E975" s="767"/>
      <c r="F975" s="806"/>
      <c r="G975" s="778"/>
      <c r="H975" s="815">
        <v>1680825.2026989413</v>
      </c>
      <c r="I975" s="815">
        <v>871175.86436387454</v>
      </c>
      <c r="J975" s="815">
        <v>257567.40423529843</v>
      </c>
      <c r="K975" s="815">
        <v>279787.87529923033</v>
      </c>
      <c r="L975" s="815">
        <v>109134.89451114569</v>
      </c>
      <c r="M975" s="815">
        <v>68509.577316994139</v>
      </c>
      <c r="N975" s="815">
        <v>81387.343845739408</v>
      </c>
      <c r="O975" s="815">
        <v>13262.243126658916</v>
      </c>
      <c r="P975" s="772">
        <v>0</v>
      </c>
      <c r="Q975" s="774"/>
      <c r="R975" s="774"/>
      <c r="S975" s="774"/>
      <c r="T975" s="774"/>
      <c r="U975" s="774"/>
      <c r="V975" s="774"/>
    </row>
    <row r="976" spans="1:22" hidden="1">
      <c r="A976" s="786">
        <v>976</v>
      </c>
      <c r="B976" s="767"/>
      <c r="C976" s="767"/>
      <c r="D976" s="767"/>
      <c r="E976" s="767"/>
      <c r="F976" s="806"/>
      <c r="G976" s="778"/>
      <c r="H976" s="810"/>
      <c r="I976" s="810"/>
      <c r="J976" s="810"/>
      <c r="K976" s="810"/>
      <c r="L976" s="810"/>
      <c r="M976" s="810"/>
      <c r="N976" s="810"/>
      <c r="O976" s="810"/>
      <c r="P976" s="772"/>
      <c r="R976" s="774"/>
    </row>
    <row r="977" spans="1:22" hidden="1">
      <c r="A977" s="786">
        <v>977</v>
      </c>
      <c r="B977" s="767"/>
      <c r="C977" s="767" t="s">
        <v>1182</v>
      </c>
      <c r="D977" s="775" t="s">
        <v>1063</v>
      </c>
      <c r="E977" s="767"/>
      <c r="F977" s="806"/>
      <c r="G977" s="778"/>
      <c r="H977" s="788"/>
      <c r="I977" s="788"/>
      <c r="J977" s="788"/>
      <c r="K977" s="788"/>
      <c r="L977" s="788"/>
      <c r="M977" s="788"/>
      <c r="N977" s="788"/>
      <c r="O977" s="788"/>
      <c r="P977" s="772"/>
      <c r="R977" s="774"/>
    </row>
    <row r="978" spans="1:22" hidden="1">
      <c r="A978" s="786">
        <v>978</v>
      </c>
      <c r="B978" s="767"/>
      <c r="C978" s="767"/>
      <c r="D978" s="767"/>
      <c r="E978" s="767" t="s">
        <v>727</v>
      </c>
      <c r="F978" s="806" t="s">
        <v>1425</v>
      </c>
      <c r="G978" s="778"/>
      <c r="H978" s="815">
        <v>13944364.900000002</v>
      </c>
      <c r="I978" s="815">
        <v>7268536.9515701681</v>
      </c>
      <c r="J978" s="815">
        <v>2204932.2184577291</v>
      </c>
      <c r="K978" s="815">
        <v>2278153.7079381719</v>
      </c>
      <c r="L978" s="815">
        <v>878009.91880693869</v>
      </c>
      <c r="M978" s="815">
        <v>464713.96086311678</v>
      </c>
      <c r="N978" s="815">
        <v>730271.13722293428</v>
      </c>
      <c r="O978" s="815">
        <v>119747.00514094022</v>
      </c>
      <c r="P978" s="772">
        <v>0</v>
      </c>
      <c r="Q978" s="774"/>
      <c r="R978" s="774">
        <v>1570</v>
      </c>
      <c r="S978" s="774"/>
      <c r="T978" s="774"/>
      <c r="U978" s="774"/>
      <c r="V978" s="774"/>
    </row>
    <row r="979" spans="1:22" hidden="1">
      <c r="A979" s="786">
        <v>979</v>
      </c>
      <c r="B979" s="767"/>
      <c r="C979" s="767"/>
      <c r="D979" s="767"/>
      <c r="E979" s="767" t="s">
        <v>835</v>
      </c>
      <c r="F979" s="806" t="s">
        <v>1426</v>
      </c>
      <c r="G979" s="778"/>
      <c r="H979" s="815">
        <v>0</v>
      </c>
      <c r="I979" s="815">
        <v>0</v>
      </c>
      <c r="J979" s="815">
        <v>0</v>
      </c>
      <c r="K979" s="815">
        <v>0</v>
      </c>
      <c r="L979" s="815">
        <v>0</v>
      </c>
      <c r="M979" s="815">
        <v>0</v>
      </c>
      <c r="N979" s="815">
        <v>0</v>
      </c>
      <c r="O979" s="815">
        <v>0</v>
      </c>
      <c r="P979" s="772">
        <v>0</v>
      </c>
      <c r="Q979" s="774"/>
      <c r="R979" s="774">
        <v>1571</v>
      </c>
      <c r="S979" s="774"/>
      <c r="T979" s="774"/>
      <c r="U979" s="774"/>
      <c r="V979" s="774"/>
    </row>
    <row r="980" spans="1:22" hidden="1">
      <c r="A980" s="786">
        <v>980</v>
      </c>
      <c r="B980" s="767"/>
      <c r="C980" s="767"/>
      <c r="D980" s="767"/>
      <c r="E980" s="767" t="s">
        <v>1002</v>
      </c>
      <c r="F980" s="806" t="s">
        <v>1426</v>
      </c>
      <c r="G980" s="778"/>
      <c r="H980" s="815">
        <v>0</v>
      </c>
      <c r="I980" s="815">
        <v>0</v>
      </c>
      <c r="J980" s="815">
        <v>0</v>
      </c>
      <c r="K980" s="815">
        <v>0</v>
      </c>
      <c r="L980" s="815">
        <v>0</v>
      </c>
      <c r="M980" s="815">
        <v>0</v>
      </c>
      <c r="N980" s="815">
        <v>0</v>
      </c>
      <c r="O980" s="815">
        <v>0</v>
      </c>
      <c r="P980" s="772">
        <v>0</v>
      </c>
      <c r="Q980" s="774"/>
      <c r="R980" s="774">
        <v>1572</v>
      </c>
      <c r="S980" s="774"/>
      <c r="T980" s="774"/>
      <c r="U980" s="774"/>
      <c r="V980" s="774"/>
    </row>
    <row r="981" spans="1:22" hidden="1">
      <c r="A981" s="786">
        <v>981</v>
      </c>
      <c r="B981" s="767"/>
      <c r="C981" s="767"/>
      <c r="D981" s="767"/>
      <c r="E981" s="767" t="s">
        <v>1003</v>
      </c>
      <c r="F981" s="806" t="s">
        <v>1410</v>
      </c>
      <c r="G981" s="778"/>
      <c r="H981" s="815">
        <v>569294.37611125188</v>
      </c>
      <c r="I981" s="815">
        <v>464191.83208191133</v>
      </c>
      <c r="J981" s="815">
        <v>80570.755132848048</v>
      </c>
      <c r="K981" s="815">
        <v>4689.4004211189067</v>
      </c>
      <c r="L981" s="815">
        <v>1199.7645859633776</v>
      </c>
      <c r="M981" s="815">
        <v>18.607557907080928</v>
      </c>
      <c r="N981" s="815">
        <v>7885.5089728639441</v>
      </c>
      <c r="O981" s="815">
        <v>10738.507358639166</v>
      </c>
      <c r="P981" s="772">
        <v>0</v>
      </c>
      <c r="Q981" s="774"/>
      <c r="R981" s="774">
        <v>1573</v>
      </c>
      <c r="S981" s="774"/>
      <c r="T981" s="774"/>
      <c r="U981" s="774"/>
      <c r="V981" s="774"/>
    </row>
    <row r="982" spans="1:22" hidden="1">
      <c r="A982" s="786">
        <v>982</v>
      </c>
      <c r="B982" s="767"/>
      <c r="C982" s="767"/>
      <c r="D982" s="767"/>
      <c r="E982" s="767" t="s">
        <v>1180</v>
      </c>
      <c r="F982" s="806" t="s">
        <v>1426</v>
      </c>
      <c r="G982" s="778"/>
      <c r="H982" s="815">
        <v>718671.99932019215</v>
      </c>
      <c r="I982" s="815">
        <v>312348.45367790444</v>
      </c>
      <c r="J982" s="815">
        <v>95660.911062215659</v>
      </c>
      <c r="K982" s="815">
        <v>156985.0980092992</v>
      </c>
      <c r="L982" s="815">
        <v>63751.357204132903</v>
      </c>
      <c r="M982" s="815">
        <v>61573.113212960234</v>
      </c>
      <c r="N982" s="815">
        <v>27384.009382668239</v>
      </c>
      <c r="O982" s="815">
        <v>969.05677101141794</v>
      </c>
      <c r="P982" s="772">
        <v>0</v>
      </c>
      <c r="Q982" s="774"/>
      <c r="R982" s="774">
        <v>1574</v>
      </c>
      <c r="S982" s="774"/>
      <c r="T982" s="774"/>
      <c r="U982" s="774"/>
      <c r="V982" s="774"/>
    </row>
    <row r="983" spans="1:22" hidden="1">
      <c r="A983" s="786">
        <v>983</v>
      </c>
      <c r="B983" s="767"/>
      <c r="C983" s="767"/>
      <c r="D983" s="767"/>
      <c r="E983" s="767" t="s">
        <v>718</v>
      </c>
      <c r="F983" s="806" t="s">
        <v>1426</v>
      </c>
      <c r="G983" s="778"/>
      <c r="H983" s="815">
        <v>4839.613294965402</v>
      </c>
      <c r="I983" s="815">
        <v>2103.3875405071726</v>
      </c>
      <c r="J983" s="815">
        <v>644.1906981531597</v>
      </c>
      <c r="K983" s="815">
        <v>1057.154262522977</v>
      </c>
      <c r="L983" s="815">
        <v>429.30838572959181</v>
      </c>
      <c r="M983" s="815">
        <v>414.63986018618743</v>
      </c>
      <c r="N983" s="815">
        <v>184.40681702247997</v>
      </c>
      <c r="O983" s="815">
        <v>6.5257308438332711</v>
      </c>
      <c r="P983" s="772">
        <v>0</v>
      </c>
      <c r="Q983" s="774"/>
      <c r="R983" s="774">
        <v>1575</v>
      </c>
      <c r="S983" s="774"/>
      <c r="T983" s="774"/>
      <c r="U983" s="774"/>
      <c r="V983" s="774"/>
    </row>
    <row r="984" spans="1:22" hidden="1">
      <c r="A984" s="786">
        <v>984</v>
      </c>
      <c r="B984" s="767"/>
      <c r="C984" s="767"/>
      <c r="D984" s="767"/>
      <c r="E984" s="767" t="s">
        <v>1005</v>
      </c>
      <c r="F984" s="806" t="s">
        <v>1411</v>
      </c>
      <c r="G984" s="778"/>
      <c r="H984" s="815">
        <v>6470447.4600448664</v>
      </c>
      <c r="I984" s="815">
        <v>3013311.5204595122</v>
      </c>
      <c r="J984" s="815">
        <v>934349.53426421736</v>
      </c>
      <c r="K984" s="815">
        <v>1279676.72382801</v>
      </c>
      <c r="L984" s="815">
        <v>511009.25552564638</v>
      </c>
      <c r="M984" s="815">
        <v>409597.81281552429</v>
      </c>
      <c r="N984" s="815">
        <v>292321.29783632187</v>
      </c>
      <c r="O984" s="815">
        <v>30181.315315633568</v>
      </c>
      <c r="P984" s="772">
        <v>0</v>
      </c>
      <c r="Q984" s="774"/>
      <c r="R984" s="774">
        <v>1576</v>
      </c>
      <c r="S984" s="774"/>
      <c r="T984" s="774"/>
      <c r="U984" s="774"/>
      <c r="V984" s="774"/>
    </row>
    <row r="985" spans="1:22" hidden="1">
      <c r="A985" s="786">
        <v>985</v>
      </c>
      <c r="F985" s="806"/>
      <c r="R985" s="774"/>
    </row>
    <row r="986" spans="1:22" hidden="1">
      <c r="A986" s="786">
        <v>986</v>
      </c>
      <c r="B986" s="767"/>
      <c r="C986" s="767"/>
      <c r="D986" s="775" t="s">
        <v>1183</v>
      </c>
      <c r="E986" s="767"/>
      <c r="F986" s="806"/>
      <c r="G986" s="778"/>
      <c r="H986" s="815">
        <v>21707618.34877127</v>
      </c>
      <c r="I986" s="815">
        <v>11060492.145330004</v>
      </c>
      <c r="J986" s="815">
        <v>3316157.6096151634</v>
      </c>
      <c r="K986" s="815">
        <v>3720562.0844591227</v>
      </c>
      <c r="L986" s="815">
        <v>1454399.6045084111</v>
      </c>
      <c r="M986" s="815">
        <v>936318.13430969464</v>
      </c>
      <c r="N986" s="815">
        <v>1058046.3602318109</v>
      </c>
      <c r="O986" s="815">
        <v>161642.41031706822</v>
      </c>
      <c r="P986" s="772">
        <v>0</v>
      </c>
      <c r="Q986" s="774"/>
      <c r="R986" s="774"/>
      <c r="S986" s="774"/>
      <c r="T986" s="774"/>
      <c r="U986" s="774"/>
      <c r="V986" s="774"/>
    </row>
    <row r="987" spans="1:22" hidden="1">
      <c r="A987" s="786">
        <v>987</v>
      </c>
      <c r="B987" s="767"/>
      <c r="C987" s="767"/>
      <c r="D987" s="767"/>
      <c r="E987" s="767"/>
      <c r="F987" s="806"/>
      <c r="G987" s="778"/>
      <c r="H987" s="810"/>
      <c r="I987" s="810"/>
      <c r="J987" s="810"/>
      <c r="K987" s="810"/>
      <c r="L987" s="810"/>
      <c r="M987" s="810"/>
      <c r="N987" s="810"/>
      <c r="O987" s="810"/>
      <c r="P987" s="772"/>
      <c r="R987" s="774"/>
    </row>
    <row r="988" spans="1:22" hidden="1">
      <c r="A988" s="786">
        <v>988</v>
      </c>
      <c r="B988" s="767"/>
      <c r="C988" s="767" t="s">
        <v>1184</v>
      </c>
      <c r="D988" s="775" t="s">
        <v>1185</v>
      </c>
      <c r="E988" s="767"/>
      <c r="F988" s="806"/>
      <c r="G988" s="778"/>
      <c r="H988" s="788"/>
      <c r="I988" s="788"/>
      <c r="J988" s="788"/>
      <c r="K988" s="788"/>
      <c r="L988" s="788"/>
      <c r="M988" s="788"/>
      <c r="N988" s="788"/>
      <c r="O988" s="788"/>
      <c r="P988" s="772"/>
      <c r="R988" s="774"/>
    </row>
    <row r="989" spans="1:22" hidden="1">
      <c r="A989" s="786">
        <v>989</v>
      </c>
      <c r="B989" s="767"/>
      <c r="C989" s="767"/>
      <c r="D989" s="767"/>
      <c r="E989" s="767" t="s">
        <v>727</v>
      </c>
      <c r="F989" s="806" t="s">
        <v>1425</v>
      </c>
      <c r="G989" s="778"/>
      <c r="H989" s="815">
        <v>308216.82</v>
      </c>
      <c r="I989" s="815">
        <v>160658.82966569896</v>
      </c>
      <c r="J989" s="815">
        <v>48736.331956472714</v>
      </c>
      <c r="K989" s="815">
        <v>50354.77028659168</v>
      </c>
      <c r="L989" s="815">
        <v>19406.938002829575</v>
      </c>
      <c r="M989" s="815">
        <v>10271.723398950518</v>
      </c>
      <c r="N989" s="815">
        <v>16141.419796941518</v>
      </c>
      <c r="O989" s="815">
        <v>2646.8068925150005</v>
      </c>
      <c r="P989" s="772">
        <v>0</v>
      </c>
      <c r="Q989" s="774"/>
      <c r="R989" s="774">
        <v>1580</v>
      </c>
      <c r="S989" s="774"/>
      <c r="T989" s="774"/>
      <c r="U989" s="774"/>
      <c r="V989" s="774"/>
    </row>
    <row r="990" spans="1:22" hidden="1">
      <c r="A990" s="786">
        <v>990</v>
      </c>
      <c r="B990" s="767"/>
      <c r="C990" s="767"/>
      <c r="D990" s="767"/>
      <c r="E990" s="767" t="s">
        <v>1186</v>
      </c>
      <c r="F990" s="806" t="s">
        <v>1426</v>
      </c>
      <c r="G990" s="778"/>
      <c r="H990" s="815">
        <v>0</v>
      </c>
      <c r="I990" s="815">
        <v>0</v>
      </c>
      <c r="J990" s="815">
        <v>0</v>
      </c>
      <c r="K990" s="815">
        <v>0</v>
      </c>
      <c r="L990" s="815">
        <v>0</v>
      </c>
      <c r="M990" s="815">
        <v>0</v>
      </c>
      <c r="N990" s="815">
        <v>0</v>
      </c>
      <c r="O990" s="815">
        <v>0</v>
      </c>
      <c r="P990" s="772">
        <v>0</v>
      </c>
      <c r="Q990" s="774"/>
      <c r="R990" s="774">
        <v>1581</v>
      </c>
      <c r="S990" s="774"/>
      <c r="T990" s="774"/>
      <c r="U990" s="774"/>
      <c r="V990" s="774"/>
    </row>
    <row r="991" spans="1:22" hidden="1">
      <c r="A991" s="786">
        <v>991</v>
      </c>
      <c r="B991" s="767"/>
      <c r="C991" s="767"/>
      <c r="D991" s="767"/>
      <c r="E991" s="767" t="s">
        <v>1187</v>
      </c>
      <c r="F991" s="806" t="s">
        <v>1426</v>
      </c>
      <c r="G991" s="778"/>
      <c r="H991" s="815">
        <v>0</v>
      </c>
      <c r="I991" s="815">
        <v>0</v>
      </c>
      <c r="J991" s="815">
        <v>0</v>
      </c>
      <c r="K991" s="815">
        <v>0</v>
      </c>
      <c r="L991" s="815">
        <v>0</v>
      </c>
      <c r="M991" s="815">
        <v>0</v>
      </c>
      <c r="N991" s="815">
        <v>0</v>
      </c>
      <c r="O991" s="815">
        <v>0</v>
      </c>
      <c r="P991" s="772">
        <v>0</v>
      </c>
      <c r="Q991" s="774"/>
      <c r="R991" s="774">
        <v>1582</v>
      </c>
      <c r="S991" s="774"/>
      <c r="T991" s="774"/>
      <c r="U991" s="774"/>
      <c r="V991" s="774"/>
    </row>
    <row r="992" spans="1:22" hidden="1">
      <c r="A992" s="786">
        <v>992</v>
      </c>
      <c r="B992" s="767"/>
      <c r="C992" s="767"/>
      <c r="D992" s="767"/>
      <c r="E992" s="767" t="s">
        <v>1003</v>
      </c>
      <c r="F992" s="806" t="s">
        <v>1410</v>
      </c>
      <c r="G992" s="778"/>
      <c r="H992" s="815">
        <v>280264.82789480814</v>
      </c>
      <c r="I992" s="815">
        <v>228522.62271986503</v>
      </c>
      <c r="J992" s="815">
        <v>39665.153509701217</v>
      </c>
      <c r="K992" s="815">
        <v>2308.601765807528</v>
      </c>
      <c r="L992" s="815">
        <v>590.64664839338104</v>
      </c>
      <c r="M992" s="815">
        <v>9.1605401936231061</v>
      </c>
      <c r="N992" s="815">
        <v>3882.052779511022</v>
      </c>
      <c r="O992" s="815">
        <v>5286.5899313363207</v>
      </c>
      <c r="P992" s="772">
        <v>0</v>
      </c>
      <c r="Q992" s="774"/>
      <c r="R992" s="774">
        <v>1583</v>
      </c>
      <c r="S992" s="774"/>
      <c r="T992" s="774"/>
      <c r="U992" s="774"/>
      <c r="V992" s="774"/>
    </row>
    <row r="993" spans="1:22" hidden="1">
      <c r="A993" s="786">
        <v>993</v>
      </c>
      <c r="B993" s="767"/>
      <c r="C993" s="767"/>
      <c r="D993" s="767"/>
      <c r="E993" s="767" t="s">
        <v>1180</v>
      </c>
      <c r="F993" s="806" t="s">
        <v>1426</v>
      </c>
      <c r="G993" s="778"/>
      <c r="H993" s="815">
        <v>113963.75839188171</v>
      </c>
      <c r="I993" s="815">
        <v>49530.806463446454</v>
      </c>
      <c r="J993" s="815">
        <v>15169.47504028814</v>
      </c>
      <c r="K993" s="815">
        <v>24893.987518062168</v>
      </c>
      <c r="L993" s="815">
        <v>10109.402170167756</v>
      </c>
      <c r="M993" s="815">
        <v>9763.9860802638941</v>
      </c>
      <c r="N993" s="815">
        <v>4342.4324755096131</v>
      </c>
      <c r="O993" s="815">
        <v>153.66864414368086</v>
      </c>
      <c r="P993" s="772">
        <v>0</v>
      </c>
      <c r="Q993" s="774"/>
      <c r="R993" s="774">
        <v>1584</v>
      </c>
      <c r="S993" s="774"/>
      <c r="T993" s="774"/>
      <c r="U993" s="774"/>
      <c r="V993" s="774"/>
    </row>
    <row r="994" spans="1:22" hidden="1">
      <c r="A994" s="786">
        <v>994</v>
      </c>
      <c r="B994" s="767"/>
      <c r="C994" s="767"/>
      <c r="D994" s="767"/>
      <c r="E994" s="767" t="s">
        <v>738</v>
      </c>
      <c r="F994" s="806" t="s">
        <v>1392</v>
      </c>
      <c r="G994" s="778"/>
      <c r="H994" s="815">
        <v>0</v>
      </c>
      <c r="I994" s="815">
        <v>0</v>
      </c>
      <c r="J994" s="815">
        <v>0</v>
      </c>
      <c r="K994" s="815">
        <v>0</v>
      </c>
      <c r="L994" s="815">
        <v>0</v>
      </c>
      <c r="M994" s="815">
        <v>0</v>
      </c>
      <c r="N994" s="815">
        <v>0</v>
      </c>
      <c r="O994" s="815">
        <v>0</v>
      </c>
      <c r="P994" s="772">
        <v>0</v>
      </c>
      <c r="Q994" s="774"/>
      <c r="R994" s="774">
        <v>1585</v>
      </c>
      <c r="S994" s="774"/>
      <c r="T994" s="774"/>
      <c r="U994" s="774"/>
      <c r="V994" s="774"/>
    </row>
    <row r="995" spans="1:22" hidden="1">
      <c r="A995" s="786">
        <v>995</v>
      </c>
      <c r="B995" s="767"/>
      <c r="C995" s="767"/>
      <c r="D995" s="767"/>
      <c r="E995" s="767" t="s">
        <v>1005</v>
      </c>
      <c r="F995" s="806" t="s">
        <v>1411</v>
      </c>
      <c r="G995" s="778"/>
      <c r="H995" s="815">
        <v>3448459.670240243</v>
      </c>
      <c r="I995" s="815">
        <v>1605960.5330761592</v>
      </c>
      <c r="J995" s="815">
        <v>497966.59453835752</v>
      </c>
      <c r="K995" s="815">
        <v>682010.57196057576</v>
      </c>
      <c r="L995" s="815">
        <v>272345.12291171023</v>
      </c>
      <c r="M995" s="815">
        <v>218297.35072188557</v>
      </c>
      <c r="N995" s="815">
        <v>155794.20319315171</v>
      </c>
      <c r="O995" s="815">
        <v>16085.293838402456</v>
      </c>
      <c r="P995" s="772">
        <v>0</v>
      </c>
      <c r="Q995" s="774"/>
      <c r="R995" s="774">
        <v>1586</v>
      </c>
      <c r="S995" s="774"/>
      <c r="T995" s="774"/>
      <c r="U995" s="774"/>
      <c r="V995" s="774"/>
    </row>
    <row r="996" spans="1:22" hidden="1">
      <c r="A996" s="786">
        <v>996</v>
      </c>
      <c r="B996" s="767"/>
      <c r="C996" s="767"/>
      <c r="D996" s="767"/>
      <c r="E996" s="767" t="s">
        <v>718</v>
      </c>
      <c r="F996" s="806" t="s">
        <v>1426</v>
      </c>
      <c r="G996" s="778"/>
      <c r="H996" s="815">
        <v>47925.07262370667</v>
      </c>
      <c r="I996" s="815">
        <v>20829.143671349189</v>
      </c>
      <c r="J996" s="815">
        <v>6379.2051370350646</v>
      </c>
      <c r="K996" s="815">
        <v>10468.645265228144</v>
      </c>
      <c r="L996" s="815">
        <v>4251.2974302018174</v>
      </c>
      <c r="M996" s="815">
        <v>4106.0399252929719</v>
      </c>
      <c r="N996" s="815">
        <v>1826.1190635422702</v>
      </c>
      <c r="O996" s="815">
        <v>64.622131057210424</v>
      </c>
      <c r="P996" s="772">
        <v>0</v>
      </c>
      <c r="Q996" s="774"/>
      <c r="R996" s="774">
        <v>1587</v>
      </c>
      <c r="S996" s="774"/>
      <c r="T996" s="774"/>
      <c r="U996" s="774"/>
      <c r="V996" s="774"/>
    </row>
    <row r="997" spans="1:22" hidden="1">
      <c r="A997" s="786">
        <v>997</v>
      </c>
      <c r="B997" s="767"/>
      <c r="C997" s="767"/>
      <c r="D997" s="767"/>
      <c r="E997" s="767" t="s">
        <v>723</v>
      </c>
      <c r="F997" s="806" t="s">
        <v>1392</v>
      </c>
      <c r="G997" s="778"/>
      <c r="H997" s="815">
        <v>0</v>
      </c>
      <c r="I997" s="815">
        <v>0</v>
      </c>
      <c r="J997" s="815">
        <v>0</v>
      </c>
      <c r="K997" s="815">
        <v>0</v>
      </c>
      <c r="L997" s="815">
        <v>0</v>
      </c>
      <c r="M997" s="815">
        <v>0</v>
      </c>
      <c r="N997" s="815">
        <v>0</v>
      </c>
      <c r="O997" s="815">
        <v>0</v>
      </c>
      <c r="P997" s="772">
        <v>0</v>
      </c>
      <c r="Q997" s="774"/>
      <c r="R997" s="774">
        <v>1588</v>
      </c>
      <c r="S997" s="774"/>
      <c r="T997" s="774"/>
      <c r="U997" s="774"/>
      <c r="V997" s="774"/>
    </row>
    <row r="998" spans="1:22" hidden="1">
      <c r="A998" s="786">
        <v>998</v>
      </c>
      <c r="B998" s="767"/>
      <c r="C998" s="767"/>
      <c r="D998" s="775" t="s">
        <v>1188</v>
      </c>
      <c r="E998" s="767"/>
      <c r="F998" s="806"/>
      <c r="G998" s="778"/>
      <c r="H998" s="815">
        <v>4198830.1491506388</v>
      </c>
      <c r="I998" s="815">
        <v>2065501.9355965189</v>
      </c>
      <c r="J998" s="815">
        <v>607916.76018185471</v>
      </c>
      <c r="K998" s="815">
        <v>770036.57679626532</v>
      </c>
      <c r="L998" s="815">
        <v>306703.40716330276</v>
      </c>
      <c r="M998" s="815">
        <v>242448.26066658658</v>
      </c>
      <c r="N998" s="815">
        <v>181986.22730865615</v>
      </c>
      <c r="O998" s="815">
        <v>24236.98143745467</v>
      </c>
      <c r="P998" s="772">
        <v>0</v>
      </c>
      <c r="Q998" s="774"/>
      <c r="R998" s="774"/>
      <c r="S998" s="774"/>
      <c r="T998" s="774"/>
      <c r="U998" s="774"/>
      <c r="V998" s="774"/>
    </row>
    <row r="999" spans="1:22" hidden="1">
      <c r="A999" s="786">
        <v>999</v>
      </c>
      <c r="B999" s="767"/>
      <c r="C999" s="767"/>
      <c r="D999" s="767"/>
      <c r="E999" s="767"/>
      <c r="F999" s="806"/>
      <c r="G999" s="778"/>
      <c r="H999" s="810"/>
      <c r="I999" s="810"/>
      <c r="J999" s="810"/>
      <c r="K999" s="810"/>
      <c r="L999" s="810"/>
      <c r="M999" s="810"/>
      <c r="N999" s="810"/>
      <c r="O999" s="810"/>
      <c r="P999" s="772"/>
      <c r="R999" s="774"/>
    </row>
    <row r="1000" spans="1:22" hidden="1">
      <c r="A1000" s="786">
        <v>1000</v>
      </c>
      <c r="B1000" s="767"/>
      <c r="C1000" s="767" t="s">
        <v>1189</v>
      </c>
      <c r="D1000" s="775" t="s">
        <v>1190</v>
      </c>
      <c r="E1000" s="767"/>
      <c r="F1000" s="806"/>
      <c r="G1000" s="778"/>
      <c r="H1000" s="788"/>
      <c r="I1000" s="788"/>
      <c r="J1000" s="788"/>
      <c r="K1000" s="788"/>
      <c r="L1000" s="788"/>
      <c r="M1000" s="788"/>
      <c r="N1000" s="788"/>
      <c r="O1000" s="788"/>
      <c r="P1000" s="772"/>
      <c r="R1000" s="774"/>
    </row>
    <row r="1001" spans="1:22" hidden="1">
      <c r="A1001" s="786">
        <v>1001</v>
      </c>
      <c r="B1001" s="767"/>
      <c r="C1001" s="767"/>
      <c r="D1001" s="767"/>
      <c r="E1001" s="767" t="s">
        <v>727</v>
      </c>
      <c r="F1001" s="806" t="s">
        <v>1425</v>
      </c>
      <c r="G1001" s="778"/>
      <c r="H1001" s="815">
        <v>5327124.9900000012</v>
      </c>
      <c r="I1001" s="815">
        <v>2776777.939556635</v>
      </c>
      <c r="J1001" s="815">
        <v>842343.8146116148</v>
      </c>
      <c r="K1001" s="815">
        <v>870316.40635125642</v>
      </c>
      <c r="L1001" s="815">
        <v>335423.56453568675</v>
      </c>
      <c r="M1001" s="815">
        <v>177533.31699716143</v>
      </c>
      <c r="N1001" s="815">
        <v>278983.34936544963</v>
      </c>
      <c r="O1001" s="815">
        <v>45746.598582195824</v>
      </c>
      <c r="P1001" s="772">
        <v>0</v>
      </c>
      <c r="Q1001" s="774"/>
      <c r="R1001" s="774">
        <v>1592</v>
      </c>
      <c r="S1001" s="774"/>
      <c r="T1001" s="774"/>
      <c r="U1001" s="774"/>
      <c r="V1001" s="774"/>
    </row>
    <row r="1002" spans="1:22" hidden="1">
      <c r="A1002" s="786">
        <v>1002</v>
      </c>
      <c r="B1002" s="767"/>
      <c r="C1002" s="767"/>
      <c r="D1002" s="767"/>
      <c r="E1002" s="767" t="s">
        <v>1005</v>
      </c>
      <c r="F1002" s="806" t="s">
        <v>1411</v>
      </c>
      <c r="G1002" s="778"/>
      <c r="H1002" s="815">
        <v>462007.7320132489</v>
      </c>
      <c r="I1002" s="815">
        <v>215158.72434071824</v>
      </c>
      <c r="J1002" s="815">
        <v>66715.124711027805</v>
      </c>
      <c r="K1002" s="815">
        <v>91372.43514250312</v>
      </c>
      <c r="L1002" s="815">
        <v>36487.465301440774</v>
      </c>
      <c r="M1002" s="815">
        <v>29246.40957291313</v>
      </c>
      <c r="N1002" s="815">
        <v>20872.544080837346</v>
      </c>
      <c r="O1002" s="815">
        <v>2155.0288638084248</v>
      </c>
      <c r="P1002" s="772">
        <v>0</v>
      </c>
      <c r="Q1002" s="774"/>
      <c r="R1002" s="774">
        <v>1593</v>
      </c>
      <c r="S1002" s="774"/>
      <c r="T1002" s="774"/>
      <c r="U1002" s="774"/>
      <c r="V1002" s="774"/>
    </row>
    <row r="1003" spans="1:22" hidden="1">
      <c r="A1003" s="786">
        <v>1003</v>
      </c>
      <c r="B1003" s="767"/>
      <c r="C1003" s="767"/>
      <c r="D1003" s="767"/>
      <c r="E1003" s="767" t="s">
        <v>1180</v>
      </c>
      <c r="F1003" s="806" t="s">
        <v>1426</v>
      </c>
      <c r="G1003" s="778"/>
      <c r="H1003" s="815">
        <v>1252330.2622511941</v>
      </c>
      <c r="I1003" s="815">
        <v>544286.43564548949</v>
      </c>
      <c r="J1003" s="815">
        <v>166695.03466261839</v>
      </c>
      <c r="K1003" s="815">
        <v>273556.21082424355</v>
      </c>
      <c r="L1003" s="815">
        <v>111090.66996048493</v>
      </c>
      <c r="M1003" s="815">
        <v>107294.94552528679</v>
      </c>
      <c r="N1003" s="815">
        <v>47718.324470864827</v>
      </c>
      <c r="O1003" s="815">
        <v>1688.6411622060912</v>
      </c>
      <c r="P1003" s="772">
        <v>0</v>
      </c>
      <c r="Q1003" s="774"/>
      <c r="R1003" s="774">
        <v>1594</v>
      </c>
      <c r="S1003" s="774"/>
      <c r="T1003" s="774"/>
      <c r="U1003" s="774"/>
      <c r="V1003" s="774"/>
    </row>
    <row r="1004" spans="1:22" hidden="1">
      <c r="A1004" s="786">
        <v>1004</v>
      </c>
      <c r="B1004" s="767"/>
      <c r="C1004" s="767"/>
      <c r="D1004" s="767"/>
      <c r="E1004" s="767" t="s">
        <v>1003</v>
      </c>
      <c r="F1004" s="806" t="s">
        <v>1410</v>
      </c>
      <c r="G1004" s="778"/>
      <c r="H1004" s="815">
        <v>0</v>
      </c>
      <c r="I1004" s="815">
        <v>0</v>
      </c>
      <c r="J1004" s="815">
        <v>0</v>
      </c>
      <c r="K1004" s="815">
        <v>0</v>
      </c>
      <c r="L1004" s="815">
        <v>0</v>
      </c>
      <c r="M1004" s="815">
        <v>0</v>
      </c>
      <c r="N1004" s="815">
        <v>0</v>
      </c>
      <c r="O1004" s="815">
        <v>0</v>
      </c>
      <c r="P1004" s="772">
        <v>0</v>
      </c>
      <c r="Q1004" s="774"/>
      <c r="R1004" s="774">
        <v>1595</v>
      </c>
      <c r="S1004" s="774"/>
      <c r="T1004" s="774"/>
      <c r="U1004" s="774"/>
      <c r="V1004" s="774"/>
    </row>
    <row r="1005" spans="1:22" hidden="1">
      <c r="A1005" s="786">
        <v>1005</v>
      </c>
      <c r="B1005" s="767"/>
      <c r="C1005" s="767"/>
      <c r="D1005" s="767"/>
      <c r="E1005" s="767" t="s">
        <v>1191</v>
      </c>
      <c r="F1005" s="806" t="s">
        <v>1426</v>
      </c>
      <c r="G1005" s="778"/>
      <c r="H1005" s="815">
        <v>0</v>
      </c>
      <c r="I1005" s="815">
        <v>0</v>
      </c>
      <c r="J1005" s="815">
        <v>0</v>
      </c>
      <c r="K1005" s="815">
        <v>0</v>
      </c>
      <c r="L1005" s="815">
        <v>0</v>
      </c>
      <c r="M1005" s="815">
        <v>0</v>
      </c>
      <c r="N1005" s="815">
        <v>0</v>
      </c>
      <c r="O1005" s="815">
        <v>0</v>
      </c>
      <c r="P1005" s="772">
        <v>0</v>
      </c>
      <c r="Q1005" s="774"/>
      <c r="R1005" s="774">
        <v>1596</v>
      </c>
      <c r="S1005" s="774"/>
      <c r="T1005" s="774"/>
      <c r="U1005" s="774"/>
      <c r="V1005" s="774"/>
    </row>
    <row r="1006" spans="1:22" hidden="1">
      <c r="A1006" s="786">
        <v>1006</v>
      </c>
      <c r="B1006" s="767"/>
      <c r="C1006" s="767"/>
      <c r="D1006" s="767"/>
      <c r="E1006" s="767" t="s">
        <v>738</v>
      </c>
      <c r="F1006" s="806" t="s">
        <v>1392</v>
      </c>
      <c r="G1006" s="778"/>
      <c r="H1006" s="815">
        <v>0</v>
      </c>
      <c r="I1006" s="815">
        <v>0</v>
      </c>
      <c r="J1006" s="815">
        <v>0</v>
      </c>
      <c r="K1006" s="815">
        <v>0</v>
      </c>
      <c r="L1006" s="815">
        <v>0</v>
      </c>
      <c r="M1006" s="815">
        <v>0</v>
      </c>
      <c r="N1006" s="815">
        <v>0</v>
      </c>
      <c r="O1006" s="815">
        <v>0</v>
      </c>
      <c r="P1006" s="772">
        <v>0</v>
      </c>
      <c r="Q1006" s="774"/>
      <c r="R1006" s="774">
        <v>1597</v>
      </c>
      <c r="S1006" s="774"/>
      <c r="T1006" s="774"/>
      <c r="U1006" s="774"/>
      <c r="V1006" s="774"/>
    </row>
    <row r="1007" spans="1:22" hidden="1">
      <c r="A1007" s="786">
        <v>1007</v>
      </c>
      <c r="B1007" s="767"/>
      <c r="C1007" s="767"/>
      <c r="D1007" s="767"/>
      <c r="E1007" s="767" t="s">
        <v>1186</v>
      </c>
      <c r="F1007" s="806" t="s">
        <v>1426</v>
      </c>
      <c r="G1007" s="778"/>
      <c r="H1007" s="815">
        <v>0</v>
      </c>
      <c r="I1007" s="815">
        <v>0</v>
      </c>
      <c r="J1007" s="815">
        <v>0</v>
      </c>
      <c r="K1007" s="815">
        <v>0</v>
      </c>
      <c r="L1007" s="815">
        <v>0</v>
      </c>
      <c r="M1007" s="815">
        <v>0</v>
      </c>
      <c r="N1007" s="815">
        <v>0</v>
      </c>
      <c r="O1007" s="815">
        <v>0</v>
      </c>
      <c r="P1007" s="772">
        <v>0</v>
      </c>
      <c r="Q1007" s="774"/>
      <c r="R1007" s="774">
        <v>1598</v>
      </c>
      <c r="S1007" s="774"/>
      <c r="T1007" s="774"/>
      <c r="U1007" s="774"/>
      <c r="V1007" s="774"/>
    </row>
    <row r="1008" spans="1:22" hidden="1">
      <c r="A1008" s="786">
        <v>1008</v>
      </c>
      <c r="B1008" s="767"/>
      <c r="C1008" s="767"/>
      <c r="D1008" s="767"/>
      <c r="E1008" s="767" t="s">
        <v>718</v>
      </c>
      <c r="F1008" s="806" t="s">
        <v>1426</v>
      </c>
      <c r="G1008" s="778"/>
      <c r="H1008" s="815">
        <v>560792.14167177107</v>
      </c>
      <c r="I1008" s="815">
        <v>243730.8792489316</v>
      </c>
      <c r="J1008" s="815">
        <v>74645.85685764518</v>
      </c>
      <c r="K1008" s="815">
        <v>122498.17636760999</v>
      </c>
      <c r="L1008" s="815">
        <v>49746.282274536505</v>
      </c>
      <c r="M1008" s="815">
        <v>48046.560963494921</v>
      </c>
      <c r="N1008" s="815">
        <v>21368.214267138101</v>
      </c>
      <c r="O1008" s="815">
        <v>756.17169241472538</v>
      </c>
      <c r="P1008" s="772">
        <v>0</v>
      </c>
      <c r="Q1008" s="774"/>
      <c r="R1008" s="774">
        <v>1599</v>
      </c>
      <c r="S1008" s="774"/>
      <c r="T1008" s="774"/>
      <c r="U1008" s="774"/>
      <c r="V1008" s="774"/>
    </row>
    <row r="1009" spans="1:22" hidden="1">
      <c r="A1009" s="786">
        <v>1009</v>
      </c>
      <c r="B1009" s="767"/>
      <c r="C1009" s="767"/>
      <c r="D1009" s="767"/>
      <c r="E1009" s="767" t="s">
        <v>1192</v>
      </c>
      <c r="F1009" s="806" t="s">
        <v>1392</v>
      </c>
      <c r="G1009" s="778"/>
      <c r="H1009" s="815">
        <v>0</v>
      </c>
      <c r="I1009" s="815">
        <v>0</v>
      </c>
      <c r="J1009" s="815">
        <v>0</v>
      </c>
      <c r="K1009" s="815">
        <v>0</v>
      </c>
      <c r="L1009" s="815">
        <v>0</v>
      </c>
      <c r="M1009" s="815">
        <v>0</v>
      </c>
      <c r="N1009" s="815">
        <v>0</v>
      </c>
      <c r="O1009" s="815">
        <v>0</v>
      </c>
      <c r="P1009" s="772">
        <v>0</v>
      </c>
      <c r="Q1009" s="774"/>
      <c r="R1009" s="774">
        <v>1600</v>
      </c>
      <c r="S1009" s="774"/>
      <c r="T1009" s="774"/>
      <c r="U1009" s="774"/>
      <c r="V1009" s="774"/>
    </row>
    <row r="1010" spans="1:22" hidden="1">
      <c r="A1010" s="786">
        <v>1010</v>
      </c>
      <c r="B1010" s="767"/>
      <c r="C1010" s="767"/>
      <c r="D1010" s="775" t="s">
        <v>1193</v>
      </c>
      <c r="E1010" s="767"/>
      <c r="F1010" s="806"/>
      <c r="G1010" s="778"/>
      <c r="H1010" s="815">
        <v>7602255.1259362139</v>
      </c>
      <c r="I1010" s="815">
        <v>3779953.9787917743</v>
      </c>
      <c r="J1010" s="815">
        <v>1150399.8308429061</v>
      </c>
      <c r="K1010" s="815">
        <v>1357743.228685613</v>
      </c>
      <c r="L1010" s="815">
        <v>532747.98207214894</v>
      </c>
      <c r="M1010" s="815">
        <v>362121.23305885628</v>
      </c>
      <c r="N1010" s="815">
        <v>368942.43218428991</v>
      </c>
      <c r="O1010" s="815">
        <v>50346.440300625065</v>
      </c>
      <c r="P1010" s="772">
        <v>0</v>
      </c>
      <c r="Q1010" s="774"/>
      <c r="R1010" s="774"/>
      <c r="S1010" s="774"/>
      <c r="T1010" s="774"/>
      <c r="U1010" s="774"/>
      <c r="V1010" s="774"/>
    </row>
    <row r="1011" spans="1:22" hidden="1">
      <c r="A1011" s="786">
        <v>1011</v>
      </c>
      <c r="B1011" s="767"/>
      <c r="C1011" s="767"/>
      <c r="D1011" s="767"/>
      <c r="E1011" s="767"/>
      <c r="F1011" s="806"/>
      <c r="G1011" s="778"/>
      <c r="H1011" s="810"/>
      <c r="I1011" s="810"/>
      <c r="J1011" s="810"/>
      <c r="K1011" s="810"/>
      <c r="L1011" s="810"/>
      <c r="M1011" s="810"/>
      <c r="N1011" s="810"/>
      <c r="O1011" s="810"/>
      <c r="P1011" s="772"/>
      <c r="R1011" s="774"/>
    </row>
    <row r="1012" spans="1:22" hidden="1">
      <c r="A1012" s="786">
        <v>1012</v>
      </c>
      <c r="B1012" s="767"/>
      <c r="C1012" s="767" t="s">
        <v>1194</v>
      </c>
      <c r="D1012" s="775" t="s">
        <v>1195</v>
      </c>
      <c r="E1012" s="767"/>
      <c r="F1012" s="806"/>
      <c r="G1012" s="778"/>
      <c r="H1012" s="788"/>
      <c r="I1012" s="788"/>
      <c r="J1012" s="788"/>
      <c r="K1012" s="788"/>
      <c r="L1012" s="788"/>
      <c r="M1012" s="788"/>
      <c r="N1012" s="788"/>
      <c r="O1012" s="788"/>
      <c r="P1012" s="772"/>
      <c r="R1012" s="774"/>
    </row>
    <row r="1013" spans="1:22" hidden="1">
      <c r="A1013" s="786">
        <v>1013</v>
      </c>
      <c r="B1013" s="767"/>
      <c r="C1013" s="767"/>
      <c r="D1013" s="767"/>
      <c r="E1013" s="767" t="s">
        <v>727</v>
      </c>
      <c r="F1013" s="806" t="s">
        <v>1425</v>
      </c>
      <c r="G1013" s="778"/>
      <c r="H1013" s="815">
        <v>697109.07000000007</v>
      </c>
      <c r="I1013" s="815">
        <v>363369.93982205057</v>
      </c>
      <c r="J1013" s="815">
        <v>110229.34778636668</v>
      </c>
      <c r="K1013" s="815">
        <v>113889.84898536545</v>
      </c>
      <c r="L1013" s="815">
        <v>43893.621713118002</v>
      </c>
      <c r="M1013" s="815">
        <v>23232.059645348472</v>
      </c>
      <c r="N1013" s="815">
        <v>36507.839329227681</v>
      </c>
      <c r="O1013" s="815">
        <v>5986.4127185230254</v>
      </c>
      <c r="P1013" s="772">
        <v>0</v>
      </c>
      <c r="Q1013" s="774"/>
      <c r="R1013" s="774">
        <v>1604</v>
      </c>
      <c r="S1013" s="774"/>
      <c r="T1013" s="774"/>
      <c r="U1013" s="774"/>
      <c r="V1013" s="774"/>
    </row>
    <row r="1014" spans="1:22" hidden="1">
      <c r="A1014" s="786">
        <v>1014</v>
      </c>
      <c r="B1014" s="767"/>
      <c r="C1014" s="767"/>
      <c r="D1014" s="767"/>
      <c r="E1014" s="767" t="s">
        <v>1196</v>
      </c>
      <c r="F1014" s="806" t="s">
        <v>1426</v>
      </c>
      <c r="G1014" s="778"/>
      <c r="H1014" s="815">
        <v>0</v>
      </c>
      <c r="I1014" s="815">
        <v>0</v>
      </c>
      <c r="J1014" s="815">
        <v>0</v>
      </c>
      <c r="K1014" s="815">
        <v>0</v>
      </c>
      <c r="L1014" s="815">
        <v>0</v>
      </c>
      <c r="M1014" s="815">
        <v>0</v>
      </c>
      <c r="N1014" s="815">
        <v>0</v>
      </c>
      <c r="O1014" s="815">
        <v>0</v>
      </c>
      <c r="P1014" s="772">
        <v>0</v>
      </c>
      <c r="Q1014" s="774"/>
      <c r="R1014" s="774">
        <v>1605</v>
      </c>
      <c r="S1014" s="774"/>
      <c r="T1014" s="774"/>
      <c r="U1014" s="774"/>
      <c r="V1014" s="774"/>
    </row>
    <row r="1015" spans="1:22" hidden="1">
      <c r="A1015" s="786">
        <v>1015</v>
      </c>
      <c r="B1015" s="767"/>
      <c r="C1015" s="767"/>
      <c r="D1015" s="767"/>
      <c r="E1015" s="767" t="s">
        <v>1191</v>
      </c>
      <c r="F1015" s="806" t="s">
        <v>1426</v>
      </c>
      <c r="G1015" s="778"/>
      <c r="H1015" s="815">
        <v>0</v>
      </c>
      <c r="I1015" s="815">
        <v>0</v>
      </c>
      <c r="J1015" s="815">
        <v>0</v>
      </c>
      <c r="K1015" s="815">
        <v>0</v>
      </c>
      <c r="L1015" s="815">
        <v>0</v>
      </c>
      <c r="M1015" s="815">
        <v>0</v>
      </c>
      <c r="N1015" s="815">
        <v>0</v>
      </c>
      <c r="O1015" s="815">
        <v>0</v>
      </c>
      <c r="P1015" s="772">
        <v>0</v>
      </c>
      <c r="Q1015" s="774"/>
      <c r="R1015" s="774">
        <v>1606</v>
      </c>
      <c r="S1015" s="774"/>
      <c r="T1015" s="774"/>
      <c r="U1015" s="774"/>
      <c r="V1015" s="774"/>
    </row>
    <row r="1016" spans="1:22" hidden="1">
      <c r="A1016" s="786">
        <v>1016</v>
      </c>
      <c r="B1016" s="767"/>
      <c r="C1016" s="767"/>
      <c r="D1016" s="767"/>
      <c r="E1016" s="767" t="s">
        <v>1005</v>
      </c>
      <c r="F1016" s="806" t="s">
        <v>1411</v>
      </c>
      <c r="G1016" s="778"/>
      <c r="H1016" s="815">
        <v>17095.161023658118</v>
      </c>
      <c r="I1016" s="815">
        <v>7961.2802630410724</v>
      </c>
      <c r="J1016" s="815">
        <v>2468.5859578119507</v>
      </c>
      <c r="K1016" s="815">
        <v>3380.9531391999617</v>
      </c>
      <c r="L1016" s="815">
        <v>1350.1053152404402</v>
      </c>
      <c r="M1016" s="815">
        <v>1082.1725403471571</v>
      </c>
      <c r="N1016" s="815">
        <v>772.32365891461757</v>
      </c>
      <c r="O1016" s="815">
        <v>79.740149102914913</v>
      </c>
      <c r="P1016" s="772">
        <v>0</v>
      </c>
      <c r="Q1016" s="774"/>
      <c r="R1016" s="774">
        <v>1607</v>
      </c>
      <c r="S1016" s="774"/>
      <c r="T1016" s="774"/>
      <c r="U1016" s="774"/>
      <c r="V1016" s="774"/>
    </row>
    <row r="1017" spans="1:22" hidden="1">
      <c r="A1017" s="786">
        <v>1017</v>
      </c>
      <c r="B1017" s="767"/>
      <c r="C1017" s="767"/>
      <c r="D1017" s="767"/>
      <c r="E1017" s="767" t="s">
        <v>1180</v>
      </c>
      <c r="F1017" s="806" t="s">
        <v>1426</v>
      </c>
      <c r="G1017" s="778"/>
      <c r="H1017" s="815">
        <v>168998.49229398972</v>
      </c>
      <c r="I1017" s="815">
        <v>73449.943495581829</v>
      </c>
      <c r="J1017" s="815">
        <v>22495.032165266195</v>
      </c>
      <c r="K1017" s="815">
        <v>36915.651230730189</v>
      </c>
      <c r="L1017" s="815">
        <v>14991.377512113033</v>
      </c>
      <c r="M1017" s="815">
        <v>14479.155036902037</v>
      </c>
      <c r="N1017" s="815">
        <v>6439.4554163971789</v>
      </c>
      <c r="O1017" s="815">
        <v>227.87743699924937</v>
      </c>
      <c r="P1017" s="772">
        <v>0</v>
      </c>
      <c r="Q1017" s="774"/>
      <c r="R1017" s="774">
        <v>1608</v>
      </c>
      <c r="S1017" s="774"/>
      <c r="T1017" s="774"/>
      <c r="U1017" s="774"/>
      <c r="V1017" s="774"/>
    </row>
    <row r="1018" spans="1:22" hidden="1">
      <c r="A1018" s="786">
        <v>1018</v>
      </c>
      <c r="B1018" s="767"/>
      <c r="C1018" s="767"/>
      <c r="D1018" s="767"/>
      <c r="E1018" s="767" t="s">
        <v>718</v>
      </c>
      <c r="F1018" s="806" t="s">
        <v>1426</v>
      </c>
      <c r="G1018" s="778"/>
      <c r="H1018" s="815">
        <v>189174.49236108485</v>
      </c>
      <c r="I1018" s="815">
        <v>82218.815009045007</v>
      </c>
      <c r="J1018" s="815">
        <v>25180.616896319196</v>
      </c>
      <c r="K1018" s="815">
        <v>41322.851387358809</v>
      </c>
      <c r="L1018" s="815">
        <v>16781.133323449332</v>
      </c>
      <c r="M1018" s="815">
        <v>16207.758819282677</v>
      </c>
      <c r="N1018" s="815">
        <v>7208.2341856614175</v>
      </c>
      <c r="O1018" s="815">
        <v>255.08273996839208</v>
      </c>
      <c r="P1018" s="772">
        <v>0</v>
      </c>
      <c r="Q1018" s="774"/>
      <c r="R1018" s="774">
        <v>1609</v>
      </c>
      <c r="S1018" s="774"/>
      <c r="T1018" s="774"/>
      <c r="U1018" s="774"/>
      <c r="V1018" s="774"/>
    </row>
    <row r="1019" spans="1:22" hidden="1">
      <c r="A1019" s="786">
        <v>1019</v>
      </c>
      <c r="B1019" s="767"/>
      <c r="C1019" s="767"/>
      <c r="D1019" s="775" t="s">
        <v>1197</v>
      </c>
      <c r="E1019" s="767"/>
      <c r="F1019" s="806"/>
      <c r="G1019" s="778"/>
      <c r="H1019" s="815">
        <v>1072377.2156787324</v>
      </c>
      <c r="I1019" s="815">
        <v>526999.97858971846</v>
      </c>
      <c r="J1019" s="815">
        <v>160373.58280576402</v>
      </c>
      <c r="K1019" s="815">
        <v>195509.30474265441</v>
      </c>
      <c r="L1019" s="815">
        <v>77016.237863920804</v>
      </c>
      <c r="M1019" s="815">
        <v>55001.146041880347</v>
      </c>
      <c r="N1019" s="815">
        <v>50927.852590200899</v>
      </c>
      <c r="O1019" s="815">
        <v>6549.1130445935814</v>
      </c>
      <c r="P1019" s="772">
        <v>0</v>
      </c>
      <c r="Q1019" s="774"/>
      <c r="R1019" s="774">
        <v>1610</v>
      </c>
      <c r="S1019" s="774"/>
      <c r="T1019" s="774"/>
      <c r="U1019" s="774"/>
      <c r="V1019" s="774"/>
    </row>
    <row r="1020" spans="1:22" hidden="1">
      <c r="A1020" s="786">
        <v>1020</v>
      </c>
      <c r="B1020" s="767"/>
      <c r="C1020" s="767"/>
      <c r="D1020" s="767"/>
      <c r="E1020" s="767"/>
      <c r="F1020" s="806"/>
      <c r="G1020" s="778"/>
      <c r="H1020" s="810"/>
      <c r="I1020" s="810"/>
      <c r="J1020" s="810"/>
      <c r="K1020" s="810"/>
      <c r="L1020" s="810"/>
      <c r="M1020" s="810"/>
      <c r="N1020" s="810"/>
      <c r="O1020" s="810"/>
      <c r="P1020" s="772"/>
      <c r="R1020" s="774"/>
    </row>
    <row r="1021" spans="1:22" hidden="1">
      <c r="A1021" s="786">
        <v>1021</v>
      </c>
      <c r="B1021" s="767"/>
      <c r="C1021" s="767" t="s">
        <v>1198</v>
      </c>
      <c r="D1021" s="775" t="s">
        <v>1199</v>
      </c>
      <c r="E1021" s="767"/>
      <c r="F1021" s="806"/>
      <c r="G1021" s="778"/>
      <c r="H1021" s="788"/>
      <c r="I1021" s="788"/>
      <c r="J1021" s="788"/>
      <c r="K1021" s="788"/>
      <c r="L1021" s="788"/>
      <c r="M1021" s="788"/>
      <c r="N1021" s="788"/>
      <c r="O1021" s="788"/>
      <c r="P1021" s="772"/>
      <c r="R1021" s="774"/>
    </row>
    <row r="1022" spans="1:22" hidden="1">
      <c r="A1022" s="786">
        <v>1022</v>
      </c>
      <c r="B1022" s="767"/>
      <c r="C1022" s="767"/>
      <c r="D1022" s="767"/>
      <c r="E1022" s="767" t="s">
        <v>727</v>
      </c>
      <c r="F1022" s="806" t="s">
        <v>1425</v>
      </c>
      <c r="G1022" s="778"/>
      <c r="H1022" s="815">
        <v>2744153.21</v>
      </c>
      <c r="I1022" s="815">
        <v>1430397.0923519714</v>
      </c>
      <c r="J1022" s="815">
        <v>433915.19574428222</v>
      </c>
      <c r="K1022" s="815">
        <v>448324.67131665041</v>
      </c>
      <c r="L1022" s="815">
        <v>172786.19387720557</v>
      </c>
      <c r="M1022" s="815">
        <v>91452.44810929583</v>
      </c>
      <c r="N1022" s="815">
        <v>143712.23786467791</v>
      </c>
      <c r="O1022" s="815">
        <v>23565.370735916244</v>
      </c>
      <c r="P1022" s="772">
        <v>0</v>
      </c>
      <c r="Q1022" s="774"/>
      <c r="R1022" s="774">
        <v>1613</v>
      </c>
      <c r="S1022" s="774"/>
      <c r="T1022" s="774"/>
      <c r="U1022" s="774"/>
      <c r="V1022" s="774"/>
    </row>
    <row r="1023" spans="1:22" hidden="1">
      <c r="A1023" s="786">
        <v>1023</v>
      </c>
      <c r="B1023" s="767"/>
      <c r="C1023" s="767"/>
      <c r="D1023" s="767"/>
      <c r="E1023" s="767" t="s">
        <v>1196</v>
      </c>
      <c r="F1023" s="806" t="s">
        <v>1426</v>
      </c>
      <c r="G1023" s="778"/>
      <c r="H1023" s="815">
        <v>0</v>
      </c>
      <c r="I1023" s="815">
        <v>0</v>
      </c>
      <c r="J1023" s="815">
        <v>0</v>
      </c>
      <c r="K1023" s="815">
        <v>0</v>
      </c>
      <c r="L1023" s="815">
        <v>0</v>
      </c>
      <c r="M1023" s="815">
        <v>0</v>
      </c>
      <c r="N1023" s="815">
        <v>0</v>
      </c>
      <c r="O1023" s="815">
        <v>0</v>
      </c>
      <c r="P1023" s="772">
        <v>0</v>
      </c>
      <c r="Q1023" s="774"/>
      <c r="R1023" s="774">
        <v>1614</v>
      </c>
      <c r="S1023" s="774"/>
      <c r="T1023" s="774"/>
      <c r="U1023" s="774"/>
      <c r="V1023" s="774"/>
    </row>
    <row r="1024" spans="1:22" hidden="1">
      <c r="A1024" s="786">
        <v>1024</v>
      </c>
      <c r="B1024" s="767"/>
      <c r="C1024" s="767"/>
      <c r="D1024" s="767"/>
      <c r="E1024" s="767" t="s">
        <v>1180</v>
      </c>
      <c r="F1024" s="806" t="s">
        <v>1426</v>
      </c>
      <c r="G1024" s="778"/>
      <c r="H1024" s="815">
        <v>577591.66062297439</v>
      </c>
      <c r="I1024" s="815">
        <v>251032.26816056942</v>
      </c>
      <c r="J1024" s="815">
        <v>76882.005322868834</v>
      </c>
      <c r="K1024" s="815">
        <v>126167.82556996989</v>
      </c>
      <c r="L1024" s="815">
        <v>51236.520010984896</v>
      </c>
      <c r="M1024" s="815">
        <v>49485.880546398083</v>
      </c>
      <c r="N1024" s="815">
        <v>22008.336861338554</v>
      </c>
      <c r="O1024" s="815">
        <v>778.82415084471518</v>
      </c>
      <c r="P1024" s="772">
        <v>0</v>
      </c>
      <c r="Q1024" s="774"/>
      <c r="R1024" s="774">
        <v>1615</v>
      </c>
      <c r="S1024" s="774"/>
      <c r="T1024" s="774"/>
      <c r="U1024" s="774"/>
      <c r="V1024" s="774"/>
    </row>
    <row r="1025" spans="1:22" hidden="1">
      <c r="A1025" s="786">
        <v>1025</v>
      </c>
      <c r="B1025" s="767"/>
      <c r="C1025" s="767"/>
      <c r="D1025" s="767"/>
      <c r="E1025" s="767" t="s">
        <v>1005</v>
      </c>
      <c r="F1025" s="806" t="s">
        <v>1411</v>
      </c>
      <c r="G1025" s="778"/>
      <c r="H1025" s="815">
        <v>142558.78085501882</v>
      </c>
      <c r="I1025" s="815">
        <v>66390.156066596421</v>
      </c>
      <c r="J1025" s="815">
        <v>20585.860764602796</v>
      </c>
      <c r="K1025" s="815">
        <v>28194.209869405346</v>
      </c>
      <c r="L1025" s="815">
        <v>11258.704583138951</v>
      </c>
      <c r="M1025" s="815">
        <v>9024.3781742195715</v>
      </c>
      <c r="N1025" s="815">
        <v>6440.5078775207203</v>
      </c>
      <c r="O1025" s="815">
        <v>664.96351953498345</v>
      </c>
      <c r="P1025" s="772">
        <v>0</v>
      </c>
      <c r="Q1025" s="774"/>
      <c r="R1025" s="774">
        <v>1616</v>
      </c>
      <c r="S1025" s="774"/>
      <c r="T1025" s="774"/>
      <c r="U1025" s="774"/>
      <c r="V1025" s="774"/>
    </row>
    <row r="1026" spans="1:22" hidden="1">
      <c r="A1026" s="786">
        <v>1026</v>
      </c>
      <c r="B1026" s="767"/>
      <c r="C1026" s="767"/>
      <c r="D1026" s="767"/>
      <c r="E1026" s="767" t="s">
        <v>738</v>
      </c>
      <c r="F1026" s="806" t="s">
        <v>1392</v>
      </c>
      <c r="G1026" s="778"/>
      <c r="H1026" s="815">
        <v>0</v>
      </c>
      <c r="I1026" s="815">
        <v>0</v>
      </c>
      <c r="J1026" s="815">
        <v>0</v>
      </c>
      <c r="K1026" s="815">
        <v>0</v>
      </c>
      <c r="L1026" s="815">
        <v>0</v>
      </c>
      <c r="M1026" s="815">
        <v>0</v>
      </c>
      <c r="N1026" s="815">
        <v>0</v>
      </c>
      <c r="O1026" s="815">
        <v>0</v>
      </c>
      <c r="P1026" s="772">
        <v>0</v>
      </c>
      <c r="Q1026" s="774"/>
      <c r="R1026" s="774">
        <v>1617</v>
      </c>
      <c r="S1026" s="774"/>
      <c r="T1026" s="774"/>
      <c r="U1026" s="774"/>
      <c r="V1026" s="774"/>
    </row>
    <row r="1027" spans="1:22" hidden="1">
      <c r="A1027" s="786">
        <v>1027</v>
      </c>
      <c r="B1027" s="767"/>
      <c r="C1027" s="767"/>
      <c r="D1027" s="767"/>
      <c r="E1027" s="767" t="s">
        <v>1191</v>
      </c>
      <c r="F1027" s="806" t="s">
        <v>1426</v>
      </c>
      <c r="G1027" s="778"/>
      <c r="H1027" s="815">
        <v>0</v>
      </c>
      <c r="I1027" s="815">
        <v>0</v>
      </c>
      <c r="J1027" s="815">
        <v>0</v>
      </c>
      <c r="K1027" s="815">
        <v>0</v>
      </c>
      <c r="L1027" s="815">
        <v>0</v>
      </c>
      <c r="M1027" s="815">
        <v>0</v>
      </c>
      <c r="N1027" s="815">
        <v>0</v>
      </c>
      <c r="O1027" s="815">
        <v>0</v>
      </c>
      <c r="P1027" s="772">
        <v>0</v>
      </c>
      <c r="Q1027" s="774"/>
      <c r="R1027" s="774">
        <v>1618</v>
      </c>
      <c r="S1027" s="774"/>
      <c r="T1027" s="774"/>
      <c r="U1027" s="774"/>
      <c r="V1027" s="774"/>
    </row>
    <row r="1028" spans="1:22" hidden="1">
      <c r="A1028" s="786">
        <v>1028</v>
      </c>
      <c r="B1028" s="767"/>
      <c r="C1028" s="767"/>
      <c r="D1028" s="767"/>
      <c r="E1028" s="767" t="s">
        <v>718</v>
      </c>
      <c r="F1028" s="806" t="s">
        <v>1426</v>
      </c>
      <c r="G1028" s="778"/>
      <c r="H1028" s="815">
        <v>661224.38073403784</v>
      </c>
      <c r="I1028" s="815">
        <v>287380.63129184145</v>
      </c>
      <c r="J1028" s="815">
        <v>88014.179956085864</v>
      </c>
      <c r="K1028" s="815">
        <v>144436.36918352195</v>
      </c>
      <c r="L1028" s="815">
        <v>58655.341697090727</v>
      </c>
      <c r="M1028" s="815">
        <v>56651.217374015381</v>
      </c>
      <c r="N1028" s="815">
        <v>25195.046785178329</v>
      </c>
      <c r="O1028" s="815">
        <v>891.59444630410553</v>
      </c>
      <c r="P1028" s="772">
        <v>0</v>
      </c>
      <c r="Q1028" s="774"/>
      <c r="R1028" s="774">
        <v>1619</v>
      </c>
      <c r="S1028" s="774"/>
      <c r="T1028" s="774"/>
      <c r="U1028" s="774"/>
      <c r="V1028" s="774"/>
    </row>
    <row r="1029" spans="1:22" hidden="1">
      <c r="A1029" s="786">
        <v>1029</v>
      </c>
      <c r="B1029" s="767"/>
      <c r="C1029" s="767"/>
      <c r="D1029" s="767"/>
      <c r="E1029" s="767" t="s">
        <v>1192</v>
      </c>
      <c r="F1029" s="806" t="s">
        <v>1411</v>
      </c>
      <c r="G1029" s="778"/>
      <c r="H1029" s="815">
        <v>0</v>
      </c>
      <c r="I1029" s="815">
        <v>0</v>
      </c>
      <c r="J1029" s="815">
        <v>0</v>
      </c>
      <c r="K1029" s="815">
        <v>0</v>
      </c>
      <c r="L1029" s="815">
        <v>0</v>
      </c>
      <c r="M1029" s="815">
        <v>0</v>
      </c>
      <c r="N1029" s="815">
        <v>0</v>
      </c>
      <c r="O1029" s="815">
        <v>0</v>
      </c>
      <c r="P1029" s="772">
        <v>0</v>
      </c>
      <c r="Q1029" s="774"/>
      <c r="R1029" s="774">
        <v>1620</v>
      </c>
      <c r="S1029" s="774"/>
      <c r="T1029" s="774"/>
      <c r="U1029" s="774"/>
      <c r="V1029" s="774"/>
    </row>
    <row r="1030" spans="1:22" hidden="1">
      <c r="A1030" s="786">
        <v>1030</v>
      </c>
      <c r="B1030" s="767"/>
      <c r="C1030" s="767"/>
      <c r="D1030" s="775" t="s">
        <v>1200</v>
      </c>
      <c r="E1030" s="767"/>
      <c r="F1030" s="806"/>
      <c r="G1030" s="778"/>
      <c r="H1030" s="815">
        <v>4125528.0322120306</v>
      </c>
      <c r="I1030" s="815">
        <v>2035200.1478709786</v>
      </c>
      <c r="J1030" s="815">
        <v>619397.24178783968</v>
      </c>
      <c r="K1030" s="815">
        <v>747123.07593954774</v>
      </c>
      <c r="L1030" s="815">
        <v>293936.76016842015</v>
      </c>
      <c r="M1030" s="815">
        <v>206613.92420392885</v>
      </c>
      <c r="N1030" s="815">
        <v>197356.12938871552</v>
      </c>
      <c r="O1030" s="815">
        <v>25900.75285260005</v>
      </c>
      <c r="P1030" s="772">
        <v>0</v>
      </c>
      <c r="Q1030" s="774"/>
      <c r="R1030" s="774"/>
      <c r="S1030" s="774"/>
      <c r="T1030" s="774"/>
      <c r="U1030" s="774"/>
      <c r="V1030" s="774"/>
    </row>
    <row r="1031" spans="1:22" hidden="1">
      <c r="A1031" s="786">
        <v>1031</v>
      </c>
      <c r="B1031" s="767"/>
      <c r="C1031" s="767"/>
      <c r="D1031" s="767"/>
      <c r="E1031" s="767"/>
      <c r="F1031" s="806"/>
      <c r="G1031" s="778"/>
      <c r="H1031" s="810"/>
      <c r="I1031" s="810"/>
      <c r="J1031" s="810"/>
      <c r="K1031" s="810"/>
      <c r="L1031" s="810"/>
      <c r="M1031" s="810"/>
      <c r="N1031" s="810"/>
      <c r="O1031" s="810"/>
      <c r="P1031" s="772"/>
      <c r="R1031" s="774"/>
    </row>
    <row r="1032" spans="1:22" hidden="1">
      <c r="A1032" s="786">
        <v>1032</v>
      </c>
      <c r="B1032" s="767"/>
      <c r="C1032" s="767" t="s">
        <v>1201</v>
      </c>
      <c r="D1032" s="767" t="s">
        <v>1202</v>
      </c>
      <c r="E1032" s="767"/>
      <c r="F1032" s="806"/>
      <c r="G1032" s="778"/>
      <c r="H1032" s="788"/>
      <c r="I1032" s="788"/>
      <c r="J1032" s="788"/>
      <c r="K1032" s="788"/>
      <c r="L1032" s="788"/>
      <c r="M1032" s="788"/>
      <c r="N1032" s="788"/>
      <c r="O1032" s="788"/>
      <c r="P1032" s="772"/>
      <c r="R1032" s="774"/>
    </row>
    <row r="1033" spans="1:22" hidden="1">
      <c r="A1033" s="786">
        <v>1033</v>
      </c>
      <c r="B1033" s="767"/>
      <c r="C1033" s="767"/>
      <c r="D1033" s="767"/>
      <c r="E1033" s="767" t="s">
        <v>727</v>
      </c>
      <c r="F1033" s="806" t="s">
        <v>1425</v>
      </c>
      <c r="G1033" s="778"/>
      <c r="H1033" s="815">
        <v>1277394.5600000003</v>
      </c>
      <c r="I1033" s="815">
        <v>665845.28070509085</v>
      </c>
      <c r="J1033" s="815">
        <v>201986.13857463203</v>
      </c>
      <c r="K1033" s="815">
        <v>208693.70345895423</v>
      </c>
      <c r="L1033" s="815">
        <v>80431.421721474413</v>
      </c>
      <c r="M1033" s="815">
        <v>42570.822681397149</v>
      </c>
      <c r="N1033" s="815">
        <v>66897.588000841104</v>
      </c>
      <c r="O1033" s="815">
        <v>10969.604857610193</v>
      </c>
      <c r="P1033" s="772">
        <v>0</v>
      </c>
      <c r="Q1033" s="774"/>
      <c r="R1033" s="774">
        <v>1624</v>
      </c>
      <c r="S1033" s="774"/>
      <c r="T1033" s="774"/>
      <c r="U1033" s="774"/>
      <c r="V1033" s="774"/>
    </row>
    <row r="1034" spans="1:22" hidden="1">
      <c r="A1034" s="786">
        <v>1034</v>
      </c>
      <c r="B1034" s="767"/>
      <c r="C1034" s="767"/>
      <c r="D1034" s="767"/>
      <c r="E1034" s="767" t="s">
        <v>1186</v>
      </c>
      <c r="F1034" s="806" t="s">
        <v>1426</v>
      </c>
      <c r="G1034" s="778"/>
      <c r="H1034" s="815">
        <v>0</v>
      </c>
      <c r="I1034" s="815">
        <v>0</v>
      </c>
      <c r="J1034" s="815">
        <v>0</v>
      </c>
      <c r="K1034" s="815">
        <v>0</v>
      </c>
      <c r="L1034" s="815">
        <v>0</v>
      </c>
      <c r="M1034" s="815">
        <v>0</v>
      </c>
      <c r="N1034" s="815">
        <v>0</v>
      </c>
      <c r="O1034" s="815">
        <v>0</v>
      </c>
      <c r="P1034" s="772">
        <v>0</v>
      </c>
      <c r="Q1034" s="774"/>
      <c r="R1034" s="774">
        <v>1625</v>
      </c>
      <c r="S1034" s="774"/>
      <c r="T1034" s="774"/>
      <c r="U1034" s="774"/>
      <c r="V1034" s="774"/>
    </row>
    <row r="1035" spans="1:22" hidden="1">
      <c r="A1035" s="786">
        <v>1035</v>
      </c>
      <c r="B1035" s="767"/>
      <c r="C1035" s="767"/>
      <c r="D1035" s="767"/>
      <c r="E1035" s="767" t="s">
        <v>1187</v>
      </c>
      <c r="F1035" s="806" t="s">
        <v>1426</v>
      </c>
      <c r="G1035" s="778"/>
      <c r="H1035" s="815">
        <v>0</v>
      </c>
      <c r="I1035" s="815">
        <v>0</v>
      </c>
      <c r="J1035" s="815">
        <v>0</v>
      </c>
      <c r="K1035" s="815">
        <v>0</v>
      </c>
      <c r="L1035" s="815">
        <v>0</v>
      </c>
      <c r="M1035" s="815">
        <v>0</v>
      </c>
      <c r="N1035" s="815">
        <v>0</v>
      </c>
      <c r="O1035" s="815">
        <v>0</v>
      </c>
      <c r="P1035" s="772">
        <v>0</v>
      </c>
      <c r="Q1035" s="774"/>
      <c r="R1035" s="774">
        <v>1626</v>
      </c>
      <c r="S1035" s="774"/>
      <c r="T1035" s="774"/>
      <c r="U1035" s="774"/>
      <c r="V1035" s="774"/>
    </row>
    <row r="1036" spans="1:22" hidden="1">
      <c r="A1036" s="786">
        <v>1036</v>
      </c>
      <c r="B1036" s="767"/>
      <c r="C1036" s="767"/>
      <c r="D1036" s="767"/>
      <c r="E1036" s="767" t="s">
        <v>1005</v>
      </c>
      <c r="F1036" s="806" t="s">
        <v>1411</v>
      </c>
      <c r="G1036" s="778"/>
      <c r="H1036" s="815">
        <v>333314.50957191281</v>
      </c>
      <c r="I1036" s="815">
        <v>155225.8105535089</v>
      </c>
      <c r="J1036" s="815">
        <v>48131.486841539583</v>
      </c>
      <c r="K1036" s="815">
        <v>65920.451753481611</v>
      </c>
      <c r="L1036" s="815">
        <v>26323.805338658611</v>
      </c>
      <c r="M1036" s="815">
        <v>21099.760865593667</v>
      </c>
      <c r="N1036" s="815">
        <v>15058.453163772858</v>
      </c>
      <c r="O1036" s="815">
        <v>1554.7410553575389</v>
      </c>
      <c r="P1036" s="772">
        <v>0</v>
      </c>
      <c r="Q1036" s="774"/>
      <c r="R1036" s="774">
        <v>1627</v>
      </c>
      <c r="S1036" s="774"/>
      <c r="T1036" s="774"/>
      <c r="U1036" s="774"/>
      <c r="V1036" s="774"/>
    </row>
    <row r="1037" spans="1:22" hidden="1">
      <c r="A1037" s="786">
        <v>1037</v>
      </c>
      <c r="B1037" s="767"/>
      <c r="C1037" s="767"/>
      <c r="D1037" s="767"/>
      <c r="E1037" s="767" t="s">
        <v>738</v>
      </c>
      <c r="F1037" s="806" t="s">
        <v>1392</v>
      </c>
      <c r="G1037" s="778"/>
      <c r="H1037" s="815">
        <v>0</v>
      </c>
      <c r="I1037" s="815">
        <v>0</v>
      </c>
      <c r="J1037" s="815">
        <v>0</v>
      </c>
      <c r="K1037" s="815">
        <v>0</v>
      </c>
      <c r="L1037" s="815">
        <v>0</v>
      </c>
      <c r="M1037" s="815">
        <v>0</v>
      </c>
      <c r="N1037" s="815">
        <v>0</v>
      </c>
      <c r="O1037" s="815">
        <v>0</v>
      </c>
      <c r="P1037" s="772">
        <v>0</v>
      </c>
      <c r="Q1037" s="774"/>
      <c r="R1037" s="774">
        <v>1628</v>
      </c>
      <c r="S1037" s="774"/>
      <c r="T1037" s="774"/>
      <c r="U1037" s="774"/>
      <c r="V1037" s="774"/>
    </row>
    <row r="1038" spans="1:22" hidden="1">
      <c r="A1038" s="786">
        <v>1038</v>
      </c>
      <c r="B1038" s="767"/>
      <c r="C1038" s="767"/>
      <c r="D1038" s="767"/>
      <c r="E1038" s="767" t="s">
        <v>1180</v>
      </c>
      <c r="F1038" s="806" t="s">
        <v>1426</v>
      </c>
      <c r="G1038" s="778"/>
      <c r="H1038" s="815">
        <v>287916.18210578075</v>
      </c>
      <c r="I1038" s="815">
        <v>125133.82232040974</v>
      </c>
      <c r="J1038" s="815">
        <v>38323.914547730645</v>
      </c>
      <c r="K1038" s="815">
        <v>62891.76440586742</v>
      </c>
      <c r="L1038" s="815">
        <v>25540.228905033531</v>
      </c>
      <c r="M1038" s="815">
        <v>24667.575324225414</v>
      </c>
      <c r="N1038" s="815">
        <v>10970.650644055497</v>
      </c>
      <c r="O1038" s="815">
        <v>388.22595845849338</v>
      </c>
      <c r="P1038" s="772">
        <v>0</v>
      </c>
      <c r="Q1038" s="774"/>
      <c r="R1038" s="774">
        <v>1629</v>
      </c>
      <c r="S1038" s="774"/>
      <c r="T1038" s="774"/>
      <c r="U1038" s="774"/>
      <c r="V1038" s="774"/>
    </row>
    <row r="1039" spans="1:22" hidden="1">
      <c r="A1039" s="786">
        <v>1039</v>
      </c>
      <c r="B1039" s="767"/>
      <c r="C1039" s="767"/>
      <c r="D1039" s="767"/>
      <c r="E1039" s="767" t="s">
        <v>718</v>
      </c>
      <c r="F1039" s="806" t="s">
        <v>1426</v>
      </c>
      <c r="G1039" s="778"/>
      <c r="H1039" s="815">
        <v>77193.391006874823</v>
      </c>
      <c r="I1039" s="815">
        <v>33549.708821212684</v>
      </c>
      <c r="J1039" s="815">
        <v>10275.049144372606</v>
      </c>
      <c r="K1039" s="815">
        <v>16861.951021254881</v>
      </c>
      <c r="L1039" s="815">
        <v>6847.6070426183787</v>
      </c>
      <c r="M1039" s="815">
        <v>6613.6393351273109</v>
      </c>
      <c r="N1039" s="815">
        <v>2941.348133239906</v>
      </c>
      <c r="O1039" s="815">
        <v>104.08750904905639</v>
      </c>
      <c r="P1039" s="772">
        <v>0</v>
      </c>
      <c r="Q1039" s="774"/>
      <c r="R1039" s="774">
        <v>1630</v>
      </c>
      <c r="S1039" s="774"/>
      <c r="T1039" s="774"/>
      <c r="U1039" s="774"/>
      <c r="V1039" s="774"/>
    </row>
    <row r="1040" spans="1:22" hidden="1">
      <c r="A1040" s="786">
        <v>1040</v>
      </c>
      <c r="B1040" s="767"/>
      <c r="C1040" s="767"/>
      <c r="D1040" s="767"/>
      <c r="E1040" s="767" t="s">
        <v>1192</v>
      </c>
      <c r="F1040" s="806" t="s">
        <v>1411</v>
      </c>
      <c r="G1040" s="778"/>
      <c r="H1040" s="815">
        <v>0</v>
      </c>
      <c r="I1040" s="815">
        <v>0</v>
      </c>
      <c r="J1040" s="815">
        <v>0</v>
      </c>
      <c r="K1040" s="815">
        <v>0</v>
      </c>
      <c r="L1040" s="815">
        <v>0</v>
      </c>
      <c r="M1040" s="815">
        <v>0</v>
      </c>
      <c r="N1040" s="815">
        <v>0</v>
      </c>
      <c r="O1040" s="815">
        <v>0</v>
      </c>
      <c r="P1040" s="772">
        <v>0</v>
      </c>
      <c r="Q1040" s="774"/>
      <c r="R1040" s="774">
        <v>1631</v>
      </c>
      <c r="S1040" s="774"/>
      <c r="T1040" s="774"/>
      <c r="U1040" s="774"/>
      <c r="V1040" s="774"/>
    </row>
    <row r="1041" spans="1:22" hidden="1">
      <c r="A1041" s="786">
        <v>1041</v>
      </c>
      <c r="B1041" s="767"/>
      <c r="C1041" s="767"/>
      <c r="D1041" s="767" t="s">
        <v>1203</v>
      </c>
      <c r="E1041" s="767"/>
      <c r="F1041" s="806"/>
      <c r="G1041" s="778"/>
      <c r="H1041" s="815">
        <v>1975818.6426845682</v>
      </c>
      <c r="I1041" s="815">
        <v>979754.62240022223</v>
      </c>
      <c r="J1041" s="815">
        <v>298716.58910827484</v>
      </c>
      <c r="K1041" s="815">
        <v>354367.87063955812</v>
      </c>
      <c r="L1041" s="815">
        <v>139143.06300778492</v>
      </c>
      <c r="M1041" s="815">
        <v>94951.798206343548</v>
      </c>
      <c r="N1041" s="815">
        <v>95868.039941909359</v>
      </c>
      <c r="O1041" s="815">
        <v>13016.659380475281</v>
      </c>
      <c r="P1041" s="772">
        <v>0</v>
      </c>
      <c r="Q1041" s="774"/>
      <c r="R1041" s="774"/>
      <c r="S1041" s="774"/>
      <c r="T1041" s="774"/>
      <c r="U1041" s="774"/>
      <c r="V1041" s="774"/>
    </row>
    <row r="1042" spans="1:22" hidden="1">
      <c r="A1042" s="786">
        <v>1042</v>
      </c>
      <c r="B1042" s="767"/>
      <c r="C1042" s="767"/>
      <c r="D1042" s="767"/>
      <c r="E1042" s="767"/>
      <c r="F1042" s="806"/>
      <c r="G1042" s="778"/>
      <c r="H1042" s="810"/>
      <c r="I1042" s="810"/>
      <c r="J1042" s="810"/>
      <c r="K1042" s="810"/>
      <c r="L1042" s="810"/>
      <c r="M1042" s="810"/>
      <c r="N1042" s="810"/>
      <c r="O1042" s="810"/>
      <c r="P1042" s="772"/>
      <c r="R1042" s="774"/>
    </row>
    <row r="1043" spans="1:22" hidden="1">
      <c r="A1043" s="786">
        <v>1043</v>
      </c>
      <c r="B1043" s="767"/>
      <c r="C1043" s="767" t="s">
        <v>1204</v>
      </c>
      <c r="D1043" s="767" t="s">
        <v>1205</v>
      </c>
      <c r="E1043" s="767"/>
      <c r="F1043" s="806"/>
      <c r="G1043" s="778"/>
      <c r="H1043" s="788"/>
      <c r="I1043" s="788"/>
      <c r="J1043" s="788"/>
      <c r="K1043" s="788"/>
      <c r="L1043" s="788"/>
      <c r="M1043" s="788"/>
      <c r="N1043" s="788"/>
      <c r="O1043" s="788"/>
      <c r="P1043" s="772"/>
      <c r="R1043" s="774"/>
    </row>
    <row r="1044" spans="1:22" hidden="1">
      <c r="A1044" s="786">
        <v>1044</v>
      </c>
      <c r="B1044" s="767"/>
      <c r="C1044" s="767"/>
      <c r="D1044" s="767"/>
      <c r="E1044" s="767" t="s">
        <v>727</v>
      </c>
      <c r="F1044" s="806" t="s">
        <v>1425</v>
      </c>
      <c r="G1044" s="778"/>
      <c r="H1044" s="815">
        <v>8938492.0700000022</v>
      </c>
      <c r="I1044" s="815">
        <v>4659212.547006133</v>
      </c>
      <c r="J1044" s="815">
        <v>1413385.9297938999</v>
      </c>
      <c r="K1044" s="815">
        <v>1460321.7140887103</v>
      </c>
      <c r="L1044" s="815">
        <v>562814.06524560798</v>
      </c>
      <c r="M1044" s="815">
        <v>297886.7867975299</v>
      </c>
      <c r="N1044" s="815">
        <v>468111.87284815538</v>
      </c>
      <c r="O1044" s="815">
        <v>76759.15421996334</v>
      </c>
      <c r="P1044" s="772">
        <v>0</v>
      </c>
      <c r="Q1044" s="774"/>
      <c r="R1044" s="774">
        <v>1635</v>
      </c>
      <c r="S1044" s="774"/>
      <c r="T1044" s="774"/>
      <c r="U1044" s="774"/>
      <c r="V1044" s="774"/>
    </row>
    <row r="1045" spans="1:22" hidden="1">
      <c r="A1045" s="786">
        <v>1045</v>
      </c>
      <c r="B1045" s="767"/>
      <c r="C1045" s="767"/>
      <c r="D1045" s="767"/>
      <c r="E1045" s="767" t="s">
        <v>1196</v>
      </c>
      <c r="F1045" s="806" t="s">
        <v>1426</v>
      </c>
      <c r="G1045" s="778"/>
      <c r="H1045" s="815">
        <v>0</v>
      </c>
      <c r="I1045" s="815">
        <v>0</v>
      </c>
      <c r="J1045" s="815">
        <v>0</v>
      </c>
      <c r="K1045" s="815">
        <v>0</v>
      </c>
      <c r="L1045" s="815">
        <v>0</v>
      </c>
      <c r="M1045" s="815">
        <v>0</v>
      </c>
      <c r="N1045" s="815">
        <v>0</v>
      </c>
      <c r="O1045" s="815">
        <v>0</v>
      </c>
      <c r="P1045" s="772">
        <v>0</v>
      </c>
      <c r="Q1045" s="774"/>
      <c r="R1045" s="774">
        <v>1636</v>
      </c>
      <c r="S1045" s="774"/>
      <c r="T1045" s="774"/>
      <c r="U1045" s="774"/>
      <c r="V1045" s="774"/>
    </row>
    <row r="1046" spans="1:22" hidden="1">
      <c r="A1046" s="786">
        <v>1046</v>
      </c>
      <c r="B1046" s="767"/>
      <c r="C1046" s="767"/>
      <c r="D1046" s="767"/>
      <c r="E1046" s="767" t="s">
        <v>1180</v>
      </c>
      <c r="F1046" s="806" t="s">
        <v>1426</v>
      </c>
      <c r="G1046" s="778"/>
      <c r="H1046" s="815">
        <v>774024.78967441036</v>
      </c>
      <c r="I1046" s="815">
        <v>336405.82406418864</v>
      </c>
      <c r="J1046" s="815">
        <v>103028.80400938637</v>
      </c>
      <c r="K1046" s="815">
        <v>169076.2372592836</v>
      </c>
      <c r="L1046" s="815">
        <v>68661.546432953881</v>
      </c>
      <c r="M1046" s="815">
        <v>66315.532049867004</v>
      </c>
      <c r="N1046" s="815">
        <v>29493.151427788391</v>
      </c>
      <c r="O1046" s="815">
        <v>1043.694430942332</v>
      </c>
      <c r="P1046" s="772">
        <v>0</v>
      </c>
      <c r="Q1046" s="774"/>
      <c r="R1046" s="774">
        <v>1637</v>
      </c>
      <c r="S1046" s="774"/>
      <c r="T1046" s="774"/>
      <c r="U1046" s="774"/>
      <c r="V1046" s="774"/>
    </row>
    <row r="1047" spans="1:22" hidden="1">
      <c r="A1047" s="786">
        <v>1047</v>
      </c>
      <c r="B1047" s="767"/>
      <c r="C1047" s="767"/>
      <c r="D1047" s="767"/>
      <c r="E1047" s="767" t="s">
        <v>1005</v>
      </c>
      <c r="F1047" s="806" t="s">
        <v>1411</v>
      </c>
      <c r="G1047" s="778"/>
      <c r="H1047" s="815">
        <v>408351.28346390941</v>
      </c>
      <c r="I1047" s="815">
        <v>190170.71608331922</v>
      </c>
      <c r="J1047" s="815">
        <v>58966.993222143166</v>
      </c>
      <c r="K1047" s="815">
        <v>80760.663898572966</v>
      </c>
      <c r="L1047" s="815">
        <v>32249.900280372203</v>
      </c>
      <c r="M1047" s="815">
        <v>25849.803062317063</v>
      </c>
      <c r="N1047" s="815">
        <v>18448.457837330163</v>
      </c>
      <c r="O1047" s="815">
        <v>1904.7490798545878</v>
      </c>
      <c r="P1047" s="772">
        <v>0</v>
      </c>
      <c r="Q1047" s="774"/>
      <c r="R1047" s="774">
        <v>1638</v>
      </c>
      <c r="S1047" s="774"/>
      <c r="T1047" s="774"/>
      <c r="U1047" s="774"/>
      <c r="V1047" s="774"/>
    </row>
    <row r="1048" spans="1:22" hidden="1">
      <c r="A1048" s="786">
        <v>1048</v>
      </c>
      <c r="B1048" s="767"/>
      <c r="C1048" s="767"/>
      <c r="D1048" s="767"/>
      <c r="E1048" s="767" t="s">
        <v>1191</v>
      </c>
      <c r="F1048" s="806" t="s">
        <v>1426</v>
      </c>
      <c r="G1048" s="778"/>
      <c r="H1048" s="815">
        <v>0</v>
      </c>
      <c r="I1048" s="815">
        <v>0</v>
      </c>
      <c r="J1048" s="815">
        <v>0</v>
      </c>
      <c r="K1048" s="815">
        <v>0</v>
      </c>
      <c r="L1048" s="815">
        <v>0</v>
      </c>
      <c r="M1048" s="815">
        <v>0</v>
      </c>
      <c r="N1048" s="815">
        <v>0</v>
      </c>
      <c r="O1048" s="815">
        <v>0</v>
      </c>
      <c r="P1048" s="772">
        <v>0</v>
      </c>
      <c r="Q1048" s="774"/>
      <c r="R1048" s="774">
        <v>1639</v>
      </c>
      <c r="S1048" s="774"/>
      <c r="T1048" s="774"/>
      <c r="U1048" s="774"/>
      <c r="V1048" s="774"/>
    </row>
    <row r="1049" spans="1:22" hidden="1">
      <c r="A1049" s="786">
        <v>1049</v>
      </c>
      <c r="B1049" s="767"/>
      <c r="C1049" s="767"/>
      <c r="D1049" s="767"/>
      <c r="E1049" s="767" t="s">
        <v>738</v>
      </c>
      <c r="F1049" s="806" t="s">
        <v>1392</v>
      </c>
      <c r="G1049" s="778"/>
      <c r="H1049" s="815">
        <v>0</v>
      </c>
      <c r="I1049" s="815">
        <v>0</v>
      </c>
      <c r="J1049" s="815">
        <v>0</v>
      </c>
      <c r="K1049" s="815">
        <v>0</v>
      </c>
      <c r="L1049" s="815">
        <v>0</v>
      </c>
      <c r="M1049" s="815">
        <v>0</v>
      </c>
      <c r="N1049" s="815">
        <v>0</v>
      </c>
      <c r="O1049" s="815">
        <v>0</v>
      </c>
      <c r="P1049" s="772">
        <v>0</v>
      </c>
      <c r="Q1049" s="774"/>
      <c r="R1049" s="774">
        <v>1640</v>
      </c>
      <c r="S1049" s="774"/>
      <c r="T1049" s="774"/>
      <c r="U1049" s="774"/>
      <c r="V1049" s="774"/>
    </row>
    <row r="1050" spans="1:22" hidden="1">
      <c r="A1050" s="786">
        <v>1050</v>
      </c>
      <c r="B1050" s="767"/>
      <c r="C1050" s="767"/>
      <c r="D1050" s="767"/>
      <c r="E1050" s="767" t="s">
        <v>718</v>
      </c>
      <c r="F1050" s="806" t="s">
        <v>1426</v>
      </c>
      <c r="G1050" s="778"/>
      <c r="H1050" s="815">
        <v>2168844.4072024617</v>
      </c>
      <c r="I1050" s="815">
        <v>942620.83050189971</v>
      </c>
      <c r="J1050" s="815">
        <v>288690.29563059704</v>
      </c>
      <c r="K1050" s="815">
        <v>473757.50294106762</v>
      </c>
      <c r="L1050" s="815">
        <v>192392.0434559015</v>
      </c>
      <c r="M1050" s="815">
        <v>185818.4294814514</v>
      </c>
      <c r="N1050" s="815">
        <v>82640.837061357102</v>
      </c>
      <c r="O1050" s="815">
        <v>2924.4681301871601</v>
      </c>
      <c r="P1050" s="772">
        <v>0</v>
      </c>
      <c r="Q1050" s="774"/>
      <c r="R1050" s="774">
        <v>1641</v>
      </c>
      <c r="S1050" s="774"/>
      <c r="T1050" s="774"/>
      <c r="U1050" s="774"/>
      <c r="V1050" s="774"/>
    </row>
    <row r="1051" spans="1:22" hidden="1">
      <c r="A1051" s="786">
        <v>1051</v>
      </c>
      <c r="B1051" s="767"/>
      <c r="C1051" s="767"/>
      <c r="D1051" s="767"/>
      <c r="E1051" s="767" t="s">
        <v>1192</v>
      </c>
      <c r="F1051" s="806" t="s">
        <v>1411</v>
      </c>
      <c r="G1051" s="778"/>
      <c r="H1051" s="815">
        <v>0</v>
      </c>
      <c r="I1051" s="815">
        <v>0</v>
      </c>
      <c r="J1051" s="815">
        <v>0</v>
      </c>
      <c r="K1051" s="815">
        <v>0</v>
      </c>
      <c r="L1051" s="815">
        <v>0</v>
      </c>
      <c r="M1051" s="815">
        <v>0</v>
      </c>
      <c r="N1051" s="815">
        <v>0</v>
      </c>
      <c r="O1051" s="815">
        <v>0</v>
      </c>
      <c r="P1051" s="772">
        <v>0</v>
      </c>
      <c r="Q1051" s="774"/>
      <c r="R1051" s="774">
        <v>1642</v>
      </c>
      <c r="S1051" s="774"/>
      <c r="T1051" s="774"/>
      <c r="U1051" s="774"/>
      <c r="V1051" s="774"/>
    </row>
    <row r="1052" spans="1:22" hidden="1">
      <c r="A1052" s="786">
        <v>1052</v>
      </c>
      <c r="B1052" s="767"/>
      <c r="C1052" s="767"/>
      <c r="D1052" s="767" t="s">
        <v>1206</v>
      </c>
      <c r="E1052" s="767"/>
      <c r="F1052" s="806"/>
      <c r="G1052" s="778"/>
      <c r="H1052" s="815">
        <v>12289712.550340783</v>
      </c>
      <c r="I1052" s="815">
        <v>6128409.9176555406</v>
      </c>
      <c r="J1052" s="815">
        <v>1864072.0226560263</v>
      </c>
      <c r="K1052" s="815">
        <v>2183916.1181876343</v>
      </c>
      <c r="L1052" s="815">
        <v>856117.55541483557</v>
      </c>
      <c r="M1052" s="815">
        <v>575870.55139116535</v>
      </c>
      <c r="N1052" s="815">
        <v>598694.31917463103</v>
      </c>
      <c r="O1052" s="815">
        <v>82632.065860947419</v>
      </c>
      <c r="P1052" s="772">
        <v>0</v>
      </c>
      <c r="Q1052" s="774"/>
      <c r="R1052" s="774"/>
      <c r="S1052" s="774"/>
      <c r="T1052" s="774"/>
      <c r="U1052" s="774"/>
      <c r="V1052" s="774"/>
    </row>
    <row r="1053" spans="1:22" hidden="1">
      <c r="A1053" s="786">
        <v>1053</v>
      </c>
      <c r="B1053" s="767"/>
      <c r="C1053" s="767"/>
      <c r="D1053" s="767"/>
      <c r="E1053" s="767"/>
      <c r="F1053" s="806"/>
      <c r="G1053" s="778"/>
      <c r="H1053" s="810"/>
      <c r="I1053" s="810"/>
      <c r="J1053" s="810"/>
      <c r="K1053" s="810"/>
      <c r="L1053" s="810"/>
      <c r="M1053" s="810"/>
      <c r="N1053" s="810"/>
      <c r="O1053" s="810"/>
      <c r="P1053" s="772"/>
      <c r="R1053" s="774"/>
    </row>
    <row r="1054" spans="1:22" hidden="1">
      <c r="A1054" s="786">
        <v>1054</v>
      </c>
      <c r="B1054" s="767"/>
      <c r="C1054" s="767" t="s">
        <v>1207</v>
      </c>
      <c r="D1054" s="767" t="s">
        <v>1208</v>
      </c>
      <c r="E1054" s="767"/>
      <c r="F1054" s="806"/>
      <c r="G1054" s="778"/>
      <c r="H1054" s="788"/>
      <c r="I1054" s="788"/>
      <c r="J1054" s="788"/>
      <c r="K1054" s="788"/>
      <c r="L1054" s="788"/>
      <c r="M1054" s="788"/>
      <c r="N1054" s="788"/>
      <c r="O1054" s="788"/>
      <c r="P1054" s="772"/>
      <c r="R1054" s="774"/>
    </row>
    <row r="1055" spans="1:22" hidden="1">
      <c r="A1055" s="786">
        <v>1055</v>
      </c>
      <c r="B1055" s="767"/>
      <c r="C1055" s="767"/>
      <c r="D1055" s="767"/>
      <c r="E1055" s="767" t="s">
        <v>727</v>
      </c>
      <c r="F1055" s="806" t="s">
        <v>1425</v>
      </c>
      <c r="G1055" s="778"/>
      <c r="H1055" s="815">
        <v>15141287.744463168</v>
      </c>
      <c r="I1055" s="815">
        <v>7892436.1384853777</v>
      </c>
      <c r="J1055" s="815">
        <v>2394193.8852092144</v>
      </c>
      <c r="K1055" s="815">
        <v>2473700.3847344504</v>
      </c>
      <c r="L1055" s="815">
        <v>953374.42174570472</v>
      </c>
      <c r="M1055" s="815">
        <v>504602.95974452345</v>
      </c>
      <c r="N1055" s="815">
        <v>792954.39408422215</v>
      </c>
      <c r="O1055" s="815">
        <v>130025.56045967258</v>
      </c>
      <c r="P1055" s="772">
        <v>0</v>
      </c>
      <c r="Q1055" s="774"/>
      <c r="R1055" s="774">
        <v>1646</v>
      </c>
      <c r="S1055" s="774"/>
      <c r="T1055" s="774"/>
      <c r="U1055" s="774"/>
      <c r="V1055" s="774"/>
    </row>
    <row r="1056" spans="1:22" hidden="1">
      <c r="A1056" s="786">
        <v>1056</v>
      </c>
      <c r="B1056" s="767"/>
      <c r="C1056" s="767"/>
      <c r="D1056" s="767"/>
      <c r="E1056" s="767" t="s">
        <v>1186</v>
      </c>
      <c r="F1056" s="806" t="s">
        <v>1426</v>
      </c>
      <c r="G1056" s="778"/>
      <c r="H1056" s="815">
        <v>0</v>
      </c>
      <c r="I1056" s="815">
        <v>0</v>
      </c>
      <c r="J1056" s="815">
        <v>0</v>
      </c>
      <c r="K1056" s="815">
        <v>0</v>
      </c>
      <c r="L1056" s="815">
        <v>0</v>
      </c>
      <c r="M1056" s="815">
        <v>0</v>
      </c>
      <c r="N1056" s="815">
        <v>0</v>
      </c>
      <c r="O1056" s="815">
        <v>0</v>
      </c>
      <c r="P1056" s="772">
        <v>0</v>
      </c>
      <c r="Q1056" s="774"/>
      <c r="R1056" s="774">
        <v>1647</v>
      </c>
      <c r="S1056" s="774"/>
      <c r="T1056" s="774"/>
      <c r="U1056" s="774"/>
      <c r="V1056" s="774"/>
    </row>
    <row r="1057" spans="1:22" hidden="1">
      <c r="A1057" s="786">
        <v>1057</v>
      </c>
      <c r="B1057" s="767"/>
      <c r="C1057" s="767"/>
      <c r="D1057" s="767"/>
      <c r="E1057" s="767" t="s">
        <v>1187</v>
      </c>
      <c r="F1057" s="806" t="s">
        <v>1426</v>
      </c>
      <c r="G1057" s="778"/>
      <c r="H1057" s="815">
        <v>0</v>
      </c>
      <c r="I1057" s="815">
        <v>0</v>
      </c>
      <c r="J1057" s="815">
        <v>0</v>
      </c>
      <c r="K1057" s="815">
        <v>0</v>
      </c>
      <c r="L1057" s="815">
        <v>0</v>
      </c>
      <c r="M1057" s="815">
        <v>0</v>
      </c>
      <c r="N1057" s="815">
        <v>0</v>
      </c>
      <c r="O1057" s="815">
        <v>0</v>
      </c>
      <c r="P1057" s="772">
        <v>0</v>
      </c>
      <c r="Q1057" s="774"/>
      <c r="R1057" s="774">
        <v>1648</v>
      </c>
      <c r="S1057" s="774"/>
      <c r="T1057" s="774"/>
      <c r="U1057" s="774"/>
      <c r="V1057" s="774"/>
    </row>
    <row r="1058" spans="1:22" hidden="1">
      <c r="A1058" s="786">
        <v>1058</v>
      </c>
      <c r="B1058" s="767"/>
      <c r="C1058" s="767"/>
      <c r="D1058" s="767"/>
      <c r="E1058" s="767" t="s">
        <v>1005</v>
      </c>
      <c r="F1058" s="806" t="s">
        <v>1411</v>
      </c>
      <c r="G1058" s="778"/>
      <c r="H1058" s="815">
        <v>7455706.8861076515</v>
      </c>
      <c r="I1058" s="815">
        <v>3472150.5107348049</v>
      </c>
      <c r="J1058" s="815">
        <v>1076623.5719649747</v>
      </c>
      <c r="K1058" s="815">
        <v>1474533.9670480869</v>
      </c>
      <c r="L1058" s="815">
        <v>588820.98167301842</v>
      </c>
      <c r="M1058" s="815">
        <v>471967.5497561589</v>
      </c>
      <c r="N1058" s="815">
        <v>336833.26024860085</v>
      </c>
      <c r="O1058" s="815">
        <v>34777.044682006461</v>
      </c>
      <c r="P1058" s="772">
        <v>0</v>
      </c>
      <c r="Q1058" s="774"/>
      <c r="R1058" s="774">
        <v>1649</v>
      </c>
      <c r="S1058" s="774"/>
      <c r="T1058" s="774"/>
      <c r="U1058" s="774"/>
      <c r="V1058" s="774"/>
    </row>
    <row r="1059" spans="1:22" hidden="1">
      <c r="A1059" s="786">
        <v>1059</v>
      </c>
      <c r="B1059" s="767"/>
      <c r="C1059" s="767"/>
      <c r="D1059" s="767"/>
      <c r="E1059" s="767" t="s">
        <v>1003</v>
      </c>
      <c r="F1059" s="806" t="s">
        <v>1410</v>
      </c>
      <c r="G1059" s="778"/>
      <c r="H1059" s="815">
        <v>71892.992636725161</v>
      </c>
      <c r="I1059" s="815">
        <v>58620.182046855851</v>
      </c>
      <c r="J1059" s="815">
        <v>10174.828609881195</v>
      </c>
      <c r="K1059" s="815">
        <v>592.1980685090665</v>
      </c>
      <c r="L1059" s="815">
        <v>151.51153807922526</v>
      </c>
      <c r="M1059" s="815">
        <v>2.3498440872350752</v>
      </c>
      <c r="N1059" s="815">
        <v>995.81668520145581</v>
      </c>
      <c r="O1059" s="815">
        <v>1356.1058441111231</v>
      </c>
      <c r="P1059" s="772">
        <v>0</v>
      </c>
      <c r="Q1059" s="774"/>
      <c r="R1059" s="774">
        <v>1650</v>
      </c>
      <c r="S1059" s="774"/>
      <c r="T1059" s="774"/>
      <c r="U1059" s="774"/>
      <c r="V1059" s="774"/>
    </row>
    <row r="1060" spans="1:22" hidden="1">
      <c r="A1060" s="786">
        <v>1060</v>
      </c>
      <c r="B1060" s="767"/>
      <c r="C1060" s="767"/>
      <c r="D1060" s="767"/>
      <c r="E1060" s="767" t="s">
        <v>1180</v>
      </c>
      <c r="F1060" s="806" t="s">
        <v>1426</v>
      </c>
      <c r="G1060" s="778"/>
      <c r="H1060" s="815">
        <v>13090607.462139789</v>
      </c>
      <c r="I1060" s="815">
        <v>5689425.7775056167</v>
      </c>
      <c r="J1060" s="815">
        <v>1742463.094945498</v>
      </c>
      <c r="K1060" s="815">
        <v>2859482.903729625</v>
      </c>
      <c r="L1060" s="815">
        <v>1161230.704865885</v>
      </c>
      <c r="M1060" s="815">
        <v>1121553.9996760644</v>
      </c>
      <c r="N1060" s="815">
        <v>498799.61638570967</v>
      </c>
      <c r="O1060" s="815">
        <v>17651.365031389414</v>
      </c>
      <c r="P1060" s="772">
        <v>0</v>
      </c>
      <c r="Q1060" s="774"/>
      <c r="R1060" s="774">
        <v>1651</v>
      </c>
      <c r="S1060" s="774"/>
      <c r="T1060" s="774"/>
      <c r="U1060" s="774"/>
      <c r="V1060" s="774"/>
    </row>
    <row r="1061" spans="1:22" hidden="1">
      <c r="A1061" s="786">
        <v>1061</v>
      </c>
      <c r="B1061" s="767"/>
      <c r="C1061" s="767"/>
      <c r="D1061" s="767"/>
      <c r="E1061" s="767" t="s">
        <v>738</v>
      </c>
      <c r="F1061" s="806" t="s">
        <v>1392</v>
      </c>
      <c r="G1061" s="778"/>
      <c r="H1061" s="815">
        <v>0</v>
      </c>
      <c r="I1061" s="815">
        <v>0</v>
      </c>
      <c r="J1061" s="815">
        <v>0</v>
      </c>
      <c r="K1061" s="815">
        <v>0</v>
      </c>
      <c r="L1061" s="815">
        <v>0</v>
      </c>
      <c r="M1061" s="815">
        <v>0</v>
      </c>
      <c r="N1061" s="815">
        <v>0</v>
      </c>
      <c r="O1061" s="815">
        <v>0</v>
      </c>
      <c r="P1061" s="772">
        <v>0</v>
      </c>
      <c r="Q1061" s="774"/>
      <c r="R1061" s="774">
        <v>1652</v>
      </c>
      <c r="S1061" s="774"/>
      <c r="T1061" s="774"/>
      <c r="U1061" s="774"/>
      <c r="V1061" s="774"/>
    </row>
    <row r="1062" spans="1:22" hidden="1">
      <c r="A1062" s="786">
        <v>1062</v>
      </c>
      <c r="B1062" s="767"/>
      <c r="C1062" s="767"/>
      <c r="D1062" s="767"/>
      <c r="E1062" s="767" t="s">
        <v>718</v>
      </c>
      <c r="F1062" s="806" t="s">
        <v>1426</v>
      </c>
      <c r="G1062" s="778"/>
      <c r="H1062" s="815">
        <v>858254.28638843982</v>
      </c>
      <c r="I1062" s="815">
        <v>358964.61974295496</v>
      </c>
      <c r="J1062" s="815">
        <v>114694.19357495035</v>
      </c>
      <c r="K1062" s="815">
        <v>194638.08990398233</v>
      </c>
      <c r="L1062" s="815">
        <v>79345.157302732754</v>
      </c>
      <c r="M1062" s="815">
        <v>75038.908216280121</v>
      </c>
      <c r="N1062" s="815">
        <v>34192.161867822149</v>
      </c>
      <c r="O1062" s="815">
        <v>1381.1557797171924</v>
      </c>
      <c r="P1062" s="772">
        <v>0</v>
      </c>
      <c r="Q1062" s="774"/>
      <c r="R1062" s="774">
        <v>1653</v>
      </c>
      <c r="S1062" s="774"/>
      <c r="T1062" s="774"/>
      <c r="U1062" s="774"/>
      <c r="V1062" s="774"/>
    </row>
    <row r="1063" spans="1:22" hidden="1">
      <c r="A1063" s="786"/>
      <c r="B1063" s="767"/>
      <c r="C1063" s="767"/>
      <c r="D1063" s="767"/>
      <c r="E1063" s="767" t="s">
        <v>1192</v>
      </c>
      <c r="F1063" s="806" t="s">
        <v>1426</v>
      </c>
      <c r="G1063" s="778"/>
      <c r="H1063" s="815">
        <v>10832.713391067768</v>
      </c>
      <c r="I1063" s="815">
        <v>4708.1022775849769</v>
      </c>
      <c r="J1063" s="815">
        <v>1441.919586745601</v>
      </c>
      <c r="K1063" s="815">
        <v>2366.2735921422191</v>
      </c>
      <c r="L1063" s="815">
        <v>960.93931798819108</v>
      </c>
      <c r="M1063" s="815">
        <v>928.1061300046473</v>
      </c>
      <c r="N1063" s="815">
        <v>412.76566419918538</v>
      </c>
      <c r="O1063" s="815">
        <v>14.606822402946143</v>
      </c>
      <c r="P1063" s="772">
        <v>0</v>
      </c>
      <c r="Q1063" s="774"/>
      <c r="R1063" s="774">
        <v>1654</v>
      </c>
      <c r="S1063" s="774"/>
      <c r="T1063" s="774"/>
      <c r="U1063" s="774"/>
      <c r="V1063" s="774"/>
    </row>
    <row r="1064" spans="1:22" hidden="1">
      <c r="A1064" s="786">
        <v>1064</v>
      </c>
      <c r="B1064" s="767"/>
      <c r="C1064" s="767"/>
      <c r="D1064" s="767"/>
      <c r="E1064" s="767" t="s">
        <v>1192</v>
      </c>
      <c r="F1064" s="806" t="s">
        <v>1426</v>
      </c>
      <c r="G1064" s="778"/>
      <c r="H1064" s="815">
        <v>-72.497943240430459</v>
      </c>
      <c r="I1064" s="815">
        <v>-31.508978348115676</v>
      </c>
      <c r="J1064" s="815">
        <v>-9.6500480150563206</v>
      </c>
      <c r="K1064" s="815">
        <v>-15.836287953109654</v>
      </c>
      <c r="L1064" s="815">
        <v>-6.4310871725314733</v>
      </c>
      <c r="M1064" s="815">
        <v>-6.211351035065114</v>
      </c>
      <c r="N1064" s="815">
        <v>-2.7624345456592465</v>
      </c>
      <c r="O1064" s="815">
        <v>-9.7756170892974836E-2</v>
      </c>
      <c r="P1064" s="772">
        <v>0</v>
      </c>
      <c r="Q1064" s="774"/>
      <c r="R1064" s="774">
        <v>1655</v>
      </c>
      <c r="S1064" s="774"/>
      <c r="T1064" s="774"/>
      <c r="U1064" s="774"/>
      <c r="V1064" s="774"/>
    </row>
    <row r="1065" spans="1:22" hidden="1">
      <c r="A1065" s="786">
        <v>1065</v>
      </c>
      <c r="B1065" s="767"/>
      <c r="C1065" s="767"/>
      <c r="D1065" s="767" t="s">
        <v>1209</v>
      </c>
      <c r="E1065" s="767"/>
      <c r="F1065" s="806"/>
      <c r="G1065" s="778"/>
      <c r="H1065" s="815">
        <v>36628509.587183595</v>
      </c>
      <c r="I1065" s="815">
        <v>17476273.821814846</v>
      </c>
      <c r="J1065" s="815">
        <v>5339581.8438432487</v>
      </c>
      <c r="K1065" s="815">
        <v>7005297.9807888428</v>
      </c>
      <c r="L1065" s="815">
        <v>2783877.2853562357</v>
      </c>
      <c r="M1065" s="815">
        <v>2174087.662016084</v>
      </c>
      <c r="N1065" s="815">
        <v>1664185.25250121</v>
      </c>
      <c r="O1065" s="815">
        <v>185205.74086312883</v>
      </c>
      <c r="P1065" s="772">
        <v>0</v>
      </c>
      <c r="Q1065" s="774"/>
      <c r="R1065" s="774"/>
      <c r="S1065" s="774"/>
      <c r="T1065" s="774"/>
      <c r="U1065" s="774"/>
      <c r="V1065" s="774"/>
    </row>
    <row r="1066" spans="1:22" hidden="1">
      <c r="A1066" s="786">
        <v>1066</v>
      </c>
      <c r="B1066" s="767"/>
      <c r="C1066" s="767"/>
      <c r="D1066" s="767"/>
      <c r="E1066" s="767"/>
      <c r="F1066" s="806"/>
      <c r="H1066" s="817"/>
      <c r="I1066" s="817"/>
      <c r="J1066" s="817"/>
      <c r="K1066" s="817"/>
      <c r="L1066" s="819"/>
      <c r="M1066" s="817"/>
      <c r="N1066" s="817"/>
      <c r="O1066" s="817"/>
      <c r="P1066" s="772"/>
      <c r="R1066" s="774"/>
    </row>
    <row r="1067" spans="1:22" hidden="1">
      <c r="A1067" s="786">
        <v>1067</v>
      </c>
      <c r="B1067" s="767"/>
      <c r="C1067" s="781" t="s">
        <v>714</v>
      </c>
      <c r="D1067" s="767"/>
      <c r="E1067" s="767"/>
      <c r="F1067" s="806"/>
      <c r="G1067" s="778"/>
      <c r="H1067" s="817" t="s">
        <v>1178</v>
      </c>
      <c r="I1067" s="817"/>
      <c r="J1067" s="817"/>
      <c r="K1067" s="817"/>
      <c r="L1067" s="817"/>
      <c r="M1067" s="817"/>
      <c r="N1067" s="817"/>
      <c r="O1067" s="817"/>
      <c r="P1067" s="772"/>
      <c r="R1067" s="774"/>
    </row>
    <row r="1068" spans="1:22" hidden="1">
      <c r="A1068" s="786">
        <v>1068</v>
      </c>
      <c r="B1068" s="767"/>
      <c r="C1068" s="767"/>
      <c r="D1068" s="767"/>
      <c r="E1068" s="767"/>
      <c r="F1068" s="806"/>
      <c r="G1068" s="778"/>
      <c r="H1068" s="810"/>
      <c r="I1068" s="810"/>
      <c r="J1068" s="810"/>
      <c r="K1068" s="810"/>
      <c r="L1068" s="810"/>
      <c r="M1068" s="810"/>
      <c r="N1068" s="810"/>
      <c r="O1068" s="810"/>
      <c r="P1068" s="772"/>
      <c r="R1068" s="774"/>
    </row>
    <row r="1069" spans="1:22" hidden="1">
      <c r="A1069" s="786">
        <v>1069</v>
      </c>
      <c r="B1069" s="767"/>
      <c r="C1069" s="777" t="s">
        <v>575</v>
      </c>
      <c r="D1069" s="767"/>
      <c r="E1069" s="777" t="s">
        <v>576</v>
      </c>
      <c r="F1069" s="806" t="s">
        <v>577</v>
      </c>
      <c r="G1069" s="778"/>
      <c r="H1069" s="777" t="s">
        <v>578</v>
      </c>
      <c r="I1069" s="777" t="s">
        <v>579</v>
      </c>
      <c r="J1069" s="777" t="s">
        <v>580</v>
      </c>
      <c r="K1069" s="777" t="s">
        <v>581</v>
      </c>
      <c r="L1069" s="777" t="s">
        <v>582</v>
      </c>
      <c r="M1069" s="777" t="s">
        <v>583</v>
      </c>
      <c r="N1069" s="777" t="s">
        <v>584</v>
      </c>
      <c r="O1069" s="777" t="s">
        <v>585</v>
      </c>
      <c r="P1069" s="772"/>
      <c r="R1069" s="774"/>
    </row>
    <row r="1070" spans="1:22" ht="38.25" hidden="1">
      <c r="A1070" s="786">
        <v>1070</v>
      </c>
      <c r="B1070" s="767"/>
      <c r="C1070" s="797" t="s">
        <v>656</v>
      </c>
      <c r="D1070" s="781"/>
      <c r="E1070" s="782" t="s">
        <v>587</v>
      </c>
      <c r="F1070" s="806" t="s">
        <v>1391</v>
      </c>
      <c r="G1070" s="783"/>
      <c r="H1070" s="829" t="s">
        <v>588</v>
      </c>
      <c r="I1070" s="829" t="s">
        <v>589</v>
      </c>
      <c r="J1070" s="829" t="s">
        <v>590</v>
      </c>
      <c r="K1070" s="829" t="s">
        <v>591</v>
      </c>
      <c r="L1070" s="829" t="s">
        <v>592</v>
      </c>
      <c r="M1070" s="829" t="s">
        <v>593</v>
      </c>
      <c r="N1070" s="829" t="s">
        <v>594</v>
      </c>
      <c r="O1070" s="829" t="s">
        <v>595</v>
      </c>
      <c r="P1070" s="772"/>
      <c r="R1070" s="774"/>
    </row>
    <row r="1071" spans="1:22" hidden="1">
      <c r="A1071" s="786">
        <v>1071</v>
      </c>
      <c r="B1071" s="767"/>
      <c r="C1071" s="767" t="s">
        <v>1210</v>
      </c>
      <c r="D1071" s="767" t="s">
        <v>1211</v>
      </c>
      <c r="E1071" s="767"/>
      <c r="F1071" s="806"/>
      <c r="G1071" s="778"/>
      <c r="H1071" s="788"/>
      <c r="I1071" s="788"/>
      <c r="J1071" s="788"/>
      <c r="K1071" s="788"/>
      <c r="L1071" s="788"/>
      <c r="M1071" s="788"/>
      <c r="N1071" s="788"/>
      <c r="O1071" s="788"/>
      <c r="P1071" s="772"/>
      <c r="R1071" s="774"/>
    </row>
    <row r="1072" spans="1:22" hidden="1">
      <c r="A1072" s="786">
        <v>1072</v>
      </c>
      <c r="B1072" s="767"/>
      <c r="C1072" s="767"/>
      <c r="D1072" s="767"/>
      <c r="E1072" s="767" t="s">
        <v>727</v>
      </c>
      <c r="F1072" s="806" t="s">
        <v>1425</v>
      </c>
      <c r="G1072" s="778"/>
      <c r="H1072" s="815">
        <v>180963.03000000003</v>
      </c>
      <c r="I1072" s="815">
        <v>94327.456277560617</v>
      </c>
      <c r="J1072" s="815">
        <v>28614.513321917773</v>
      </c>
      <c r="K1072" s="815">
        <v>29564.745382862624</v>
      </c>
      <c r="L1072" s="815">
        <v>11394.375894262321</v>
      </c>
      <c r="M1072" s="815">
        <v>6030.8265771997285</v>
      </c>
      <c r="N1072" s="815">
        <v>9477.0954906241714</v>
      </c>
      <c r="O1072" s="815">
        <v>1554.0170555727584</v>
      </c>
      <c r="P1072" s="772">
        <v>0</v>
      </c>
      <c r="Q1072" s="774"/>
      <c r="R1072" s="774">
        <v>1659</v>
      </c>
      <c r="S1072" s="774"/>
      <c r="T1072" s="774"/>
      <c r="U1072" s="774"/>
      <c r="V1072" s="774"/>
    </row>
    <row r="1073" spans="1:22" hidden="1">
      <c r="A1073" s="786">
        <v>1073</v>
      </c>
      <c r="B1073" s="767"/>
      <c r="C1073" s="767"/>
      <c r="D1073" s="767"/>
      <c r="E1073" s="767" t="s">
        <v>1186</v>
      </c>
      <c r="F1073" s="806" t="s">
        <v>1426</v>
      </c>
      <c r="G1073" s="778"/>
      <c r="H1073" s="815">
        <v>0</v>
      </c>
      <c r="I1073" s="815">
        <v>0</v>
      </c>
      <c r="J1073" s="815">
        <v>0</v>
      </c>
      <c r="K1073" s="815">
        <v>0</v>
      </c>
      <c r="L1073" s="815">
        <v>0</v>
      </c>
      <c r="M1073" s="815">
        <v>0</v>
      </c>
      <c r="N1073" s="815">
        <v>0</v>
      </c>
      <c r="O1073" s="815">
        <v>0</v>
      </c>
      <c r="P1073" s="772">
        <v>0</v>
      </c>
      <c r="Q1073" s="774"/>
      <c r="R1073" s="774">
        <v>1660</v>
      </c>
      <c r="S1073" s="774"/>
      <c r="T1073" s="774"/>
      <c r="U1073" s="774"/>
      <c r="V1073" s="774"/>
    </row>
    <row r="1074" spans="1:22" hidden="1">
      <c r="A1074" s="786">
        <v>1074</v>
      </c>
      <c r="B1074" s="767"/>
      <c r="C1074" s="767"/>
      <c r="D1074" s="767"/>
      <c r="E1074" s="767" t="s">
        <v>1187</v>
      </c>
      <c r="F1074" s="806" t="s">
        <v>1426</v>
      </c>
      <c r="G1074" s="778"/>
      <c r="H1074" s="815">
        <v>0</v>
      </c>
      <c r="I1074" s="815">
        <v>0</v>
      </c>
      <c r="J1074" s="815">
        <v>0</v>
      </c>
      <c r="K1074" s="815">
        <v>0</v>
      </c>
      <c r="L1074" s="815">
        <v>0</v>
      </c>
      <c r="M1074" s="815">
        <v>0</v>
      </c>
      <c r="N1074" s="815">
        <v>0</v>
      </c>
      <c r="O1074" s="815">
        <v>0</v>
      </c>
      <c r="P1074" s="772">
        <v>0</v>
      </c>
      <c r="Q1074" s="774"/>
      <c r="R1074" s="774">
        <v>1661</v>
      </c>
      <c r="S1074" s="774"/>
      <c r="T1074" s="774"/>
      <c r="U1074" s="774"/>
      <c r="V1074" s="774"/>
    </row>
    <row r="1075" spans="1:22" hidden="1">
      <c r="A1075" s="786"/>
      <c r="B1075" s="767"/>
      <c r="C1075" s="767"/>
      <c r="D1075" s="767"/>
      <c r="E1075" s="767" t="s">
        <v>1003</v>
      </c>
      <c r="F1075" s="806" t="s">
        <v>1410</v>
      </c>
      <c r="G1075" s="778"/>
      <c r="H1075" s="815">
        <v>5722.0809235068846</v>
      </c>
      <c r="I1075" s="815">
        <v>4665.6762101660925</v>
      </c>
      <c r="J1075" s="815">
        <v>809.83125828054722</v>
      </c>
      <c r="K1075" s="815">
        <v>47.134013294952865</v>
      </c>
      <c r="L1075" s="815">
        <v>12.059051236259862</v>
      </c>
      <c r="M1075" s="815">
        <v>0.18702793598711093</v>
      </c>
      <c r="N1075" s="815">
        <v>79.258679444515479</v>
      </c>
      <c r="O1075" s="815">
        <v>107.934683148529</v>
      </c>
      <c r="P1075" s="772">
        <v>0</v>
      </c>
      <c r="Q1075" s="774"/>
      <c r="R1075" s="774">
        <v>1662</v>
      </c>
      <c r="S1075" s="774"/>
      <c r="T1075" s="774"/>
      <c r="U1075" s="774"/>
      <c r="V1075" s="774"/>
    </row>
    <row r="1076" spans="1:22" hidden="1">
      <c r="A1076" s="786">
        <v>1076</v>
      </c>
      <c r="B1076" s="767"/>
      <c r="C1076" s="767"/>
      <c r="D1076" s="767"/>
      <c r="E1076" s="767" t="s">
        <v>1005</v>
      </c>
      <c r="F1076" s="806" t="s">
        <v>1411</v>
      </c>
      <c r="G1076" s="778"/>
      <c r="H1076" s="815">
        <v>147783.49200923037</v>
      </c>
      <c r="I1076" s="815">
        <v>68823.323542149941</v>
      </c>
      <c r="J1076" s="815">
        <v>21340.322718547599</v>
      </c>
      <c r="K1076" s="815">
        <v>29227.514180128044</v>
      </c>
      <c r="L1076" s="815">
        <v>11671.330722789527</v>
      </c>
      <c r="M1076" s="815">
        <v>9355.1173193208397</v>
      </c>
      <c r="N1076" s="815">
        <v>6676.5494117191038</v>
      </c>
      <c r="O1076" s="815">
        <v>689.33411457529519</v>
      </c>
      <c r="P1076" s="772">
        <v>0</v>
      </c>
      <c r="Q1076" s="774"/>
      <c r="R1076" s="774">
        <v>1663</v>
      </c>
      <c r="S1076" s="774"/>
      <c r="T1076" s="774"/>
      <c r="U1076" s="774"/>
      <c r="V1076" s="774"/>
    </row>
    <row r="1077" spans="1:22" hidden="1">
      <c r="A1077" s="786">
        <v>1077</v>
      </c>
      <c r="B1077" s="767"/>
      <c r="C1077" s="767"/>
      <c r="D1077" s="767"/>
      <c r="E1077" s="767" t="s">
        <v>738</v>
      </c>
      <c r="F1077" s="806" t="s">
        <v>1392</v>
      </c>
      <c r="G1077" s="778"/>
      <c r="H1077" s="815">
        <v>0</v>
      </c>
      <c r="I1077" s="815">
        <v>0</v>
      </c>
      <c r="J1077" s="815">
        <v>0</v>
      </c>
      <c r="K1077" s="815">
        <v>0</v>
      </c>
      <c r="L1077" s="815">
        <v>0</v>
      </c>
      <c r="M1077" s="815">
        <v>0</v>
      </c>
      <c r="N1077" s="815">
        <v>0</v>
      </c>
      <c r="O1077" s="815">
        <v>0</v>
      </c>
      <c r="P1077" s="772">
        <v>0</v>
      </c>
      <c r="Q1077" s="774"/>
      <c r="R1077" s="774">
        <v>1664</v>
      </c>
      <c r="S1077" s="774"/>
      <c r="T1077" s="774"/>
      <c r="U1077" s="774"/>
      <c r="V1077" s="774"/>
    </row>
    <row r="1078" spans="1:22" hidden="1">
      <c r="A1078" s="786">
        <v>1078</v>
      </c>
      <c r="B1078" s="767"/>
      <c r="C1078" s="767"/>
      <c r="D1078" s="767"/>
      <c r="E1078" s="767" t="s">
        <v>788</v>
      </c>
      <c r="F1078" s="806" t="s">
        <v>1426</v>
      </c>
      <c r="G1078" s="778"/>
      <c r="H1078" s="815">
        <v>88351.481707118161</v>
      </c>
      <c r="I1078" s="815">
        <v>38399.226235993767</v>
      </c>
      <c r="J1078" s="815">
        <v>11760.279017123714</v>
      </c>
      <c r="K1078" s="815">
        <v>19299.299302294465</v>
      </c>
      <c r="L1078" s="815">
        <v>7837.4096599740042</v>
      </c>
      <c r="M1078" s="815">
        <v>7569.6225688924314</v>
      </c>
      <c r="N1078" s="815">
        <v>3366.5118528743938</v>
      </c>
      <c r="O1078" s="815">
        <v>119.13306996538321</v>
      </c>
      <c r="P1078" s="772">
        <v>0</v>
      </c>
      <c r="Q1078" s="774"/>
      <c r="R1078" s="774">
        <v>1665</v>
      </c>
      <c r="S1078" s="774"/>
      <c r="T1078" s="774"/>
      <c r="U1078" s="774"/>
      <c r="V1078" s="774"/>
    </row>
    <row r="1079" spans="1:22" hidden="1">
      <c r="A1079" s="786">
        <v>1079</v>
      </c>
      <c r="B1079" s="767"/>
      <c r="C1079" s="767"/>
      <c r="D1079" s="767"/>
      <c r="E1079" s="767" t="s">
        <v>718</v>
      </c>
      <c r="F1079" s="806" t="s">
        <v>1426</v>
      </c>
      <c r="G1079" s="778"/>
      <c r="H1079" s="815">
        <v>44670.006371456548</v>
      </c>
      <c r="I1079" s="815">
        <v>19414.430267360734</v>
      </c>
      <c r="J1079" s="815">
        <v>5945.9301471194112</v>
      </c>
      <c r="K1079" s="815">
        <v>9757.6159011794407</v>
      </c>
      <c r="L1079" s="815">
        <v>3962.5497239232805</v>
      </c>
      <c r="M1079" s="815">
        <v>3827.1580945620281</v>
      </c>
      <c r="N1079" s="815">
        <v>1702.0892350848646</v>
      </c>
      <c r="O1079" s="815">
        <v>60.233002226787768</v>
      </c>
      <c r="P1079" s="772">
        <v>0</v>
      </c>
      <c r="Q1079" s="774"/>
      <c r="R1079" s="774">
        <v>1666</v>
      </c>
      <c r="S1079" s="774"/>
      <c r="T1079" s="774"/>
      <c r="U1079" s="774"/>
      <c r="V1079" s="774"/>
    </row>
    <row r="1080" spans="1:22" hidden="1">
      <c r="A1080" s="786">
        <v>1080</v>
      </c>
      <c r="B1080" s="767"/>
      <c r="C1080" s="767"/>
      <c r="D1080" s="767" t="s">
        <v>1212</v>
      </c>
      <c r="E1080" s="767"/>
      <c r="F1080" s="806"/>
      <c r="G1080" s="778"/>
      <c r="H1080" s="815">
        <v>467490.09101131192</v>
      </c>
      <c r="I1080" s="815">
        <v>225630.11253323115</v>
      </c>
      <c r="J1080" s="815">
        <v>68470.87646298905</v>
      </c>
      <c r="K1080" s="815">
        <v>87896.308779759522</v>
      </c>
      <c r="L1080" s="815">
        <v>34877.725052185393</v>
      </c>
      <c r="M1080" s="815">
        <v>26782.911587911014</v>
      </c>
      <c r="N1080" s="815">
        <v>21301.50466974705</v>
      </c>
      <c r="O1080" s="815">
        <v>2530.6519254887535</v>
      </c>
      <c r="P1080" s="772">
        <v>0</v>
      </c>
      <c r="Q1080" s="774"/>
      <c r="R1080" s="774"/>
      <c r="S1080" s="774"/>
      <c r="T1080" s="774"/>
      <c r="U1080" s="774"/>
      <c r="V1080" s="774"/>
    </row>
    <row r="1081" spans="1:22" hidden="1">
      <c r="A1081" s="786">
        <v>1081</v>
      </c>
      <c r="B1081" s="767"/>
      <c r="C1081" s="767"/>
      <c r="D1081" s="767"/>
      <c r="E1081" s="767"/>
      <c r="F1081" s="806"/>
      <c r="G1081" s="778"/>
      <c r="H1081" s="788"/>
      <c r="I1081" s="788"/>
      <c r="J1081" s="788"/>
      <c r="K1081" s="788"/>
      <c r="L1081" s="788"/>
      <c r="M1081" s="788"/>
      <c r="N1081" s="788"/>
      <c r="O1081" s="788"/>
      <c r="P1081" s="772"/>
      <c r="R1081" s="774"/>
    </row>
    <row r="1082" spans="1:22" hidden="1">
      <c r="A1082" s="786">
        <v>1082</v>
      </c>
      <c r="B1082" s="767"/>
      <c r="C1082" s="767" t="s">
        <v>1213</v>
      </c>
      <c r="D1082" s="767" t="s">
        <v>1214</v>
      </c>
      <c r="E1082" s="767"/>
      <c r="F1082" s="806" t="s">
        <v>1392</v>
      </c>
      <c r="G1082" s="778"/>
      <c r="H1082" s="815">
        <v>68402453.89308764</v>
      </c>
      <c r="I1082" s="815">
        <v>28609307.568438083</v>
      </c>
      <c r="J1082" s="815">
        <v>9141072.0718086269</v>
      </c>
      <c r="K1082" s="815">
        <v>15512562.164437711</v>
      </c>
      <c r="L1082" s="815">
        <v>6323770.8801649474</v>
      </c>
      <c r="M1082" s="815">
        <v>5980564.8988377405</v>
      </c>
      <c r="N1082" s="815">
        <v>2725098.8579510069</v>
      </c>
      <c r="O1082" s="815">
        <v>110077.45144953264</v>
      </c>
      <c r="P1082" s="772">
        <v>0</v>
      </c>
      <c r="Q1082" s="774"/>
      <c r="R1082" s="774">
        <v>1674</v>
      </c>
      <c r="S1082" s="774"/>
      <c r="T1082" s="774"/>
      <c r="U1082" s="774"/>
      <c r="V1082" s="774"/>
    </row>
    <row r="1083" spans="1:22" hidden="1">
      <c r="A1083" s="786">
        <v>1083</v>
      </c>
      <c r="B1083" s="767"/>
      <c r="C1083" s="767" t="s">
        <v>1215</v>
      </c>
      <c r="D1083" s="767" t="s">
        <v>1216</v>
      </c>
      <c r="E1083" s="767"/>
      <c r="F1083" s="806" t="s">
        <v>1392</v>
      </c>
      <c r="G1083" s="778"/>
      <c r="H1083" s="815">
        <v>0</v>
      </c>
      <c r="I1083" s="815">
        <v>0</v>
      </c>
      <c r="J1083" s="815">
        <v>0</v>
      </c>
      <c r="K1083" s="815">
        <v>0</v>
      </c>
      <c r="L1083" s="815">
        <v>0</v>
      </c>
      <c r="M1083" s="815">
        <v>0</v>
      </c>
      <c r="N1083" s="815">
        <v>0</v>
      </c>
      <c r="O1083" s="815">
        <v>0</v>
      </c>
      <c r="P1083" s="772">
        <v>0</v>
      </c>
      <c r="Q1083" s="774"/>
      <c r="R1083" s="774">
        <v>1677</v>
      </c>
      <c r="S1083" s="774"/>
      <c r="T1083" s="774"/>
      <c r="U1083" s="774"/>
      <c r="V1083" s="774"/>
    </row>
    <row r="1084" spans="1:22" hidden="1">
      <c r="A1084" s="786">
        <v>1084</v>
      </c>
      <c r="B1084" s="767"/>
      <c r="C1084" s="767"/>
      <c r="D1084" s="767" t="s">
        <v>1217</v>
      </c>
      <c r="E1084" s="767"/>
      <c r="F1084" s="806" t="s">
        <v>1392</v>
      </c>
      <c r="G1084" s="778"/>
      <c r="H1084" s="815">
        <v>0</v>
      </c>
      <c r="I1084" s="815">
        <v>0</v>
      </c>
      <c r="J1084" s="815">
        <v>0</v>
      </c>
      <c r="K1084" s="815">
        <v>0</v>
      </c>
      <c r="L1084" s="815">
        <v>0</v>
      </c>
      <c r="M1084" s="815">
        <v>0</v>
      </c>
      <c r="N1084" s="815">
        <v>0</v>
      </c>
      <c r="O1084" s="815">
        <v>0</v>
      </c>
      <c r="P1084" s="772">
        <v>0</v>
      </c>
      <c r="Q1084" s="774"/>
      <c r="R1084" s="774">
        <v>1680</v>
      </c>
      <c r="S1084" s="774"/>
      <c r="T1084" s="774"/>
      <c r="U1084" s="774"/>
      <c r="V1084" s="774"/>
    </row>
    <row r="1085" spans="1:22" hidden="1">
      <c r="A1085" s="786">
        <v>1085</v>
      </c>
      <c r="B1085" s="767"/>
      <c r="C1085" s="767"/>
      <c r="D1085" s="767"/>
      <c r="E1085" s="767"/>
      <c r="F1085" s="806"/>
      <c r="G1085" s="778"/>
      <c r="H1085" s="788"/>
      <c r="I1085" s="788"/>
      <c r="J1085" s="788"/>
      <c r="K1085" s="788"/>
      <c r="L1085" s="788"/>
      <c r="M1085" s="788"/>
      <c r="N1085" s="788"/>
      <c r="O1085" s="788"/>
      <c r="P1085" s="772"/>
      <c r="R1085" s="774"/>
    </row>
    <row r="1086" spans="1:22" hidden="1">
      <c r="A1086" s="786">
        <v>1086</v>
      </c>
      <c r="B1086" s="767"/>
      <c r="C1086" s="767" t="s">
        <v>1218</v>
      </c>
      <c r="D1086" s="767" t="s">
        <v>1219</v>
      </c>
      <c r="E1086" s="767"/>
      <c r="F1086" s="806"/>
      <c r="G1086" s="778"/>
      <c r="H1086" s="815"/>
      <c r="I1086" s="815"/>
      <c r="J1086" s="815"/>
      <c r="K1086" s="815"/>
      <c r="L1086" s="815"/>
      <c r="M1086" s="815"/>
      <c r="N1086" s="815"/>
      <c r="O1086" s="815"/>
      <c r="P1086" s="772"/>
      <c r="Q1086" s="774"/>
      <c r="R1086" s="774"/>
      <c r="S1086" s="774"/>
      <c r="T1086" s="774"/>
      <c r="U1086" s="774"/>
      <c r="V1086" s="774"/>
    </row>
    <row r="1087" spans="1:22" hidden="1">
      <c r="A1087" s="786">
        <v>1087</v>
      </c>
      <c r="B1087" s="767"/>
      <c r="C1087" s="767"/>
      <c r="D1087" s="767"/>
      <c r="E1087" s="767" t="s">
        <v>727</v>
      </c>
      <c r="F1087" s="806" t="s">
        <v>1392</v>
      </c>
      <c r="G1087" s="778"/>
      <c r="H1087" s="815">
        <v>0</v>
      </c>
      <c r="I1087" s="815">
        <v>0</v>
      </c>
      <c r="J1087" s="815">
        <v>0</v>
      </c>
      <c r="K1087" s="815">
        <v>0</v>
      </c>
      <c r="L1087" s="815">
        <v>0</v>
      </c>
      <c r="M1087" s="815">
        <v>0</v>
      </c>
      <c r="N1087" s="815">
        <v>0</v>
      </c>
      <c r="O1087" s="815">
        <v>0</v>
      </c>
      <c r="P1087" s="772">
        <v>0</v>
      </c>
      <c r="Q1087" s="774"/>
      <c r="R1087" s="774">
        <v>1685</v>
      </c>
      <c r="S1087" s="774"/>
      <c r="T1087" s="774"/>
      <c r="U1087" s="774"/>
      <c r="V1087" s="774"/>
    </row>
    <row r="1088" spans="1:22" hidden="1">
      <c r="A1088" s="786">
        <v>1088</v>
      </c>
      <c r="B1088" s="767"/>
      <c r="C1088" s="767"/>
      <c r="D1088" s="767"/>
      <c r="E1088" s="767" t="s">
        <v>788</v>
      </c>
      <c r="F1088" s="806" t="s">
        <v>1392</v>
      </c>
      <c r="G1088" s="778"/>
      <c r="H1088" s="815">
        <v>702369.02380910586</v>
      </c>
      <c r="I1088" s="815">
        <v>293765.65145024617</v>
      </c>
      <c r="J1088" s="815">
        <v>93862.215494197575</v>
      </c>
      <c r="K1088" s="815">
        <v>159285.85195560104</v>
      </c>
      <c r="L1088" s="815">
        <v>64933.64677875612</v>
      </c>
      <c r="M1088" s="815">
        <v>61409.544405952263</v>
      </c>
      <c r="N1088" s="815">
        <v>27981.818132343033</v>
      </c>
      <c r="O1088" s="815">
        <v>1130.2955920096822</v>
      </c>
      <c r="P1088" s="772">
        <v>0</v>
      </c>
      <c r="Q1088" s="774"/>
      <c r="R1088" s="774">
        <v>1686</v>
      </c>
      <c r="S1088" s="774"/>
      <c r="T1088" s="774"/>
      <c r="U1088" s="774"/>
      <c r="V1088" s="774"/>
    </row>
    <row r="1089" spans="1:22" hidden="1">
      <c r="A1089" s="786">
        <v>1089</v>
      </c>
      <c r="B1089" s="767"/>
      <c r="C1089" s="767"/>
      <c r="D1089" s="767"/>
      <c r="E1089" s="767" t="s">
        <v>1220</v>
      </c>
      <c r="F1089" s="806" t="s">
        <v>1392</v>
      </c>
      <c r="G1089" s="778"/>
      <c r="H1089" s="815">
        <v>144504.51827184588</v>
      </c>
      <c r="I1089" s="815">
        <v>60438.975109429455</v>
      </c>
      <c r="J1089" s="815">
        <v>19311.093989252557</v>
      </c>
      <c r="K1089" s="815">
        <v>32771.270548828383</v>
      </c>
      <c r="L1089" s="815">
        <v>13359.366699446837</v>
      </c>
      <c r="M1089" s="815">
        <v>12634.322316138301</v>
      </c>
      <c r="N1089" s="815">
        <v>5756.9440173426547</v>
      </c>
      <c r="O1089" s="815">
        <v>232.54559140771784</v>
      </c>
      <c r="P1089" s="772">
        <v>0</v>
      </c>
      <c r="Q1089" s="774"/>
      <c r="R1089" s="774">
        <v>1687</v>
      </c>
      <c r="S1089" s="774"/>
      <c r="T1089" s="774"/>
      <c r="U1089" s="774"/>
      <c r="V1089" s="774"/>
    </row>
    <row r="1090" spans="1:22" hidden="1">
      <c r="A1090" s="786"/>
      <c r="B1090" s="767"/>
      <c r="C1090" s="767"/>
      <c r="D1090" s="767"/>
      <c r="E1090" s="767"/>
      <c r="F1090" s="806"/>
      <c r="G1090" s="778"/>
      <c r="H1090" s="815"/>
      <c r="I1090" s="815"/>
      <c r="J1090" s="815"/>
      <c r="K1090" s="815"/>
      <c r="L1090" s="815"/>
      <c r="M1090" s="815"/>
      <c r="N1090" s="815"/>
      <c r="O1090" s="815"/>
      <c r="P1090" s="772"/>
      <c r="Q1090" s="774"/>
      <c r="R1090" s="774"/>
      <c r="S1090" s="774"/>
      <c r="T1090" s="774"/>
      <c r="U1090" s="774"/>
      <c r="V1090" s="774"/>
    </row>
    <row r="1091" spans="1:22" hidden="1">
      <c r="A1091" s="786">
        <v>1091</v>
      </c>
      <c r="B1091" s="767"/>
      <c r="C1091" s="767"/>
      <c r="D1091" s="767" t="s">
        <v>1217</v>
      </c>
      <c r="E1091" s="767"/>
      <c r="F1091" s="806"/>
      <c r="G1091" s="778"/>
      <c r="H1091" s="815">
        <v>-846873.54208095174</v>
      </c>
      <c r="I1091" s="815">
        <v>-354204.62655967555</v>
      </c>
      <c r="J1091" s="815">
        <v>-113173.30948345014</v>
      </c>
      <c r="K1091" s="815">
        <v>-192057.12250442943</v>
      </c>
      <c r="L1091" s="815">
        <v>-78293.013478202949</v>
      </c>
      <c r="M1091" s="815">
        <v>-74043.866722090563</v>
      </c>
      <c r="N1091" s="815">
        <v>-33738.762149685688</v>
      </c>
      <c r="O1091" s="815">
        <v>-1362.8411834174001</v>
      </c>
      <c r="P1091" s="772"/>
      <c r="Q1091" s="774"/>
      <c r="R1091" s="774"/>
      <c r="S1091" s="774"/>
      <c r="T1091" s="774"/>
      <c r="U1091" s="774"/>
      <c r="V1091" s="774"/>
    </row>
    <row r="1092" spans="1:22" hidden="1">
      <c r="A1092" s="786">
        <v>1092</v>
      </c>
      <c r="B1092" s="767"/>
      <c r="C1092" s="767"/>
      <c r="D1092" s="767"/>
      <c r="E1092" s="767"/>
      <c r="F1092" s="806"/>
      <c r="G1092" s="778"/>
      <c r="H1092" s="788"/>
      <c r="I1092" s="788"/>
      <c r="J1092" s="788"/>
      <c r="K1092" s="788"/>
      <c r="L1092" s="788"/>
      <c r="M1092" s="788"/>
      <c r="N1092" s="788"/>
      <c r="O1092" s="788"/>
      <c r="P1092" s="772"/>
      <c r="R1092" s="774"/>
    </row>
    <row r="1093" spans="1:22" hidden="1">
      <c r="A1093" s="786">
        <v>1093</v>
      </c>
      <c r="B1093" s="767"/>
      <c r="C1093" s="767" t="s">
        <v>1221</v>
      </c>
      <c r="D1093" s="767" t="s">
        <v>1222</v>
      </c>
      <c r="E1093" s="767"/>
      <c r="F1093" s="806" t="s">
        <v>1392</v>
      </c>
      <c r="G1093" s="778"/>
      <c r="H1093" s="815">
        <v>0</v>
      </c>
      <c r="I1093" s="815">
        <v>0</v>
      </c>
      <c r="J1093" s="815">
        <v>0</v>
      </c>
      <c r="K1093" s="815">
        <v>0</v>
      </c>
      <c r="L1093" s="815">
        <v>0</v>
      </c>
      <c r="M1093" s="815">
        <v>0</v>
      </c>
      <c r="N1093" s="815">
        <v>0</v>
      </c>
      <c r="O1093" s="815">
        <v>0</v>
      </c>
      <c r="P1093" s="772">
        <v>0</v>
      </c>
      <c r="Q1093" s="774"/>
      <c r="R1093" s="774">
        <v>1694</v>
      </c>
      <c r="S1093" s="774"/>
      <c r="T1093" s="774"/>
      <c r="U1093" s="774"/>
      <c r="V1093" s="774"/>
    </row>
    <row r="1094" spans="1:22" hidden="1">
      <c r="A1094" s="786">
        <v>1094</v>
      </c>
      <c r="B1094" s="767"/>
      <c r="C1094" s="767"/>
      <c r="D1094" s="767" t="s">
        <v>1217</v>
      </c>
      <c r="E1094" s="767"/>
      <c r="F1094" s="806" t="s">
        <v>1392</v>
      </c>
      <c r="G1094" s="778"/>
      <c r="H1094" s="815">
        <v>0</v>
      </c>
      <c r="I1094" s="815">
        <v>0</v>
      </c>
      <c r="J1094" s="815">
        <v>0</v>
      </c>
      <c r="K1094" s="815">
        <v>0</v>
      </c>
      <c r="L1094" s="815">
        <v>0</v>
      </c>
      <c r="M1094" s="815">
        <v>0</v>
      </c>
      <c r="N1094" s="815">
        <v>0</v>
      </c>
      <c r="O1094" s="815">
        <v>0</v>
      </c>
      <c r="P1094" s="772">
        <v>0</v>
      </c>
      <c r="Q1094" s="774"/>
      <c r="R1094" s="774">
        <v>1697</v>
      </c>
      <c r="S1094" s="774"/>
      <c r="T1094" s="774"/>
      <c r="U1094" s="774"/>
      <c r="V1094" s="774"/>
    </row>
    <row r="1095" spans="1:22" hidden="1">
      <c r="A1095" s="786">
        <v>1095</v>
      </c>
      <c r="B1095" s="767"/>
      <c r="F1095" s="806"/>
      <c r="H1095" s="813"/>
      <c r="I1095" s="813"/>
      <c r="J1095" s="813"/>
      <c r="K1095" s="813"/>
      <c r="L1095" s="813"/>
      <c r="M1095" s="813"/>
      <c r="N1095" s="813"/>
      <c r="O1095" s="813"/>
      <c r="P1095" s="772"/>
      <c r="R1095" s="774"/>
    </row>
    <row r="1096" spans="1:22" hidden="1">
      <c r="A1096" s="786">
        <v>1096</v>
      </c>
      <c r="B1096" s="767"/>
      <c r="C1096" s="767" t="s">
        <v>1223</v>
      </c>
      <c r="D1096" s="767" t="s">
        <v>1224</v>
      </c>
      <c r="E1096" s="767"/>
      <c r="F1096" s="806" t="s">
        <v>1411</v>
      </c>
      <c r="G1096" s="778"/>
      <c r="H1096" s="815">
        <v>2642952.9115882386</v>
      </c>
      <c r="I1096" s="815">
        <v>1230833.0305900711</v>
      </c>
      <c r="J1096" s="815">
        <v>381649.31208754529</v>
      </c>
      <c r="K1096" s="815">
        <v>522703.46742132207</v>
      </c>
      <c r="L1096" s="815">
        <v>208729.52111579012</v>
      </c>
      <c r="M1096" s="815">
        <v>167306.47125190595</v>
      </c>
      <c r="N1096" s="815">
        <v>119403.090745505</v>
      </c>
      <c r="O1096" s="815">
        <v>12328.018376099035</v>
      </c>
      <c r="P1096" s="772">
        <v>0</v>
      </c>
      <c r="Q1096" s="774"/>
      <c r="R1096" s="774">
        <v>1707</v>
      </c>
      <c r="S1096" s="774"/>
      <c r="T1096" s="774"/>
      <c r="U1096" s="774"/>
      <c r="V1096" s="774"/>
    </row>
    <row r="1097" spans="1:22" hidden="1">
      <c r="A1097" s="786">
        <v>1097</v>
      </c>
      <c r="B1097" s="767"/>
      <c r="C1097" s="767" t="s">
        <v>1225</v>
      </c>
      <c r="D1097" s="767" t="s">
        <v>1226</v>
      </c>
      <c r="E1097" s="767"/>
      <c r="F1097" s="806" t="s">
        <v>1411</v>
      </c>
      <c r="G1097" s="778"/>
      <c r="H1097" s="828">
        <v>0</v>
      </c>
      <c r="I1097" s="828">
        <v>0</v>
      </c>
      <c r="J1097" s="828">
        <v>0</v>
      </c>
      <c r="K1097" s="828">
        <v>0</v>
      </c>
      <c r="L1097" s="828">
        <v>0</v>
      </c>
      <c r="M1097" s="828">
        <v>0</v>
      </c>
      <c r="N1097" s="828">
        <v>0</v>
      </c>
      <c r="O1097" s="828">
        <v>0</v>
      </c>
      <c r="P1097" s="772">
        <v>0</v>
      </c>
      <c r="Q1097" s="774"/>
      <c r="R1097" s="774">
        <v>1715</v>
      </c>
      <c r="S1097" s="774"/>
      <c r="T1097" s="774"/>
      <c r="U1097" s="774"/>
      <c r="V1097" s="774"/>
    </row>
    <row r="1098" spans="1:22" hidden="1">
      <c r="A1098" s="786">
        <v>1098</v>
      </c>
      <c r="B1098" s="767"/>
      <c r="C1098" s="767"/>
      <c r="D1098" s="767"/>
      <c r="E1098" s="767"/>
      <c r="F1098" s="806"/>
      <c r="G1098" s="778"/>
      <c r="H1098" s="788"/>
      <c r="I1098" s="788"/>
      <c r="J1098" s="788"/>
      <c r="K1098" s="788"/>
      <c r="L1098" s="788"/>
      <c r="M1098" s="788"/>
      <c r="N1098" s="788"/>
      <c r="O1098" s="788"/>
      <c r="P1098" s="772"/>
      <c r="R1098" s="774"/>
    </row>
    <row r="1099" spans="1:22" hidden="1">
      <c r="A1099" s="786">
        <v>1099</v>
      </c>
      <c r="B1099" s="767"/>
      <c r="C1099" s="767" t="s">
        <v>1227</v>
      </c>
      <c r="D1099" s="767"/>
      <c r="E1099" s="767"/>
      <c r="F1099" s="806"/>
      <c r="G1099" s="778"/>
      <c r="H1099" s="788">
        <v>162794371.75034398</v>
      </c>
      <c r="I1099" s="788">
        <v>74989533.12397486</v>
      </c>
      <c r="J1099" s="788">
        <v>23205375.145435534</v>
      </c>
      <c r="K1099" s="788">
        <v>32737506.056177258</v>
      </c>
      <c r="L1099" s="788">
        <v>13120454.916399127</v>
      </c>
      <c r="M1099" s="788">
        <v>10890576.568889091</v>
      </c>
      <c r="N1099" s="788">
        <v>7163197.4105334217</v>
      </c>
      <c r="O1099" s="788">
        <v>687728.52893467236</v>
      </c>
      <c r="P1099" s="772">
        <v>0</v>
      </c>
      <c r="Q1099" s="774"/>
      <c r="R1099" s="774"/>
      <c r="S1099" s="774"/>
      <c r="T1099" s="774"/>
      <c r="U1099" s="774"/>
      <c r="V1099" s="774"/>
    </row>
    <row r="1100" spans="1:22" hidden="1">
      <c r="A1100" s="786">
        <v>1100</v>
      </c>
      <c r="B1100" s="767"/>
      <c r="C1100" s="767"/>
      <c r="D1100" s="767"/>
      <c r="E1100" s="767"/>
      <c r="F1100" s="806"/>
      <c r="G1100" s="778"/>
      <c r="H1100" s="788"/>
      <c r="I1100" s="788"/>
      <c r="J1100" s="788"/>
      <c r="K1100" s="788"/>
      <c r="L1100" s="788"/>
      <c r="M1100" s="788"/>
      <c r="N1100" s="788"/>
      <c r="O1100" s="788"/>
      <c r="P1100" s="772"/>
      <c r="R1100" s="774"/>
    </row>
    <row r="1101" spans="1:22" hidden="1">
      <c r="A1101" s="786">
        <v>1101</v>
      </c>
      <c r="C1101" s="795"/>
      <c r="D1101" s="795"/>
      <c r="E1101" s="795"/>
      <c r="F1101" s="806"/>
      <c r="H1101" s="788"/>
      <c r="I1101" s="813"/>
      <c r="J1101" s="788"/>
      <c r="K1101" s="788"/>
      <c r="L1101" s="788"/>
      <c r="M1101" s="788"/>
      <c r="N1101" s="788"/>
      <c r="O1101" s="788"/>
      <c r="P1101" s="772"/>
      <c r="R1101" s="774"/>
    </row>
    <row r="1102" spans="1:22" hidden="1">
      <c r="A1102" s="786">
        <v>1102</v>
      </c>
      <c r="B1102" s="767"/>
      <c r="C1102" s="767"/>
      <c r="D1102" s="767"/>
      <c r="E1102" s="767"/>
      <c r="F1102" s="806"/>
      <c r="G1102" s="778"/>
      <c r="H1102" s="818"/>
      <c r="I1102" s="818"/>
      <c r="J1102" s="818"/>
      <c r="K1102" s="818"/>
      <c r="L1102" s="818"/>
      <c r="M1102" s="818"/>
      <c r="N1102" s="818"/>
      <c r="O1102" s="818"/>
      <c r="P1102" s="772"/>
      <c r="R1102" s="774"/>
    </row>
    <row r="1103" spans="1:22" hidden="1">
      <c r="A1103" s="786">
        <v>1103</v>
      </c>
      <c r="B1103" s="767"/>
      <c r="C1103" s="767"/>
      <c r="D1103" s="767"/>
      <c r="E1103" s="767"/>
      <c r="F1103" s="806"/>
      <c r="G1103" s="778"/>
      <c r="H1103" s="817" t="s">
        <v>1228</v>
      </c>
      <c r="I1103" s="819"/>
      <c r="J1103" s="817"/>
      <c r="K1103" s="817"/>
      <c r="L1103" s="817"/>
      <c r="M1103" s="817"/>
      <c r="N1103" s="817"/>
      <c r="O1103" s="817"/>
      <c r="P1103" s="772"/>
      <c r="R1103" s="774"/>
    </row>
    <row r="1104" spans="1:22" hidden="1">
      <c r="A1104" s="786">
        <v>1104</v>
      </c>
      <c r="B1104" s="767"/>
      <c r="F1104" s="806"/>
      <c r="H1104" s="813"/>
      <c r="I1104" s="813"/>
      <c r="J1104" s="813"/>
      <c r="K1104" s="813"/>
      <c r="L1104" s="813"/>
      <c r="M1104" s="813"/>
      <c r="N1104" s="813"/>
      <c r="O1104" s="813"/>
      <c r="P1104" s="772"/>
      <c r="R1104" s="774"/>
    </row>
    <row r="1105" spans="1:22" hidden="1">
      <c r="A1105" s="786">
        <v>1105</v>
      </c>
      <c r="B1105" s="767"/>
      <c r="C1105" s="767" t="s">
        <v>1229</v>
      </c>
      <c r="D1105" s="767" t="s">
        <v>1230</v>
      </c>
      <c r="E1105" s="767"/>
      <c r="F1105" s="806"/>
      <c r="G1105" s="778"/>
      <c r="H1105" s="788"/>
      <c r="I1105" s="788"/>
      <c r="J1105" s="788"/>
      <c r="K1105" s="788"/>
      <c r="L1105" s="788"/>
      <c r="M1105" s="788"/>
      <c r="N1105" s="788"/>
      <c r="O1105" s="788"/>
      <c r="P1105" s="772"/>
      <c r="R1105" s="774"/>
    </row>
    <row r="1106" spans="1:22" hidden="1">
      <c r="A1106" s="786">
        <v>1106</v>
      </c>
      <c r="B1106" s="767"/>
      <c r="C1106" s="767"/>
      <c r="D1106" s="767"/>
      <c r="E1106" s="767" t="s">
        <v>727</v>
      </c>
      <c r="F1106" s="806" t="s">
        <v>1425</v>
      </c>
      <c r="G1106" s="778"/>
      <c r="H1106" s="815">
        <v>0</v>
      </c>
      <c r="I1106" s="815">
        <v>0</v>
      </c>
      <c r="J1106" s="815">
        <v>0</v>
      </c>
      <c r="K1106" s="815">
        <v>0</v>
      </c>
      <c r="L1106" s="815">
        <v>0</v>
      </c>
      <c r="M1106" s="815">
        <v>0</v>
      </c>
      <c r="N1106" s="815">
        <v>0</v>
      </c>
      <c r="O1106" s="815">
        <v>0</v>
      </c>
      <c r="P1106" s="772">
        <v>0</v>
      </c>
      <c r="Q1106" s="774"/>
      <c r="R1106" s="774">
        <v>1720</v>
      </c>
      <c r="S1106" s="774"/>
      <c r="T1106" s="774"/>
      <c r="U1106" s="774"/>
      <c r="V1106" s="774"/>
    </row>
    <row r="1107" spans="1:22" hidden="1">
      <c r="A1107" s="786">
        <v>1107</v>
      </c>
      <c r="B1107" s="767"/>
      <c r="C1107" s="767"/>
      <c r="D1107" s="767"/>
      <c r="E1107" s="767" t="s">
        <v>1005</v>
      </c>
      <c r="F1107" s="806" t="s">
        <v>1411</v>
      </c>
      <c r="G1107" s="778"/>
      <c r="H1107" s="815">
        <v>0</v>
      </c>
      <c r="I1107" s="815">
        <v>0</v>
      </c>
      <c r="J1107" s="815">
        <v>0</v>
      </c>
      <c r="K1107" s="815">
        <v>0</v>
      </c>
      <c r="L1107" s="815">
        <v>0</v>
      </c>
      <c r="M1107" s="815">
        <v>0</v>
      </c>
      <c r="N1107" s="815">
        <v>0</v>
      </c>
      <c r="O1107" s="815">
        <v>0</v>
      </c>
      <c r="P1107" s="772">
        <v>0</v>
      </c>
      <c r="Q1107" s="774"/>
      <c r="R1107" s="774">
        <v>1721</v>
      </c>
      <c r="S1107" s="774"/>
      <c r="T1107" s="774"/>
      <c r="U1107" s="774"/>
      <c r="V1107" s="774"/>
    </row>
    <row r="1108" spans="1:22" hidden="1">
      <c r="A1108" s="786">
        <v>1108</v>
      </c>
      <c r="B1108" s="767"/>
      <c r="C1108" s="767"/>
      <c r="D1108" s="767"/>
      <c r="E1108" s="767" t="s">
        <v>1180</v>
      </c>
      <c r="F1108" s="806" t="s">
        <v>1426</v>
      </c>
      <c r="G1108" s="778"/>
      <c r="H1108" s="815">
        <v>0</v>
      </c>
      <c r="I1108" s="815">
        <v>0</v>
      </c>
      <c r="J1108" s="815">
        <v>0</v>
      </c>
      <c r="K1108" s="815">
        <v>0</v>
      </c>
      <c r="L1108" s="815">
        <v>0</v>
      </c>
      <c r="M1108" s="815">
        <v>0</v>
      </c>
      <c r="N1108" s="815">
        <v>0</v>
      </c>
      <c r="O1108" s="815">
        <v>0</v>
      </c>
      <c r="P1108" s="772">
        <v>0</v>
      </c>
      <c r="Q1108" s="774"/>
      <c r="R1108" s="774">
        <v>1722</v>
      </c>
      <c r="S1108" s="774"/>
      <c r="T1108" s="774"/>
      <c r="U1108" s="774"/>
      <c r="V1108" s="774"/>
    </row>
    <row r="1109" spans="1:22" hidden="1">
      <c r="A1109" s="786">
        <v>1109</v>
      </c>
      <c r="B1109" s="767"/>
      <c r="C1109" s="767"/>
      <c r="D1109" s="767" t="s">
        <v>1231</v>
      </c>
      <c r="E1109" s="767"/>
      <c r="F1109" s="806"/>
      <c r="G1109" s="778"/>
      <c r="H1109" s="815">
        <v>0</v>
      </c>
      <c r="I1109" s="788">
        <v>0</v>
      </c>
      <c r="J1109" s="788">
        <v>0</v>
      </c>
      <c r="K1109" s="788">
        <v>0</v>
      </c>
      <c r="L1109" s="788">
        <v>0</v>
      </c>
      <c r="M1109" s="788">
        <v>0</v>
      </c>
      <c r="N1109" s="788">
        <v>0</v>
      </c>
      <c r="O1109" s="788">
        <v>0</v>
      </c>
      <c r="P1109" s="772">
        <v>0</v>
      </c>
      <c r="Q1109" s="774"/>
      <c r="R1109" s="774"/>
      <c r="S1109" s="774"/>
      <c r="T1109" s="774"/>
      <c r="U1109" s="774"/>
      <c r="V1109" s="774"/>
    </row>
    <row r="1110" spans="1:22" hidden="1">
      <c r="A1110" s="786">
        <v>1110</v>
      </c>
      <c r="B1110" s="767"/>
      <c r="C1110" s="767"/>
      <c r="D1110" s="767"/>
      <c r="E1110" s="767"/>
      <c r="F1110" s="806"/>
      <c r="G1110" s="778"/>
      <c r="H1110" s="788"/>
      <c r="I1110" s="788"/>
      <c r="J1110" s="788"/>
      <c r="K1110" s="788"/>
      <c r="L1110" s="788"/>
      <c r="M1110" s="788"/>
      <c r="N1110" s="788"/>
      <c r="O1110" s="788"/>
      <c r="P1110" s="772"/>
      <c r="R1110" s="774"/>
    </row>
    <row r="1111" spans="1:22" hidden="1">
      <c r="A1111" s="786">
        <v>1111</v>
      </c>
      <c r="B1111" s="767"/>
      <c r="C1111" s="767" t="s">
        <v>1232</v>
      </c>
      <c r="D1111" s="767" t="s">
        <v>1233</v>
      </c>
      <c r="E1111" s="767"/>
      <c r="F1111" s="806"/>
      <c r="H1111" s="813"/>
      <c r="I1111" s="813"/>
      <c r="J1111" s="813"/>
      <c r="K1111" s="813"/>
      <c r="L1111" s="813"/>
      <c r="M1111" s="813"/>
      <c r="N1111" s="813"/>
      <c r="O1111" s="813"/>
      <c r="P1111" s="772"/>
      <c r="R1111" s="774"/>
    </row>
    <row r="1112" spans="1:22" hidden="1">
      <c r="A1112" s="786">
        <v>1112</v>
      </c>
      <c r="B1112" s="767"/>
      <c r="C1112" s="767"/>
      <c r="D1112" s="767"/>
      <c r="E1112" s="767" t="s">
        <v>727</v>
      </c>
      <c r="F1112" s="806" t="s">
        <v>1425</v>
      </c>
      <c r="G1112" s="778"/>
      <c r="H1112" s="815">
        <v>0</v>
      </c>
      <c r="I1112" s="815">
        <v>0</v>
      </c>
      <c r="J1112" s="815">
        <v>0</v>
      </c>
      <c r="K1112" s="815">
        <v>0</v>
      </c>
      <c r="L1112" s="815">
        <v>0</v>
      </c>
      <c r="M1112" s="815">
        <v>0</v>
      </c>
      <c r="N1112" s="815">
        <v>0</v>
      </c>
      <c r="O1112" s="815">
        <v>0</v>
      </c>
      <c r="P1112" s="772">
        <v>0</v>
      </c>
      <c r="Q1112" s="774"/>
      <c r="R1112" s="774">
        <v>1725</v>
      </c>
      <c r="S1112" s="774"/>
      <c r="T1112" s="774"/>
      <c r="U1112" s="774"/>
      <c r="V1112" s="774"/>
    </row>
    <row r="1113" spans="1:22" hidden="1">
      <c r="A1113" s="786">
        <v>1113</v>
      </c>
      <c r="B1113" s="767"/>
      <c r="C1113" s="767"/>
      <c r="D1113" s="767"/>
      <c r="E1113" s="767" t="s">
        <v>1180</v>
      </c>
      <c r="F1113" s="806" t="s">
        <v>1426</v>
      </c>
      <c r="G1113" s="778"/>
      <c r="H1113" s="815">
        <v>39086507.538377464</v>
      </c>
      <c r="I1113" s="815">
        <v>16530168.591437988</v>
      </c>
      <c r="J1113" s="815">
        <v>5217501.7974051256</v>
      </c>
      <c r="K1113" s="815">
        <v>8771262.9323963411</v>
      </c>
      <c r="L1113" s="815">
        <v>3571861.8533632956</v>
      </c>
      <c r="M1113" s="815">
        <v>3397864.2732513077</v>
      </c>
      <c r="N1113" s="815">
        <v>1537851.9987495027</v>
      </c>
      <c r="O1113" s="815">
        <v>59996.091773904249</v>
      </c>
      <c r="P1113" s="772">
        <v>0</v>
      </c>
      <c r="Q1113" s="774"/>
      <c r="R1113" s="774">
        <v>1726</v>
      </c>
      <c r="S1113" s="774"/>
      <c r="T1113" s="774"/>
      <c r="U1113" s="774"/>
      <c r="V1113" s="774"/>
    </row>
    <row r="1114" spans="1:22" hidden="1">
      <c r="A1114" s="786">
        <v>1114</v>
      </c>
      <c r="B1114" s="767"/>
      <c r="C1114" s="767"/>
      <c r="D1114" s="767"/>
      <c r="E1114" s="767" t="s">
        <v>835</v>
      </c>
      <c r="F1114" s="806" t="s">
        <v>1426</v>
      </c>
      <c r="G1114" s="778"/>
      <c r="H1114" s="815">
        <v>0</v>
      </c>
      <c r="I1114" s="815">
        <v>0</v>
      </c>
      <c r="J1114" s="815">
        <v>0</v>
      </c>
      <c r="K1114" s="815">
        <v>0</v>
      </c>
      <c r="L1114" s="815">
        <v>0</v>
      </c>
      <c r="M1114" s="815">
        <v>0</v>
      </c>
      <c r="N1114" s="815">
        <v>0</v>
      </c>
      <c r="O1114" s="815">
        <v>0</v>
      </c>
      <c r="P1114" s="772">
        <v>0</v>
      </c>
      <c r="Q1114" s="774"/>
      <c r="R1114" s="774">
        <v>1727</v>
      </c>
      <c r="S1114" s="774"/>
      <c r="T1114" s="774"/>
      <c r="U1114" s="774"/>
      <c r="V1114" s="774"/>
    </row>
    <row r="1115" spans="1:22" hidden="1">
      <c r="A1115" s="786">
        <v>1115</v>
      </c>
      <c r="B1115" s="767"/>
      <c r="C1115" s="767"/>
      <c r="D1115" s="767"/>
      <c r="E1115" s="767" t="s">
        <v>1002</v>
      </c>
      <c r="F1115" s="806" t="s">
        <v>1426</v>
      </c>
      <c r="G1115" s="778"/>
      <c r="H1115" s="815">
        <v>0</v>
      </c>
      <c r="I1115" s="815">
        <v>0</v>
      </c>
      <c r="J1115" s="815">
        <v>0</v>
      </c>
      <c r="K1115" s="815">
        <v>0</v>
      </c>
      <c r="L1115" s="815">
        <v>0</v>
      </c>
      <c r="M1115" s="815">
        <v>0</v>
      </c>
      <c r="N1115" s="815">
        <v>0</v>
      </c>
      <c r="O1115" s="815">
        <v>0</v>
      </c>
      <c r="P1115" s="772">
        <v>0</v>
      </c>
      <c r="Q1115" s="774"/>
      <c r="R1115" s="774">
        <v>1728</v>
      </c>
      <c r="S1115" s="774"/>
      <c r="T1115" s="774"/>
      <c r="U1115" s="774"/>
      <c r="V1115" s="774"/>
    </row>
    <row r="1116" spans="1:22" hidden="1">
      <c r="A1116" s="786">
        <v>1116</v>
      </c>
      <c r="B1116" s="767"/>
      <c r="C1116" s="767"/>
      <c r="D1116" s="767" t="s">
        <v>1234</v>
      </c>
      <c r="E1116" s="767"/>
      <c r="F1116" s="806"/>
      <c r="G1116" s="778"/>
      <c r="H1116" s="815">
        <v>39086507.538377471</v>
      </c>
      <c r="I1116" s="815">
        <v>16530168.591437988</v>
      </c>
      <c r="J1116" s="815">
        <v>5217501.7974051256</v>
      </c>
      <c r="K1116" s="815">
        <v>8771262.9323963411</v>
      </c>
      <c r="L1116" s="815">
        <v>3571861.8533632956</v>
      </c>
      <c r="M1116" s="815">
        <v>3397864.2732513077</v>
      </c>
      <c r="N1116" s="815">
        <v>1537851.9987495027</v>
      </c>
      <c r="O1116" s="815">
        <v>59996.091773904249</v>
      </c>
      <c r="P1116" s="772">
        <v>0</v>
      </c>
      <c r="Q1116" s="774"/>
      <c r="R1116" s="774"/>
      <c r="S1116" s="774"/>
      <c r="T1116" s="774"/>
      <c r="U1116" s="774"/>
      <c r="V1116" s="774"/>
    </row>
    <row r="1117" spans="1:22" hidden="1">
      <c r="A1117" s="786">
        <v>1117</v>
      </c>
      <c r="B1117" s="767"/>
      <c r="C1117" s="767"/>
      <c r="D1117" s="767"/>
      <c r="E1117" s="767"/>
      <c r="F1117" s="806"/>
      <c r="G1117" s="778"/>
      <c r="H1117" s="788"/>
      <c r="I1117" s="788"/>
      <c r="J1117" s="788"/>
      <c r="K1117" s="788"/>
      <c r="L1117" s="788"/>
      <c r="M1117" s="788"/>
      <c r="N1117" s="788"/>
      <c r="O1117" s="788"/>
      <c r="P1117" s="772"/>
      <c r="R1117" s="774"/>
    </row>
    <row r="1118" spans="1:22" hidden="1">
      <c r="A1118" s="786">
        <v>1118</v>
      </c>
      <c r="B1118" s="767"/>
      <c r="C1118" s="767" t="s">
        <v>1235</v>
      </c>
      <c r="D1118" s="767" t="s">
        <v>1236</v>
      </c>
      <c r="E1118" s="767"/>
      <c r="F1118" s="806"/>
      <c r="G1118" s="778"/>
      <c r="H1118" s="788"/>
      <c r="I1118" s="788"/>
      <c r="J1118" s="788"/>
      <c r="K1118" s="788"/>
      <c r="L1118" s="788"/>
      <c r="M1118" s="788"/>
      <c r="N1118" s="788"/>
      <c r="O1118" s="788"/>
      <c r="P1118" s="772"/>
      <c r="R1118" s="774"/>
    </row>
    <row r="1119" spans="1:22" hidden="1">
      <c r="A1119" s="786">
        <v>1119</v>
      </c>
      <c r="B1119" s="767"/>
      <c r="C1119" s="767"/>
      <c r="D1119" s="767"/>
      <c r="E1119" s="767" t="s">
        <v>727</v>
      </c>
      <c r="F1119" s="806" t="s">
        <v>1425</v>
      </c>
      <c r="G1119" s="778"/>
      <c r="H1119" s="815">
        <v>2036363.0800000008</v>
      </c>
      <c r="I1119" s="815">
        <v>532222.79702712304</v>
      </c>
      <c r="J1119" s="815">
        <v>210479.58275774034</v>
      </c>
      <c r="K1119" s="815">
        <v>652891.65405638819</v>
      </c>
      <c r="L1119" s="815">
        <v>276660.9620782868</v>
      </c>
      <c r="M1119" s="815">
        <v>323729.19025209546</v>
      </c>
      <c r="N1119" s="815">
        <v>54315.158114083722</v>
      </c>
      <c r="O1119" s="815">
        <v>-13936.264285715388</v>
      </c>
      <c r="P1119" s="772">
        <v>0</v>
      </c>
      <c r="Q1119" s="774"/>
      <c r="R1119" s="774">
        <v>1732</v>
      </c>
      <c r="S1119" s="774"/>
      <c r="T1119" s="774"/>
      <c r="U1119" s="774"/>
      <c r="V1119" s="774"/>
    </row>
    <row r="1120" spans="1:22" hidden="1">
      <c r="A1120" s="786">
        <v>1120</v>
      </c>
      <c r="B1120" s="767"/>
      <c r="C1120" s="767"/>
      <c r="D1120" s="767"/>
      <c r="E1120" s="767" t="s">
        <v>1017</v>
      </c>
      <c r="F1120" s="806" t="s">
        <v>1426</v>
      </c>
      <c r="G1120" s="778"/>
      <c r="H1120" s="815">
        <v>-6094007.685634451</v>
      </c>
      <c r="I1120" s="815">
        <v>-2577231.3973600408</v>
      </c>
      <c r="J1120" s="815">
        <v>-813464.74923551769</v>
      </c>
      <c r="K1120" s="815">
        <v>-1367534.4022553402</v>
      </c>
      <c r="L1120" s="815">
        <v>-556891.75005079038</v>
      </c>
      <c r="M1120" s="815">
        <v>-529763.65247279266</v>
      </c>
      <c r="N1120" s="815">
        <v>-239767.69708949042</v>
      </c>
      <c r="O1120" s="815">
        <v>-9354.0371704793033</v>
      </c>
      <c r="P1120" s="772">
        <v>0</v>
      </c>
      <c r="Q1120" s="774"/>
      <c r="R1120" s="774">
        <v>1733</v>
      </c>
      <c r="S1120" s="774"/>
      <c r="T1120" s="774"/>
      <c r="U1120" s="774"/>
      <c r="V1120" s="774"/>
    </row>
    <row r="1121" spans="1:22" hidden="1">
      <c r="A1121" s="786">
        <v>1121</v>
      </c>
      <c r="B1121" s="767"/>
      <c r="C1121" s="767"/>
      <c r="D1121" s="767"/>
      <c r="E1121" s="767" t="s">
        <v>1005</v>
      </c>
      <c r="F1121" s="806" t="s">
        <v>1411</v>
      </c>
      <c r="G1121" s="778"/>
      <c r="H1121" s="815">
        <v>27021117.77028767</v>
      </c>
      <c r="I1121" s="815">
        <v>12583835.349207286</v>
      </c>
      <c r="J1121" s="815">
        <v>3901920.0696502961</v>
      </c>
      <c r="K1121" s="815">
        <v>5344034.6554043088</v>
      </c>
      <c r="L1121" s="815">
        <v>2134016.4433032535</v>
      </c>
      <c r="M1121" s="815">
        <v>1710513.9647426768</v>
      </c>
      <c r="N1121" s="815">
        <v>1220757.6468820937</v>
      </c>
      <c r="O1121" s="815">
        <v>126039.64109775287</v>
      </c>
      <c r="P1121" s="772">
        <v>0</v>
      </c>
      <c r="Q1121" s="774"/>
      <c r="R1121" s="774">
        <v>1734</v>
      </c>
      <c r="S1121" s="774"/>
      <c r="T1121" s="774"/>
      <c r="U1121" s="774"/>
      <c r="V1121" s="774"/>
    </row>
    <row r="1122" spans="1:22" hidden="1">
      <c r="A1122" s="786">
        <v>1122</v>
      </c>
      <c r="B1122" s="767"/>
      <c r="C1122" s="767"/>
      <c r="D1122" s="767"/>
      <c r="E1122" s="767" t="s">
        <v>738</v>
      </c>
      <c r="F1122" s="806" t="s">
        <v>1426</v>
      </c>
      <c r="G1122" s="778"/>
      <c r="H1122" s="815">
        <v>9114341.4722751249</v>
      </c>
      <c r="I1122" s="815">
        <v>3854567.9986556591</v>
      </c>
      <c r="J1122" s="815">
        <v>1216637.0445624515</v>
      </c>
      <c r="K1122" s="815">
        <v>2045316.6717562429</v>
      </c>
      <c r="L1122" s="815">
        <v>832900.42200321855</v>
      </c>
      <c r="M1122" s="815">
        <v>792327.00011503638</v>
      </c>
      <c r="N1122" s="815">
        <v>358602.21680490492</v>
      </c>
      <c r="O1122" s="815">
        <v>13990.118377611883</v>
      </c>
      <c r="P1122" s="772">
        <v>0</v>
      </c>
      <c r="Q1122" s="774"/>
      <c r="R1122" s="774">
        <v>1735</v>
      </c>
      <c r="S1122" s="774"/>
      <c r="T1122" s="774"/>
      <c r="U1122" s="774"/>
      <c r="V1122" s="774"/>
    </row>
    <row r="1123" spans="1:22" hidden="1">
      <c r="A1123" s="786">
        <v>1123</v>
      </c>
      <c r="B1123" s="767"/>
      <c r="C1123" s="767"/>
      <c r="D1123" s="767"/>
      <c r="E1123" s="767" t="s">
        <v>1003</v>
      </c>
      <c r="F1123" s="806" t="s">
        <v>1410</v>
      </c>
      <c r="G1123" s="778"/>
      <c r="H1123" s="815">
        <v>12172420.765036955</v>
      </c>
      <c r="I1123" s="815">
        <v>9925160.923582023</v>
      </c>
      <c r="J1123" s="815">
        <v>1722731.1106304172</v>
      </c>
      <c r="K1123" s="815">
        <v>100266.85218904383</v>
      </c>
      <c r="L1123" s="815">
        <v>25652.878321219621</v>
      </c>
      <c r="M1123" s="815">
        <v>397.859233744682</v>
      </c>
      <c r="N1123" s="815">
        <v>168604.74508783259</v>
      </c>
      <c r="O1123" s="815">
        <v>229606.39599267248</v>
      </c>
      <c r="P1123" s="772">
        <v>0</v>
      </c>
      <c r="Q1123" s="774"/>
      <c r="R1123" s="774">
        <v>1736</v>
      </c>
      <c r="S1123" s="774"/>
      <c r="T1123" s="774"/>
      <c r="U1123" s="774"/>
      <c r="V1123" s="774"/>
    </row>
    <row r="1124" spans="1:22" hidden="1">
      <c r="A1124" s="786">
        <v>1124</v>
      </c>
      <c r="B1124" s="767"/>
      <c r="C1124" s="767"/>
      <c r="D1124" s="767"/>
      <c r="E1124" s="767" t="s">
        <v>1002</v>
      </c>
      <c r="F1124" s="806" t="s">
        <v>1392</v>
      </c>
      <c r="G1124" s="778"/>
      <c r="H1124" s="815">
        <v>0</v>
      </c>
      <c r="I1124" s="815">
        <v>0</v>
      </c>
      <c r="J1124" s="815">
        <v>0</v>
      </c>
      <c r="K1124" s="815">
        <v>0</v>
      </c>
      <c r="L1124" s="815">
        <v>0</v>
      </c>
      <c r="M1124" s="815">
        <v>0</v>
      </c>
      <c r="N1124" s="815">
        <v>0</v>
      </c>
      <c r="O1124" s="815">
        <v>0</v>
      </c>
      <c r="P1124" s="772">
        <v>0</v>
      </c>
      <c r="Q1124" s="774"/>
      <c r="R1124" s="774">
        <v>1737</v>
      </c>
      <c r="S1124" s="774"/>
      <c r="T1124" s="774"/>
      <c r="U1124" s="774"/>
      <c r="V1124" s="774"/>
    </row>
    <row r="1125" spans="1:22" hidden="1">
      <c r="A1125" s="786">
        <v>1125</v>
      </c>
      <c r="B1125" s="767"/>
      <c r="C1125" s="767"/>
      <c r="D1125" s="767"/>
      <c r="E1125" s="767" t="s">
        <v>835</v>
      </c>
      <c r="F1125" s="806" t="s">
        <v>1426</v>
      </c>
      <c r="G1125" s="778"/>
      <c r="H1125" s="815">
        <v>0</v>
      </c>
      <c r="I1125" s="815">
        <v>0</v>
      </c>
      <c r="J1125" s="815">
        <v>0</v>
      </c>
      <c r="K1125" s="815">
        <v>0</v>
      </c>
      <c r="L1125" s="815">
        <v>0</v>
      </c>
      <c r="M1125" s="815">
        <v>0</v>
      </c>
      <c r="N1125" s="815">
        <v>0</v>
      </c>
      <c r="O1125" s="815">
        <v>0</v>
      </c>
      <c r="P1125" s="772">
        <v>0</v>
      </c>
      <c r="Q1125" s="774"/>
      <c r="R1125" s="774">
        <v>1738</v>
      </c>
      <c r="S1125" s="774"/>
      <c r="T1125" s="774"/>
      <c r="U1125" s="774"/>
      <c r="V1125" s="774"/>
    </row>
    <row r="1126" spans="1:22" hidden="1">
      <c r="A1126" s="786">
        <v>1126</v>
      </c>
      <c r="B1126" s="767"/>
      <c r="C1126" s="767"/>
      <c r="D1126" s="767"/>
      <c r="E1126" s="767" t="s">
        <v>718</v>
      </c>
      <c r="F1126" s="806" t="s">
        <v>1426</v>
      </c>
      <c r="G1126" s="778"/>
      <c r="H1126" s="815">
        <v>459990.05873705889</v>
      </c>
      <c r="I1126" s="815">
        <v>194535.4983134082</v>
      </c>
      <c r="J1126" s="815">
        <v>61402.235947855719</v>
      </c>
      <c r="K1126" s="815">
        <v>103224.71884984038</v>
      </c>
      <c r="L1126" s="815">
        <v>42035.50143527217</v>
      </c>
      <c r="M1126" s="815">
        <v>39987.808711197649</v>
      </c>
      <c r="N1126" s="815">
        <v>18098.230713990575</v>
      </c>
      <c r="O1126" s="815">
        <v>706.06476549421086</v>
      </c>
      <c r="P1126" s="772">
        <v>0</v>
      </c>
      <c r="Q1126" s="774"/>
      <c r="R1126" s="774">
        <v>1739</v>
      </c>
      <c r="S1126" s="774"/>
      <c r="T1126" s="774"/>
      <c r="U1126" s="774"/>
      <c r="V1126" s="774"/>
    </row>
    <row r="1127" spans="1:22" hidden="1">
      <c r="A1127" s="786">
        <v>1127</v>
      </c>
      <c r="B1127" s="767"/>
      <c r="C1127" s="767"/>
      <c r="D1127" s="767" t="s">
        <v>1237</v>
      </c>
      <c r="E1127" s="767"/>
      <c r="F1127" s="806"/>
      <c r="G1127" s="778"/>
      <c r="H1127" s="815">
        <v>44710225.460702352</v>
      </c>
      <c r="I1127" s="815">
        <v>24513091.169425458</v>
      </c>
      <c r="J1127" s="815">
        <v>6299705.2943132436</v>
      </c>
      <c r="K1127" s="815">
        <v>6878200.1500004828</v>
      </c>
      <c r="L1127" s="815">
        <v>2754374.4570904607</v>
      </c>
      <c r="M1127" s="815">
        <v>2337192.1705819587</v>
      </c>
      <c r="N1127" s="815">
        <v>1580610.3005134151</v>
      </c>
      <c r="O1127" s="815">
        <v>347051.91877733672</v>
      </c>
      <c r="P1127" s="772">
        <v>0</v>
      </c>
      <c r="Q1127" s="774"/>
      <c r="R1127" s="774"/>
      <c r="S1127" s="774"/>
      <c r="T1127" s="774"/>
      <c r="U1127" s="774"/>
      <c r="V1127" s="774"/>
    </row>
    <row r="1128" spans="1:22" hidden="1">
      <c r="A1128" s="786">
        <v>1128</v>
      </c>
      <c r="B1128" s="767"/>
      <c r="C1128" s="767"/>
      <c r="D1128" s="767"/>
      <c r="E1128" s="767"/>
      <c r="F1128" s="806"/>
      <c r="G1128" s="778"/>
      <c r="H1128" s="788"/>
      <c r="I1128" s="788"/>
      <c r="J1128" s="788"/>
      <c r="K1128" s="788"/>
      <c r="L1128" s="788"/>
      <c r="M1128" s="788"/>
      <c r="N1128" s="788"/>
      <c r="O1128" s="788"/>
      <c r="P1128" s="772"/>
      <c r="R1128" s="774"/>
    </row>
    <row r="1129" spans="1:22" hidden="1">
      <c r="A1129" s="786">
        <v>1129</v>
      </c>
      <c r="B1129" s="767"/>
      <c r="C1129" s="767" t="s">
        <v>1238</v>
      </c>
      <c r="D1129" s="767" t="s">
        <v>1239</v>
      </c>
      <c r="E1129" s="767"/>
      <c r="F1129" s="806" t="s">
        <v>1411</v>
      </c>
      <c r="G1129" s="778"/>
      <c r="H1129" s="828">
        <v>0</v>
      </c>
      <c r="I1129" s="828">
        <v>0</v>
      </c>
      <c r="J1129" s="828">
        <v>0</v>
      </c>
      <c r="K1129" s="828">
        <v>0</v>
      </c>
      <c r="L1129" s="828">
        <v>0</v>
      </c>
      <c r="M1129" s="828">
        <v>0</v>
      </c>
      <c r="N1129" s="828">
        <v>0</v>
      </c>
      <c r="O1129" s="828">
        <v>0</v>
      </c>
      <c r="P1129" s="772">
        <v>0</v>
      </c>
      <c r="Q1129" s="774"/>
      <c r="R1129" s="774">
        <v>1750</v>
      </c>
      <c r="S1129" s="774"/>
      <c r="T1129" s="774"/>
      <c r="U1129" s="774"/>
      <c r="V1129" s="774"/>
    </row>
    <row r="1130" spans="1:22" hidden="1">
      <c r="A1130" s="786">
        <v>1130</v>
      </c>
      <c r="B1130" s="767"/>
      <c r="C1130" s="767"/>
      <c r="D1130" s="767"/>
      <c r="E1130" s="767"/>
      <c r="F1130" s="806"/>
      <c r="G1130" s="778"/>
      <c r="H1130" s="788"/>
      <c r="I1130" s="788"/>
      <c r="J1130" s="788"/>
      <c r="K1130" s="788"/>
      <c r="L1130" s="788"/>
      <c r="M1130" s="788"/>
      <c r="N1130" s="788"/>
      <c r="O1130" s="788"/>
      <c r="P1130" s="772"/>
      <c r="R1130" s="774"/>
    </row>
    <row r="1131" spans="1:22" hidden="1">
      <c r="A1131" s="786">
        <v>1131</v>
      </c>
      <c r="B1131" s="767"/>
      <c r="C1131" s="767" t="s">
        <v>1240</v>
      </c>
      <c r="D1131" s="767"/>
      <c r="E1131" s="767"/>
      <c r="F1131" s="806"/>
      <c r="G1131" s="778"/>
      <c r="H1131" s="815">
        <v>83796732.999079823</v>
      </c>
      <c r="I1131" s="815">
        <v>41043259.760863446</v>
      </c>
      <c r="J1131" s="815">
        <v>11517207.09171837</v>
      </c>
      <c r="K1131" s="815">
        <v>15649463.082396824</v>
      </c>
      <c r="L1131" s="815">
        <v>6326236.3104537548</v>
      </c>
      <c r="M1131" s="815">
        <v>5735056.4438332664</v>
      </c>
      <c r="N1131" s="815">
        <v>3118462.2992629176</v>
      </c>
      <c r="O1131" s="815">
        <v>407048.01055124099</v>
      </c>
      <c r="P1131" s="772">
        <v>0</v>
      </c>
      <c r="Q1131" s="774"/>
      <c r="R1131" s="774"/>
      <c r="S1131" s="774"/>
      <c r="T1131" s="774"/>
      <c r="U1131" s="774"/>
      <c r="V1131" s="774"/>
    </row>
    <row r="1132" spans="1:22" hidden="1">
      <c r="A1132" s="786">
        <v>1132</v>
      </c>
      <c r="B1132" s="767"/>
      <c r="C1132" s="767"/>
      <c r="D1132" s="767"/>
      <c r="E1132" s="767"/>
      <c r="F1132" s="806"/>
      <c r="G1132" s="778"/>
      <c r="H1132" s="788"/>
      <c r="I1132" s="788"/>
      <c r="J1132" s="788"/>
      <c r="K1132" s="788"/>
      <c r="L1132" s="788"/>
      <c r="M1132" s="788"/>
      <c r="N1132" s="788"/>
      <c r="O1132" s="788"/>
      <c r="P1132" s="772"/>
      <c r="R1132" s="774"/>
    </row>
    <row r="1133" spans="1:22" hidden="1">
      <c r="A1133" s="786">
        <v>1133</v>
      </c>
      <c r="B1133" s="767"/>
      <c r="D1133" s="767"/>
      <c r="E1133" s="767"/>
      <c r="F1133" s="806"/>
      <c r="G1133" s="778"/>
      <c r="H1133" s="788"/>
      <c r="I1133" s="788"/>
      <c r="J1133" s="788"/>
      <c r="K1133" s="788"/>
      <c r="L1133" s="788"/>
      <c r="M1133" s="788"/>
      <c r="N1133" s="788"/>
      <c r="O1133" s="788"/>
      <c r="P1133" s="772"/>
      <c r="R1133" s="774"/>
    </row>
    <row r="1134" spans="1:22" ht="13.5" hidden="1" thickBot="1">
      <c r="A1134" s="786">
        <v>1134</v>
      </c>
      <c r="B1134" s="767"/>
      <c r="C1134" s="767" t="s">
        <v>1241</v>
      </c>
      <c r="D1134" s="767"/>
      <c r="E1134" s="767"/>
      <c r="F1134" s="806"/>
      <c r="G1134" s="778"/>
      <c r="H1134" s="814">
        <v>2182560253.96099</v>
      </c>
      <c r="I1134" s="814">
        <v>1017357406.1314496</v>
      </c>
      <c r="J1134" s="814">
        <v>312575306.70041984</v>
      </c>
      <c r="K1134" s="814">
        <v>432074335.87809575</v>
      </c>
      <c r="L1134" s="814">
        <v>172767738.06052732</v>
      </c>
      <c r="M1134" s="814">
        <v>141860864.53772703</v>
      </c>
      <c r="N1134" s="814">
        <v>96326750.190390944</v>
      </c>
      <c r="O1134" s="814">
        <v>9597852.4623791091</v>
      </c>
      <c r="P1134" s="772">
        <v>0</v>
      </c>
      <c r="Q1134" s="774"/>
      <c r="R1134" s="774"/>
      <c r="S1134" s="774"/>
      <c r="T1134" s="774"/>
      <c r="U1134" s="774"/>
      <c r="V1134" s="774"/>
    </row>
    <row r="1135" spans="1:22" ht="13.5" hidden="1" thickTop="1">
      <c r="A1135" s="786">
        <v>1135</v>
      </c>
      <c r="B1135" s="767"/>
      <c r="F1135" s="806"/>
      <c r="G1135" s="778"/>
      <c r="H1135" s="788"/>
      <c r="I1135" s="788"/>
      <c r="J1135" s="788"/>
      <c r="K1135" s="788"/>
      <c r="L1135" s="788"/>
      <c r="M1135" s="788"/>
      <c r="N1135" s="788"/>
      <c r="O1135" s="788"/>
      <c r="P1135" s="772"/>
      <c r="R1135" s="774"/>
    </row>
    <row r="1136" spans="1:22" hidden="1">
      <c r="A1136" s="786">
        <v>1136</v>
      </c>
      <c r="B1136" s="767"/>
      <c r="C1136" s="767"/>
      <c r="D1136" s="767"/>
      <c r="E1136" s="767"/>
      <c r="F1136" s="806"/>
      <c r="H1136" s="817"/>
      <c r="I1136" s="817"/>
      <c r="J1136" s="817"/>
      <c r="K1136" s="817"/>
      <c r="L1136" s="819"/>
      <c r="M1136" s="817"/>
      <c r="N1136" s="817"/>
      <c r="O1136" s="817"/>
      <c r="P1136" s="772"/>
      <c r="R1136" s="774"/>
    </row>
    <row r="1137" spans="1:22" hidden="1">
      <c r="A1137" s="786">
        <v>1137</v>
      </c>
      <c r="B1137" s="767"/>
      <c r="C1137" s="781" t="s">
        <v>714</v>
      </c>
      <c r="D1137" s="767"/>
      <c r="E1137" s="767"/>
      <c r="F1137" s="806"/>
      <c r="G1137" s="778"/>
      <c r="H1137" s="817" t="s">
        <v>1242</v>
      </c>
      <c r="I1137" s="817"/>
      <c r="J1137" s="817"/>
      <c r="K1137" s="817"/>
      <c r="L1137" s="817"/>
      <c r="M1137" s="817"/>
      <c r="N1137" s="817"/>
      <c r="O1137" s="817"/>
      <c r="P1137" s="772"/>
      <c r="R1137" s="774"/>
    </row>
    <row r="1138" spans="1:22" hidden="1">
      <c r="A1138" s="786">
        <v>1138</v>
      </c>
      <c r="B1138" s="767"/>
      <c r="C1138" s="767"/>
      <c r="D1138" s="767"/>
      <c r="E1138" s="767"/>
      <c r="F1138" s="806"/>
      <c r="G1138" s="778"/>
      <c r="H1138" s="810"/>
      <c r="I1138" s="810"/>
      <c r="J1138" s="810"/>
      <c r="K1138" s="810"/>
      <c r="L1138" s="810"/>
      <c r="M1138" s="810"/>
      <c r="N1138" s="810"/>
      <c r="O1138" s="810"/>
      <c r="P1138" s="772"/>
      <c r="R1138" s="774"/>
    </row>
    <row r="1139" spans="1:22" hidden="1">
      <c r="A1139" s="786">
        <v>1139</v>
      </c>
      <c r="B1139" s="767"/>
      <c r="C1139" s="777" t="s">
        <v>575</v>
      </c>
      <c r="D1139" s="767"/>
      <c r="E1139" s="777" t="s">
        <v>576</v>
      </c>
      <c r="F1139" s="806" t="s">
        <v>577</v>
      </c>
      <c r="G1139" s="778"/>
      <c r="H1139" s="777" t="s">
        <v>578</v>
      </c>
      <c r="I1139" s="777" t="s">
        <v>579</v>
      </c>
      <c r="J1139" s="777" t="s">
        <v>580</v>
      </c>
      <c r="K1139" s="777" t="s">
        <v>581</v>
      </c>
      <c r="L1139" s="777" t="s">
        <v>582</v>
      </c>
      <c r="M1139" s="777" t="s">
        <v>583</v>
      </c>
      <c r="N1139" s="777" t="s">
        <v>584</v>
      </c>
      <c r="O1139" s="777" t="s">
        <v>585</v>
      </c>
      <c r="P1139" s="772"/>
      <c r="R1139" s="774"/>
    </row>
    <row r="1140" spans="1:22" ht="38.25" hidden="1">
      <c r="A1140" s="786">
        <v>1140</v>
      </c>
      <c r="B1140" s="767"/>
      <c r="C1140" s="797" t="s">
        <v>656</v>
      </c>
      <c r="D1140" s="781"/>
      <c r="E1140" s="782" t="s">
        <v>587</v>
      </c>
      <c r="F1140" s="806" t="s">
        <v>1391</v>
      </c>
      <c r="G1140" s="783"/>
      <c r="H1140" s="829" t="s">
        <v>588</v>
      </c>
      <c r="I1140" s="829" t="s">
        <v>589</v>
      </c>
      <c r="J1140" s="829" t="s">
        <v>590</v>
      </c>
      <c r="K1140" s="829" t="s">
        <v>591</v>
      </c>
      <c r="L1140" s="829" t="s">
        <v>592</v>
      </c>
      <c r="M1140" s="829" t="s">
        <v>593</v>
      </c>
      <c r="N1140" s="829" t="s">
        <v>594</v>
      </c>
      <c r="O1140" s="829" t="s">
        <v>595</v>
      </c>
      <c r="P1140" s="772"/>
      <c r="R1140" s="774"/>
    </row>
    <row r="1141" spans="1:22" hidden="1">
      <c r="A1141" s="786">
        <v>1141</v>
      </c>
      <c r="B1141" s="767"/>
      <c r="C1141" s="767" t="s">
        <v>1243</v>
      </c>
      <c r="D1141" s="767" t="s">
        <v>1244</v>
      </c>
      <c r="E1141" s="767"/>
      <c r="F1141" s="806"/>
      <c r="G1141" s="778"/>
      <c r="H1141" s="788"/>
      <c r="I1141" s="788"/>
      <c r="J1141" s="788"/>
      <c r="K1141" s="788"/>
      <c r="L1141" s="788"/>
      <c r="M1141" s="788"/>
      <c r="N1141" s="788"/>
      <c r="O1141" s="788"/>
      <c r="P1141" s="772"/>
      <c r="R1141" s="774"/>
    </row>
    <row r="1142" spans="1:22" hidden="1">
      <c r="A1142" s="786">
        <v>1142</v>
      </c>
      <c r="B1142" s="767"/>
      <c r="C1142" s="767"/>
      <c r="D1142" s="767"/>
      <c r="E1142" s="767" t="s">
        <v>727</v>
      </c>
      <c r="F1142" s="806" t="s">
        <v>1398</v>
      </c>
      <c r="G1142" s="778"/>
      <c r="H1142" s="815">
        <v>0</v>
      </c>
      <c r="I1142" s="815">
        <v>0</v>
      </c>
      <c r="J1142" s="815">
        <v>0</v>
      </c>
      <c r="K1142" s="815">
        <v>0</v>
      </c>
      <c r="L1142" s="815">
        <v>0</v>
      </c>
      <c r="M1142" s="815">
        <v>0</v>
      </c>
      <c r="N1142" s="815">
        <v>0</v>
      </c>
      <c r="O1142" s="815">
        <v>0</v>
      </c>
      <c r="P1142" s="772">
        <v>0</v>
      </c>
      <c r="Q1142" s="774"/>
      <c r="R1142" s="774">
        <v>1758</v>
      </c>
      <c r="S1142" s="774"/>
      <c r="T1142" s="774"/>
      <c r="U1142" s="774"/>
      <c r="V1142" s="774"/>
    </row>
    <row r="1143" spans="1:22" hidden="1">
      <c r="A1143" s="786">
        <v>1143</v>
      </c>
      <c r="B1143" s="767"/>
      <c r="C1143" s="767"/>
      <c r="D1143" s="767"/>
      <c r="E1143" s="767" t="s">
        <v>1180</v>
      </c>
      <c r="F1143" s="806" t="s">
        <v>1392</v>
      </c>
      <c r="G1143" s="778"/>
      <c r="H1143" s="815">
        <v>34942.962564657755</v>
      </c>
      <c r="I1143" s="815">
        <v>14614.884502933528</v>
      </c>
      <c r="J1143" s="815">
        <v>4669.6590696189296</v>
      </c>
      <c r="K1143" s="815">
        <v>7924.4946364219568</v>
      </c>
      <c r="L1143" s="815">
        <v>3230.4585077964093</v>
      </c>
      <c r="M1143" s="815">
        <v>3055.1338947901627</v>
      </c>
      <c r="N1143" s="815">
        <v>1392.099580626249</v>
      </c>
      <c r="O1143" s="815">
        <v>56.232372470524027</v>
      </c>
      <c r="P1143" s="772">
        <v>0</v>
      </c>
      <c r="Q1143" s="774"/>
      <c r="R1143" s="774">
        <v>1759</v>
      </c>
      <c r="S1143" s="774"/>
      <c r="T1143" s="774"/>
      <c r="U1143" s="774"/>
      <c r="V1143" s="774"/>
    </row>
    <row r="1144" spans="1:22" hidden="1">
      <c r="A1144" s="786">
        <v>1144</v>
      </c>
      <c r="B1144" s="767"/>
      <c r="C1144" s="767"/>
      <c r="D1144" s="767"/>
      <c r="E1144" s="767" t="s">
        <v>1245</v>
      </c>
      <c r="F1144" s="806" t="s">
        <v>1392</v>
      </c>
      <c r="G1144" s="778"/>
      <c r="H1144" s="815">
        <v>0</v>
      </c>
      <c r="I1144" s="815">
        <v>0</v>
      </c>
      <c r="J1144" s="815">
        <v>0</v>
      </c>
      <c r="K1144" s="815">
        <v>0</v>
      </c>
      <c r="L1144" s="815">
        <v>0</v>
      </c>
      <c r="M1144" s="815">
        <v>0</v>
      </c>
      <c r="N1144" s="815">
        <v>0</v>
      </c>
      <c r="O1144" s="815">
        <v>0</v>
      </c>
      <c r="P1144" s="772">
        <v>0</v>
      </c>
      <c r="Q1144" s="774"/>
      <c r="R1144" s="774">
        <v>1760</v>
      </c>
      <c r="S1144" s="774"/>
      <c r="T1144" s="774"/>
      <c r="U1144" s="774"/>
      <c r="V1144" s="774"/>
    </row>
    <row r="1145" spans="1:22" hidden="1">
      <c r="A1145" s="786">
        <v>1145</v>
      </c>
      <c r="E1145" s="767" t="s">
        <v>1246</v>
      </c>
      <c r="F1145" s="806" t="s">
        <v>1392</v>
      </c>
      <c r="H1145" s="815">
        <v>0</v>
      </c>
      <c r="I1145" s="815">
        <v>0</v>
      </c>
      <c r="J1145" s="815">
        <v>0</v>
      </c>
      <c r="K1145" s="815">
        <v>0</v>
      </c>
      <c r="L1145" s="815">
        <v>0</v>
      </c>
      <c r="M1145" s="815">
        <v>0</v>
      </c>
      <c r="N1145" s="815">
        <v>0</v>
      </c>
      <c r="O1145" s="815">
        <v>0</v>
      </c>
      <c r="P1145" s="772">
        <v>0</v>
      </c>
      <c r="R1145" s="774">
        <v>1761</v>
      </c>
    </row>
    <row r="1146" spans="1:22" hidden="1">
      <c r="A1146" s="786">
        <v>1146</v>
      </c>
      <c r="B1146" s="767"/>
      <c r="C1146" s="767"/>
      <c r="D1146" s="767"/>
      <c r="E1146" s="767" t="s">
        <v>1247</v>
      </c>
      <c r="F1146" s="806" t="s">
        <v>1392</v>
      </c>
      <c r="G1146" s="778"/>
      <c r="H1146" s="815">
        <v>0</v>
      </c>
      <c r="I1146" s="815">
        <v>0</v>
      </c>
      <c r="J1146" s="815">
        <v>0</v>
      </c>
      <c r="K1146" s="815">
        <v>0</v>
      </c>
      <c r="L1146" s="815">
        <v>0</v>
      </c>
      <c r="M1146" s="815">
        <v>0</v>
      </c>
      <c r="N1146" s="815">
        <v>0</v>
      </c>
      <c r="O1146" s="815">
        <v>0</v>
      </c>
      <c r="P1146" s="772">
        <v>0</v>
      </c>
      <c r="Q1146" s="774"/>
      <c r="R1146" s="774">
        <v>1762</v>
      </c>
      <c r="S1146" s="774"/>
      <c r="T1146" s="774"/>
      <c r="U1146" s="774"/>
      <c r="V1146" s="774"/>
    </row>
    <row r="1147" spans="1:22" hidden="1">
      <c r="A1147" s="786">
        <v>1147</v>
      </c>
      <c r="B1147" s="767"/>
      <c r="C1147" s="767"/>
      <c r="D1147" s="767"/>
      <c r="E1147" s="767" t="s">
        <v>1248</v>
      </c>
      <c r="F1147" s="806" t="s">
        <v>1413</v>
      </c>
      <c r="G1147" s="778"/>
      <c r="H1147" s="815">
        <v>0</v>
      </c>
      <c r="I1147" s="815">
        <v>0</v>
      </c>
      <c r="J1147" s="815">
        <v>0</v>
      </c>
      <c r="K1147" s="815">
        <v>0</v>
      </c>
      <c r="L1147" s="815">
        <v>0</v>
      </c>
      <c r="M1147" s="815">
        <v>0</v>
      </c>
      <c r="N1147" s="815">
        <v>0</v>
      </c>
      <c r="O1147" s="815">
        <v>0</v>
      </c>
      <c r="P1147" s="772">
        <v>0</v>
      </c>
      <c r="Q1147" s="774"/>
      <c r="R1147" s="774">
        <v>1763</v>
      </c>
      <c r="S1147" s="774"/>
      <c r="T1147" s="774"/>
      <c r="U1147" s="774"/>
      <c r="V1147" s="774"/>
    </row>
    <row r="1148" spans="1:22" hidden="1">
      <c r="A1148" s="786">
        <v>1148</v>
      </c>
      <c r="B1148" s="767"/>
      <c r="C1148" s="767"/>
      <c r="D1148" s="767" t="s">
        <v>1249</v>
      </c>
      <c r="E1148" s="767"/>
      <c r="F1148" s="806"/>
      <c r="G1148" s="778"/>
      <c r="H1148" s="815">
        <v>34942.962564657762</v>
      </c>
      <c r="I1148" s="815">
        <v>14614.884502933528</v>
      </c>
      <c r="J1148" s="815">
        <v>4669.6590696189296</v>
      </c>
      <c r="K1148" s="815">
        <v>7924.4946364219568</v>
      </c>
      <c r="L1148" s="815">
        <v>3230.4585077964093</v>
      </c>
      <c r="M1148" s="815">
        <v>3055.1338947901627</v>
      </c>
      <c r="N1148" s="815">
        <v>1392.099580626249</v>
      </c>
      <c r="O1148" s="815">
        <v>56.232372470524027</v>
      </c>
      <c r="P1148" s="772">
        <v>0</v>
      </c>
      <c r="Q1148" s="774"/>
      <c r="R1148" s="774"/>
      <c r="S1148" s="774"/>
      <c r="T1148" s="774"/>
      <c r="U1148" s="774"/>
      <c r="V1148" s="774"/>
    </row>
    <row r="1149" spans="1:22" hidden="1">
      <c r="A1149" s="786">
        <v>1149</v>
      </c>
      <c r="B1149" s="767"/>
      <c r="C1149" s="767"/>
      <c r="D1149" s="767"/>
      <c r="E1149" s="767"/>
      <c r="F1149" s="806"/>
      <c r="G1149" s="778"/>
      <c r="H1149" s="788"/>
      <c r="I1149" s="788"/>
      <c r="J1149" s="788"/>
      <c r="K1149" s="788"/>
      <c r="L1149" s="788"/>
      <c r="M1149" s="788"/>
      <c r="N1149" s="788"/>
      <c r="O1149" s="788"/>
      <c r="P1149" s="772"/>
      <c r="R1149" s="774"/>
    </row>
    <row r="1150" spans="1:22" hidden="1">
      <c r="A1150" s="786">
        <v>1150</v>
      </c>
      <c r="B1150" s="767"/>
      <c r="C1150" s="767" t="s">
        <v>1250</v>
      </c>
      <c r="D1150" s="767" t="s">
        <v>1251</v>
      </c>
      <c r="E1150" s="767"/>
      <c r="F1150" s="806" t="s">
        <v>1392</v>
      </c>
      <c r="G1150" s="778"/>
      <c r="H1150" s="815">
        <v>0</v>
      </c>
      <c r="I1150" s="815">
        <v>0</v>
      </c>
      <c r="J1150" s="815">
        <v>0</v>
      </c>
      <c r="K1150" s="815">
        <v>0</v>
      </c>
      <c r="L1150" s="815">
        <v>0</v>
      </c>
      <c r="M1150" s="815">
        <v>0</v>
      </c>
      <c r="N1150" s="815">
        <v>0</v>
      </c>
      <c r="O1150" s="815">
        <v>0</v>
      </c>
      <c r="P1150" s="772">
        <v>0</v>
      </c>
      <c r="Q1150" s="774"/>
      <c r="R1150" s="774">
        <v>1770</v>
      </c>
      <c r="S1150" s="774"/>
      <c r="T1150" s="774"/>
      <c r="U1150" s="774"/>
      <c r="V1150" s="774"/>
    </row>
    <row r="1151" spans="1:22" hidden="1">
      <c r="A1151" s="786">
        <v>1151</v>
      </c>
      <c r="B1151" s="767"/>
      <c r="C1151" s="767"/>
      <c r="D1151" s="767"/>
      <c r="E1151" s="767"/>
      <c r="F1151" s="806"/>
      <c r="G1151" s="778"/>
      <c r="H1151" s="788"/>
      <c r="I1151" s="788"/>
      <c r="J1151" s="788"/>
      <c r="K1151" s="788"/>
      <c r="L1151" s="788"/>
      <c r="M1151" s="788"/>
      <c r="N1151" s="788"/>
      <c r="O1151" s="788"/>
      <c r="P1151" s="772"/>
      <c r="R1151" s="774"/>
    </row>
    <row r="1152" spans="1:22" hidden="1">
      <c r="A1152" s="786">
        <v>1152</v>
      </c>
      <c r="B1152" s="767"/>
      <c r="C1152" s="832">
        <v>128</v>
      </c>
      <c r="D1152" s="767" t="s">
        <v>613</v>
      </c>
      <c r="E1152" s="767"/>
      <c r="F1152" s="806" t="s">
        <v>1411</v>
      </c>
      <c r="G1152" s="778"/>
      <c r="H1152" s="815">
        <v>0</v>
      </c>
      <c r="I1152" s="815">
        <v>0</v>
      </c>
      <c r="J1152" s="815">
        <v>0</v>
      </c>
      <c r="K1152" s="815">
        <v>0</v>
      </c>
      <c r="L1152" s="815">
        <v>0</v>
      </c>
      <c r="M1152" s="815">
        <v>0</v>
      </c>
      <c r="N1152" s="815">
        <v>0</v>
      </c>
      <c r="O1152" s="815">
        <v>0</v>
      </c>
      <c r="P1152" s="772">
        <v>0</v>
      </c>
      <c r="Q1152" s="774"/>
      <c r="R1152" s="774">
        <v>1774</v>
      </c>
      <c r="S1152" s="774"/>
      <c r="T1152" s="774"/>
      <c r="U1152" s="774"/>
      <c r="V1152" s="774"/>
    </row>
    <row r="1153" spans="1:22" hidden="1">
      <c r="A1153" s="786">
        <v>1153</v>
      </c>
      <c r="B1153" s="767"/>
      <c r="C1153" s="767"/>
      <c r="D1153" s="767"/>
      <c r="E1153" s="767"/>
      <c r="F1153" s="806"/>
      <c r="G1153" s="778"/>
      <c r="H1153" s="788"/>
      <c r="I1153" s="788"/>
      <c r="J1153" s="788"/>
      <c r="K1153" s="788"/>
      <c r="L1153" s="788"/>
      <c r="M1153" s="788"/>
      <c r="N1153" s="788"/>
      <c r="O1153" s="788"/>
      <c r="P1153" s="772"/>
      <c r="R1153" s="774"/>
    </row>
    <row r="1154" spans="1:22" hidden="1">
      <c r="A1154" s="786">
        <v>1154</v>
      </c>
      <c r="B1154" s="767"/>
      <c r="C1154" s="767" t="s">
        <v>1252</v>
      </c>
      <c r="D1154" s="767" t="s">
        <v>1253</v>
      </c>
      <c r="E1154" s="767"/>
      <c r="F1154" s="806" t="s">
        <v>1392</v>
      </c>
      <c r="G1154" s="778"/>
      <c r="H1154" s="815">
        <v>5092.6441051398033</v>
      </c>
      <c r="I1154" s="815">
        <v>2129.9969993512332</v>
      </c>
      <c r="J1154" s="815">
        <v>680.56369547669976</v>
      </c>
      <c r="K1154" s="815">
        <v>1154.9287162389614</v>
      </c>
      <c r="L1154" s="815">
        <v>470.81226859876131</v>
      </c>
      <c r="M1154" s="815">
        <v>445.26017480419432</v>
      </c>
      <c r="N1154" s="815">
        <v>202.88685339503343</v>
      </c>
      <c r="O1154" s="815">
        <v>8.1953972749203494</v>
      </c>
      <c r="P1154" s="772">
        <v>0</v>
      </c>
      <c r="Q1154" s="774"/>
      <c r="R1154" s="774">
        <v>1796</v>
      </c>
      <c r="S1154" s="774"/>
      <c r="T1154" s="774"/>
      <c r="U1154" s="774"/>
      <c r="V1154" s="774"/>
    </row>
    <row r="1155" spans="1:22" hidden="1">
      <c r="A1155" s="786">
        <v>1155</v>
      </c>
      <c r="B1155" s="767"/>
      <c r="C1155" s="767"/>
      <c r="D1155" s="767"/>
      <c r="E1155" s="767"/>
      <c r="F1155" s="806"/>
      <c r="G1155" s="778"/>
      <c r="H1155" s="788"/>
      <c r="I1155" s="788"/>
      <c r="J1155" s="788"/>
      <c r="K1155" s="788"/>
      <c r="L1155" s="788"/>
      <c r="M1155" s="788"/>
      <c r="N1155" s="788"/>
      <c r="O1155" s="788"/>
      <c r="P1155" s="772"/>
      <c r="R1155" s="774"/>
    </row>
    <row r="1156" spans="1:22" hidden="1">
      <c r="A1156" s="786">
        <v>1156</v>
      </c>
      <c r="B1156" s="767"/>
      <c r="C1156" s="767" t="s">
        <v>1254</v>
      </c>
      <c r="D1156" s="767" t="s">
        <v>615</v>
      </c>
      <c r="E1156" s="767"/>
      <c r="F1156" s="806" t="s">
        <v>1392</v>
      </c>
      <c r="G1156" s="778"/>
      <c r="H1156" s="815">
        <v>0</v>
      </c>
      <c r="I1156" s="815">
        <v>0</v>
      </c>
      <c r="J1156" s="815">
        <v>0</v>
      </c>
      <c r="K1156" s="815">
        <v>0</v>
      </c>
      <c r="L1156" s="815">
        <v>0</v>
      </c>
      <c r="M1156" s="815">
        <v>0</v>
      </c>
      <c r="N1156" s="815">
        <v>0</v>
      </c>
      <c r="O1156" s="815">
        <v>0</v>
      </c>
      <c r="P1156" s="772">
        <v>0</v>
      </c>
      <c r="Q1156" s="774"/>
      <c r="R1156" s="774">
        <v>1799</v>
      </c>
      <c r="S1156" s="774"/>
      <c r="T1156" s="774"/>
      <c r="U1156" s="774"/>
      <c r="V1156" s="774"/>
    </row>
    <row r="1157" spans="1:22" hidden="1">
      <c r="A1157" s="786">
        <v>1157</v>
      </c>
      <c r="B1157" s="767"/>
      <c r="C1157" s="767"/>
      <c r="D1157" s="767"/>
      <c r="E1157" s="767" t="s">
        <v>718</v>
      </c>
      <c r="F1157" s="806" t="s">
        <v>1392</v>
      </c>
      <c r="G1157" s="778"/>
      <c r="H1157" s="815">
        <v>0</v>
      </c>
      <c r="I1157" s="815">
        <v>0</v>
      </c>
      <c r="J1157" s="815">
        <v>0</v>
      </c>
      <c r="K1157" s="815">
        <v>0</v>
      </c>
      <c r="L1157" s="815">
        <v>0</v>
      </c>
      <c r="M1157" s="815">
        <v>0</v>
      </c>
      <c r="N1157" s="815">
        <v>0</v>
      </c>
      <c r="O1157" s="815">
        <v>0</v>
      </c>
      <c r="P1157" s="772">
        <v>0</v>
      </c>
      <c r="Q1157" s="774"/>
      <c r="R1157" s="774">
        <v>1800</v>
      </c>
      <c r="S1157" s="774"/>
      <c r="T1157" s="774"/>
      <c r="U1157" s="774"/>
      <c r="V1157" s="774"/>
    </row>
    <row r="1158" spans="1:22" hidden="1">
      <c r="A1158" s="786">
        <v>1158</v>
      </c>
      <c r="B1158" s="767"/>
      <c r="C1158" s="767"/>
      <c r="D1158" s="767"/>
      <c r="E1158" s="767" t="s">
        <v>1255</v>
      </c>
      <c r="F1158" s="806"/>
      <c r="G1158" s="778"/>
      <c r="H1158" s="815">
        <v>0</v>
      </c>
      <c r="I1158" s="815">
        <v>0</v>
      </c>
      <c r="J1158" s="815">
        <v>0</v>
      </c>
      <c r="K1158" s="815">
        <v>0</v>
      </c>
      <c r="L1158" s="815">
        <v>0</v>
      </c>
      <c r="M1158" s="815">
        <v>0</v>
      </c>
      <c r="N1158" s="815">
        <v>0</v>
      </c>
      <c r="O1158" s="815">
        <v>0</v>
      </c>
      <c r="P1158" s="772">
        <v>0</v>
      </c>
      <c r="Q1158" s="774"/>
      <c r="R1158" s="774"/>
      <c r="S1158" s="774"/>
      <c r="T1158" s="774"/>
      <c r="U1158" s="774"/>
      <c r="V1158" s="774"/>
    </row>
    <row r="1159" spans="1:22" hidden="1">
      <c r="A1159" s="786">
        <v>1159</v>
      </c>
      <c r="B1159" s="767"/>
      <c r="C1159" s="767"/>
      <c r="D1159" s="767"/>
      <c r="E1159" s="767"/>
      <c r="F1159" s="806"/>
      <c r="G1159" s="778"/>
      <c r="H1159" s="788"/>
      <c r="I1159" s="788"/>
      <c r="J1159" s="788"/>
      <c r="K1159" s="788"/>
      <c r="L1159" s="788"/>
      <c r="M1159" s="788"/>
      <c r="N1159" s="788"/>
      <c r="O1159" s="788"/>
      <c r="P1159" s="772"/>
      <c r="R1159" s="774"/>
    </row>
    <row r="1160" spans="1:22" hidden="1">
      <c r="A1160" s="786">
        <v>1160</v>
      </c>
      <c r="B1160" s="767"/>
      <c r="C1160" s="833">
        <v>152</v>
      </c>
      <c r="D1160" s="767" t="s">
        <v>1256</v>
      </c>
      <c r="E1160" s="767"/>
      <c r="F1160" s="806" t="s">
        <v>1392</v>
      </c>
      <c r="G1160" s="778"/>
      <c r="H1160" s="815">
        <v>0</v>
      </c>
      <c r="I1160" s="815">
        <v>0</v>
      </c>
      <c r="J1160" s="815">
        <v>0</v>
      </c>
      <c r="K1160" s="815">
        <v>0</v>
      </c>
      <c r="L1160" s="815">
        <v>0</v>
      </c>
      <c r="M1160" s="815">
        <v>0</v>
      </c>
      <c r="N1160" s="815">
        <v>0</v>
      </c>
      <c r="O1160" s="815">
        <v>0</v>
      </c>
      <c r="P1160" s="772">
        <v>0</v>
      </c>
      <c r="Q1160" s="774"/>
      <c r="R1160" s="774">
        <v>1805</v>
      </c>
    </row>
    <row r="1161" spans="1:22" hidden="1">
      <c r="A1161" s="786">
        <v>1161</v>
      </c>
      <c r="B1161" s="767"/>
      <c r="C1161" s="767"/>
      <c r="D1161" s="767"/>
      <c r="E1161" s="767"/>
      <c r="F1161" s="806"/>
      <c r="G1161" s="778"/>
      <c r="H1161" s="788"/>
      <c r="I1161" s="788"/>
      <c r="J1161" s="788"/>
      <c r="K1161" s="788"/>
      <c r="L1161" s="788"/>
      <c r="M1161" s="788"/>
      <c r="N1161" s="788"/>
      <c r="O1161" s="788"/>
      <c r="P1161" s="772"/>
      <c r="R1161" s="774"/>
    </row>
    <row r="1162" spans="1:22" hidden="1">
      <c r="A1162" s="786">
        <v>1162</v>
      </c>
      <c r="B1162" s="767"/>
      <c r="C1162" s="767" t="s">
        <v>1257</v>
      </c>
      <c r="D1162" s="767" t="s">
        <v>1258</v>
      </c>
      <c r="E1162" s="767"/>
      <c r="F1162" s="806" t="s">
        <v>1392</v>
      </c>
      <c r="G1162" s="778"/>
      <c r="H1162" s="815">
        <v>0</v>
      </c>
      <c r="I1162" s="815">
        <v>0</v>
      </c>
      <c r="J1162" s="815">
        <v>0</v>
      </c>
      <c r="K1162" s="815">
        <v>0</v>
      </c>
      <c r="L1162" s="815">
        <v>0</v>
      </c>
      <c r="M1162" s="815">
        <v>0</v>
      </c>
      <c r="N1162" s="815">
        <v>0</v>
      </c>
      <c r="O1162" s="815">
        <v>0</v>
      </c>
      <c r="P1162" s="772">
        <v>0</v>
      </c>
      <c r="Q1162" s="774"/>
      <c r="R1162" s="774">
        <v>1810</v>
      </c>
      <c r="S1162" s="774"/>
      <c r="T1162" s="774"/>
      <c r="U1162" s="774"/>
      <c r="V1162" s="774"/>
    </row>
    <row r="1163" spans="1:22" hidden="1">
      <c r="A1163" s="786">
        <v>1163</v>
      </c>
      <c r="B1163" s="767"/>
      <c r="C1163" s="767"/>
      <c r="D1163" s="767"/>
      <c r="E1163" s="767"/>
      <c r="F1163" s="806"/>
      <c r="G1163" s="778"/>
      <c r="H1163" s="788"/>
      <c r="I1163" s="788"/>
      <c r="J1163" s="788"/>
      <c r="K1163" s="788"/>
      <c r="L1163" s="788"/>
      <c r="M1163" s="788"/>
      <c r="N1163" s="788"/>
      <c r="O1163" s="788"/>
      <c r="P1163" s="772"/>
      <c r="R1163" s="774"/>
    </row>
    <row r="1164" spans="1:22" hidden="1">
      <c r="A1164" s="786">
        <v>1164</v>
      </c>
      <c r="B1164" s="767"/>
      <c r="C1164" s="767" t="s">
        <v>1259</v>
      </c>
      <c r="D1164" s="767" t="s">
        <v>1258</v>
      </c>
      <c r="E1164" s="767"/>
      <c r="F1164" s="806" t="s">
        <v>1392</v>
      </c>
      <c r="G1164" s="778"/>
      <c r="H1164" s="815">
        <v>0</v>
      </c>
      <c r="I1164" s="815">
        <v>0</v>
      </c>
      <c r="J1164" s="815">
        <v>0</v>
      </c>
      <c r="K1164" s="815">
        <v>0</v>
      </c>
      <c r="L1164" s="815">
        <v>0</v>
      </c>
      <c r="M1164" s="815">
        <v>0</v>
      </c>
      <c r="N1164" s="815">
        <v>0</v>
      </c>
      <c r="O1164" s="815">
        <v>0</v>
      </c>
      <c r="P1164" s="772">
        <v>0</v>
      </c>
      <c r="Q1164" s="774"/>
      <c r="R1164" s="774">
        <v>1814</v>
      </c>
      <c r="S1164" s="774"/>
      <c r="T1164" s="774"/>
      <c r="U1164" s="774"/>
      <c r="V1164" s="774"/>
    </row>
    <row r="1165" spans="1:22" hidden="1">
      <c r="A1165" s="786">
        <v>1165</v>
      </c>
      <c r="B1165" s="767"/>
      <c r="C1165" s="767"/>
      <c r="D1165" s="767"/>
      <c r="E1165" s="767"/>
      <c r="F1165" s="806"/>
      <c r="G1165" s="778"/>
      <c r="H1165" s="788"/>
      <c r="I1165" s="788"/>
      <c r="J1165" s="788"/>
      <c r="K1165" s="788"/>
      <c r="L1165" s="788"/>
      <c r="M1165" s="788"/>
      <c r="N1165" s="788"/>
      <c r="O1165" s="788"/>
      <c r="P1165" s="772"/>
      <c r="R1165" s="774"/>
    </row>
    <row r="1166" spans="1:22" hidden="1">
      <c r="A1166" s="786">
        <v>1166</v>
      </c>
      <c r="B1166" s="767"/>
      <c r="C1166" s="767" t="s">
        <v>1260</v>
      </c>
      <c r="D1166" s="767" t="s">
        <v>1261</v>
      </c>
      <c r="E1166" s="767"/>
      <c r="F1166" s="806" t="s">
        <v>1392</v>
      </c>
      <c r="G1166" s="778"/>
      <c r="H1166" s="815">
        <v>0</v>
      </c>
      <c r="I1166" s="815">
        <v>0</v>
      </c>
      <c r="J1166" s="815">
        <v>0</v>
      </c>
      <c r="K1166" s="815">
        <v>0</v>
      </c>
      <c r="L1166" s="815">
        <v>0</v>
      </c>
      <c r="M1166" s="815">
        <v>0</v>
      </c>
      <c r="N1166" s="815">
        <v>0</v>
      </c>
      <c r="O1166" s="815">
        <v>0</v>
      </c>
      <c r="P1166" s="772">
        <v>0</v>
      </c>
      <c r="Q1166" s="774"/>
      <c r="R1166" s="774">
        <v>1818</v>
      </c>
      <c r="S1166" s="774"/>
      <c r="T1166" s="774"/>
      <c r="U1166" s="774"/>
      <c r="V1166" s="774"/>
    </row>
    <row r="1167" spans="1:22" hidden="1">
      <c r="A1167" s="786">
        <v>1167</v>
      </c>
      <c r="B1167" s="767"/>
      <c r="C1167" s="767"/>
      <c r="D1167" s="767"/>
      <c r="E1167" s="767"/>
      <c r="F1167" s="806"/>
      <c r="G1167" s="778"/>
      <c r="H1167" s="788"/>
      <c r="I1167" s="788"/>
      <c r="J1167" s="788"/>
      <c r="K1167" s="788"/>
      <c r="L1167" s="788"/>
      <c r="M1167" s="788"/>
      <c r="N1167" s="788"/>
      <c r="O1167" s="788"/>
      <c r="P1167" s="772"/>
      <c r="R1167" s="774"/>
    </row>
    <row r="1168" spans="1:22" hidden="1">
      <c r="A1168" s="786">
        <v>1168</v>
      </c>
      <c r="B1168" s="767"/>
      <c r="C1168" s="767" t="s">
        <v>1262</v>
      </c>
      <c r="D1168" s="767" t="s">
        <v>1263</v>
      </c>
      <c r="E1168" s="767"/>
      <c r="F1168" s="806" t="s">
        <v>1411</v>
      </c>
      <c r="G1168" s="778"/>
      <c r="H1168" s="815">
        <v>0</v>
      </c>
      <c r="I1168" s="815">
        <v>0</v>
      </c>
      <c r="J1168" s="815">
        <v>0</v>
      </c>
      <c r="K1168" s="815">
        <v>0</v>
      </c>
      <c r="L1168" s="815">
        <v>0</v>
      </c>
      <c r="M1168" s="815">
        <v>0</v>
      </c>
      <c r="N1168" s="815">
        <v>0</v>
      </c>
      <c r="O1168" s="815">
        <v>0</v>
      </c>
      <c r="P1168" s="772">
        <v>0</v>
      </c>
      <c r="R1168" s="774">
        <v>1823</v>
      </c>
    </row>
    <row r="1169" spans="1:22" hidden="1">
      <c r="A1169" s="786">
        <v>1169</v>
      </c>
      <c r="B1169" s="767"/>
      <c r="C1169" s="767"/>
      <c r="D1169" s="767"/>
      <c r="E1169" s="767" t="s">
        <v>1180</v>
      </c>
      <c r="F1169" s="806" t="s">
        <v>1411</v>
      </c>
      <c r="G1169" s="778"/>
      <c r="H1169" s="815">
        <v>0</v>
      </c>
      <c r="I1169" s="815">
        <v>0</v>
      </c>
      <c r="J1169" s="815">
        <v>0</v>
      </c>
      <c r="K1169" s="815">
        <v>0</v>
      </c>
      <c r="L1169" s="815">
        <v>0</v>
      </c>
      <c r="M1169" s="815">
        <v>0</v>
      </c>
      <c r="N1169" s="815">
        <v>0</v>
      </c>
      <c r="O1169" s="815">
        <v>0</v>
      </c>
      <c r="P1169" s="772">
        <v>0</v>
      </c>
      <c r="R1169" s="774">
        <v>1824</v>
      </c>
    </row>
    <row r="1170" spans="1:22" hidden="1">
      <c r="A1170" s="786">
        <v>1170</v>
      </c>
      <c r="B1170" s="767"/>
      <c r="C1170" s="767"/>
      <c r="D1170" s="767"/>
      <c r="E1170" s="767" t="s">
        <v>1247</v>
      </c>
      <c r="F1170" s="806" t="s">
        <v>1411</v>
      </c>
      <c r="G1170" s="778"/>
      <c r="H1170" s="815">
        <v>0</v>
      </c>
      <c r="I1170" s="815">
        <v>0</v>
      </c>
      <c r="J1170" s="815">
        <v>0</v>
      </c>
      <c r="K1170" s="815">
        <v>0</v>
      </c>
      <c r="L1170" s="815">
        <v>0</v>
      </c>
      <c r="M1170" s="815">
        <v>0</v>
      </c>
      <c r="N1170" s="815">
        <v>0</v>
      </c>
      <c r="O1170" s="815">
        <v>0</v>
      </c>
      <c r="P1170" s="772">
        <v>0</v>
      </c>
      <c r="R1170" s="774">
        <v>1825</v>
      </c>
    </row>
    <row r="1171" spans="1:22" hidden="1">
      <c r="A1171" s="786">
        <v>1171</v>
      </c>
      <c r="B1171" s="767"/>
      <c r="C1171" s="767"/>
      <c r="D1171" s="767"/>
      <c r="E1171" s="767" t="s">
        <v>1005</v>
      </c>
      <c r="F1171" s="806" t="s">
        <v>1411</v>
      </c>
      <c r="G1171" s="778"/>
      <c r="H1171" s="815">
        <v>-2.1827872842550278E-11</v>
      </c>
      <c r="I1171" s="815">
        <v>-9.5111634538394598E-12</v>
      </c>
      <c r="J1171" s="815">
        <v>-3.0162725053409419E-12</v>
      </c>
      <c r="K1171" s="815">
        <v>-4.7119095341773867E-12</v>
      </c>
      <c r="L1171" s="815">
        <v>-1.9069040053550212E-12</v>
      </c>
      <c r="M1171" s="815">
        <v>-1.6947587424747575E-12</v>
      </c>
      <c r="N1171" s="815">
        <v>-9.2323543148047219E-13</v>
      </c>
      <c r="O1171" s="815">
        <v>-6.3629169882235727E-14</v>
      </c>
      <c r="P1171" s="772">
        <v>0</v>
      </c>
      <c r="R1171" s="774">
        <v>1826</v>
      </c>
    </row>
    <row r="1172" spans="1:22" hidden="1">
      <c r="A1172" s="786">
        <v>1172</v>
      </c>
      <c r="B1172" s="767"/>
      <c r="C1172" s="767"/>
      <c r="D1172" s="767"/>
      <c r="E1172" s="767" t="s">
        <v>1264</v>
      </c>
      <c r="F1172" s="806" t="s">
        <v>1411</v>
      </c>
      <c r="G1172" s="778"/>
      <c r="H1172" s="815">
        <v>0</v>
      </c>
      <c r="I1172" s="815">
        <v>0</v>
      </c>
      <c r="J1172" s="815">
        <v>0</v>
      </c>
      <c r="K1172" s="815">
        <v>0</v>
      </c>
      <c r="L1172" s="815">
        <v>0</v>
      </c>
      <c r="M1172" s="815">
        <v>0</v>
      </c>
      <c r="N1172" s="815">
        <v>0</v>
      </c>
      <c r="O1172" s="815">
        <v>0</v>
      </c>
      <c r="P1172" s="772">
        <v>0</v>
      </c>
      <c r="R1172" s="774">
        <v>1827</v>
      </c>
    </row>
    <row r="1173" spans="1:22" hidden="1">
      <c r="A1173" s="786">
        <v>1173</v>
      </c>
      <c r="B1173" s="767"/>
      <c r="C1173" s="767"/>
      <c r="D1173" s="767"/>
      <c r="E1173" s="767" t="s">
        <v>1265</v>
      </c>
      <c r="F1173" s="806" t="s">
        <v>1411</v>
      </c>
      <c r="G1173" s="778"/>
      <c r="H1173" s="815">
        <v>0</v>
      </c>
      <c r="I1173" s="815">
        <v>0</v>
      </c>
      <c r="J1173" s="815">
        <v>0</v>
      </c>
      <c r="K1173" s="815">
        <v>0</v>
      </c>
      <c r="L1173" s="815">
        <v>0</v>
      </c>
      <c r="M1173" s="815">
        <v>0</v>
      </c>
      <c r="N1173" s="815">
        <v>0</v>
      </c>
      <c r="O1173" s="815">
        <v>0</v>
      </c>
      <c r="P1173" s="772">
        <v>0</v>
      </c>
      <c r="R1173" s="774">
        <v>1828</v>
      </c>
    </row>
    <row r="1174" spans="1:22" hidden="1">
      <c r="A1174" s="786">
        <v>1174</v>
      </c>
      <c r="B1174" s="767"/>
      <c r="C1174" s="767"/>
      <c r="D1174" s="767"/>
      <c r="E1174" s="767" t="s">
        <v>1266</v>
      </c>
      <c r="F1174" s="806" t="s">
        <v>1411</v>
      </c>
      <c r="G1174" s="778"/>
      <c r="H1174" s="815">
        <v>0</v>
      </c>
      <c r="I1174" s="815">
        <v>0</v>
      </c>
      <c r="J1174" s="815">
        <v>0</v>
      </c>
      <c r="K1174" s="815">
        <v>0</v>
      </c>
      <c r="L1174" s="815">
        <v>0</v>
      </c>
      <c r="M1174" s="815">
        <v>0</v>
      </c>
      <c r="N1174" s="815">
        <v>0</v>
      </c>
      <c r="O1174" s="815">
        <v>0</v>
      </c>
      <c r="P1174" s="772">
        <v>0</v>
      </c>
      <c r="R1174" s="774">
        <v>1829</v>
      </c>
    </row>
    <row r="1175" spans="1:22" hidden="1">
      <c r="A1175" s="786">
        <v>1175</v>
      </c>
      <c r="B1175" s="767"/>
      <c r="C1175" s="767"/>
      <c r="D1175" s="767"/>
      <c r="E1175" s="767" t="s">
        <v>1245</v>
      </c>
      <c r="F1175" s="806" t="s">
        <v>1411</v>
      </c>
      <c r="G1175" s="778"/>
      <c r="H1175" s="815">
        <v>0</v>
      </c>
      <c r="I1175" s="815">
        <v>0</v>
      </c>
      <c r="J1175" s="815">
        <v>0</v>
      </c>
      <c r="K1175" s="815">
        <v>0</v>
      </c>
      <c r="L1175" s="815">
        <v>0</v>
      </c>
      <c r="M1175" s="815">
        <v>0</v>
      </c>
      <c r="N1175" s="815">
        <v>0</v>
      </c>
      <c r="O1175" s="815">
        <v>0</v>
      </c>
      <c r="P1175" s="772">
        <v>0</v>
      </c>
      <c r="R1175" s="774">
        <v>1830</v>
      </c>
    </row>
    <row r="1176" spans="1:22" hidden="1">
      <c r="A1176" s="786">
        <v>1176</v>
      </c>
      <c r="B1176" s="767"/>
      <c r="C1176" s="767"/>
      <c r="D1176" s="767"/>
      <c r="E1176" s="767" t="s">
        <v>1002</v>
      </c>
      <c r="F1176" s="806" t="s">
        <v>1411</v>
      </c>
      <c r="G1176" s="778"/>
      <c r="H1176" s="815">
        <v>0</v>
      </c>
      <c r="I1176" s="815">
        <v>0</v>
      </c>
      <c r="J1176" s="815">
        <v>0</v>
      </c>
      <c r="K1176" s="815">
        <v>0</v>
      </c>
      <c r="L1176" s="815">
        <v>0</v>
      </c>
      <c r="M1176" s="815">
        <v>0</v>
      </c>
      <c r="N1176" s="815">
        <v>0</v>
      </c>
      <c r="O1176" s="815">
        <v>0</v>
      </c>
      <c r="P1176" s="772">
        <v>0</v>
      </c>
      <c r="R1176" s="774">
        <v>1831</v>
      </c>
    </row>
    <row r="1177" spans="1:22" hidden="1">
      <c r="A1177" s="786">
        <v>1177</v>
      </c>
      <c r="B1177" s="767"/>
      <c r="C1177" s="767"/>
      <c r="D1177" s="767"/>
      <c r="E1177" s="767" t="s">
        <v>835</v>
      </c>
      <c r="F1177" s="806" t="s">
        <v>1411</v>
      </c>
      <c r="G1177" s="778"/>
      <c r="H1177" s="815">
        <v>0</v>
      </c>
      <c r="I1177" s="815">
        <v>0</v>
      </c>
      <c r="J1177" s="815">
        <v>0</v>
      </c>
      <c r="K1177" s="815">
        <v>0</v>
      </c>
      <c r="L1177" s="815">
        <v>0</v>
      </c>
      <c r="M1177" s="815">
        <v>0</v>
      </c>
      <c r="N1177" s="815">
        <v>0</v>
      </c>
      <c r="O1177" s="815">
        <v>0</v>
      </c>
      <c r="P1177" s="772">
        <v>0</v>
      </c>
      <c r="R1177" s="774">
        <v>1832</v>
      </c>
    </row>
    <row r="1178" spans="1:22" hidden="1">
      <c r="A1178" s="786">
        <v>1178</v>
      </c>
      <c r="B1178" s="767"/>
      <c r="C1178" s="767"/>
      <c r="D1178" s="767"/>
      <c r="E1178" s="767" t="s">
        <v>718</v>
      </c>
      <c r="F1178" s="806" t="s">
        <v>1392</v>
      </c>
      <c r="G1178" s="778"/>
      <c r="H1178" s="815">
        <v>0</v>
      </c>
      <c r="I1178" s="815">
        <v>0</v>
      </c>
      <c r="J1178" s="815">
        <v>0</v>
      </c>
      <c r="K1178" s="815">
        <v>0</v>
      </c>
      <c r="L1178" s="815">
        <v>0</v>
      </c>
      <c r="M1178" s="815">
        <v>0</v>
      </c>
      <c r="N1178" s="815">
        <v>0</v>
      </c>
      <c r="O1178" s="815">
        <v>0</v>
      </c>
      <c r="P1178" s="772">
        <v>0</v>
      </c>
      <c r="R1178" s="774">
        <v>1833</v>
      </c>
    </row>
    <row r="1179" spans="1:22" hidden="1">
      <c r="A1179" s="786">
        <v>1179</v>
      </c>
      <c r="B1179" s="767"/>
      <c r="C1179" s="767"/>
      <c r="D1179" s="767"/>
      <c r="E1179" s="767" t="s">
        <v>1267</v>
      </c>
      <c r="F1179" s="806" t="s">
        <v>1411</v>
      </c>
      <c r="G1179" s="778"/>
      <c r="H1179" s="815">
        <v>0</v>
      </c>
      <c r="I1179" s="815">
        <v>0</v>
      </c>
      <c r="J1179" s="815">
        <v>0</v>
      </c>
      <c r="K1179" s="815">
        <v>0</v>
      </c>
      <c r="L1179" s="815">
        <v>0</v>
      </c>
      <c r="M1179" s="815">
        <v>0</v>
      </c>
      <c r="N1179" s="815">
        <v>0</v>
      </c>
      <c r="O1179" s="815">
        <v>0</v>
      </c>
      <c r="P1179" s="772">
        <v>0</v>
      </c>
      <c r="R1179" s="774">
        <v>1834</v>
      </c>
    </row>
    <row r="1180" spans="1:22" hidden="1">
      <c r="A1180" s="786">
        <v>1180</v>
      </c>
      <c r="B1180" s="767"/>
      <c r="C1180" s="767"/>
      <c r="D1180" s="767"/>
      <c r="E1180" s="767" t="s">
        <v>1192</v>
      </c>
      <c r="F1180" s="806" t="s">
        <v>1411</v>
      </c>
      <c r="G1180" s="778"/>
      <c r="H1180" s="828">
        <v>0</v>
      </c>
      <c r="I1180" s="828">
        <v>0</v>
      </c>
      <c r="J1180" s="828">
        <v>0</v>
      </c>
      <c r="K1180" s="828">
        <v>0</v>
      </c>
      <c r="L1180" s="828">
        <v>0</v>
      </c>
      <c r="M1180" s="828">
        <v>0</v>
      </c>
      <c r="N1180" s="828">
        <v>0</v>
      </c>
      <c r="O1180" s="828">
        <v>0</v>
      </c>
      <c r="P1180" s="834">
        <v>0</v>
      </c>
      <c r="R1180" s="774">
        <v>1835</v>
      </c>
    </row>
    <row r="1181" spans="1:22" hidden="1">
      <c r="A1181" s="786">
        <v>1181</v>
      </c>
      <c r="B1181" s="767"/>
      <c r="D1181" s="767" t="s">
        <v>1268</v>
      </c>
      <c r="F1181" s="806"/>
      <c r="G1181" s="778"/>
      <c r="H1181" s="815">
        <v>-2.1827872842550278E-11</v>
      </c>
      <c r="I1181" s="815">
        <v>-9.5111634538394598E-12</v>
      </c>
      <c r="J1181" s="815">
        <v>-3.0162725053409419E-12</v>
      </c>
      <c r="K1181" s="815">
        <v>-4.7119095341773867E-12</v>
      </c>
      <c r="L1181" s="815">
        <v>-1.9069040053550212E-12</v>
      </c>
      <c r="M1181" s="815">
        <v>-1.6947587424747575E-12</v>
      </c>
      <c r="N1181" s="815">
        <v>-9.2323543148047219E-13</v>
      </c>
      <c r="O1181" s="815">
        <v>-6.3629169882235727E-14</v>
      </c>
      <c r="P1181" s="772">
        <v>0</v>
      </c>
      <c r="Q1181" s="774"/>
      <c r="R1181" s="774"/>
      <c r="S1181" s="774"/>
      <c r="T1181" s="774"/>
      <c r="U1181" s="774"/>
      <c r="V1181" s="774"/>
    </row>
    <row r="1182" spans="1:22" hidden="1">
      <c r="A1182" s="786">
        <v>1182</v>
      </c>
      <c r="B1182" s="767"/>
      <c r="C1182" s="767"/>
      <c r="D1182" s="767"/>
      <c r="E1182" s="767"/>
      <c r="F1182" s="806"/>
      <c r="G1182" s="778"/>
      <c r="H1182" s="788"/>
      <c r="I1182" s="788"/>
      <c r="J1182" s="788"/>
      <c r="K1182" s="788"/>
      <c r="L1182" s="788"/>
      <c r="M1182" s="788"/>
      <c r="N1182" s="788"/>
      <c r="O1182" s="788"/>
      <c r="P1182" s="772"/>
      <c r="R1182" s="774"/>
    </row>
    <row r="1183" spans="1:22" hidden="1">
      <c r="A1183" s="786">
        <v>1183</v>
      </c>
      <c r="B1183" s="767"/>
      <c r="C1183" s="767" t="s">
        <v>1269</v>
      </c>
      <c r="D1183" s="767" t="s">
        <v>1270</v>
      </c>
      <c r="E1183" s="767"/>
      <c r="F1183" s="806" t="s">
        <v>1411</v>
      </c>
      <c r="G1183" s="778"/>
      <c r="H1183" s="815">
        <v>0</v>
      </c>
      <c r="I1183" s="815">
        <v>0</v>
      </c>
      <c r="J1183" s="815">
        <v>0</v>
      </c>
      <c r="K1183" s="815">
        <v>0</v>
      </c>
      <c r="L1183" s="815">
        <v>0</v>
      </c>
      <c r="M1183" s="815">
        <v>0</v>
      </c>
      <c r="N1183" s="815">
        <v>0</v>
      </c>
      <c r="O1183" s="815">
        <v>0</v>
      </c>
      <c r="P1183" s="772">
        <v>0</v>
      </c>
      <c r="Q1183" s="774"/>
      <c r="R1183" s="774">
        <v>1839</v>
      </c>
      <c r="S1183" s="774"/>
      <c r="T1183" s="774"/>
      <c r="U1183" s="774"/>
      <c r="V1183" s="774"/>
    </row>
    <row r="1184" spans="1:22" hidden="1">
      <c r="A1184" s="786">
        <v>1184</v>
      </c>
      <c r="B1184" s="767"/>
      <c r="C1184" s="767"/>
      <c r="D1184" s="767"/>
      <c r="E1184" s="767"/>
      <c r="F1184" s="806"/>
      <c r="G1184" s="778"/>
      <c r="H1184" s="788"/>
      <c r="I1184" s="788"/>
      <c r="J1184" s="788"/>
      <c r="K1184" s="788"/>
      <c r="L1184" s="788"/>
      <c r="M1184" s="788"/>
      <c r="N1184" s="788"/>
      <c r="O1184" s="788"/>
      <c r="P1184" s="772"/>
      <c r="R1184" s="774"/>
    </row>
    <row r="1185" spans="1:22" hidden="1">
      <c r="A1185" s="786">
        <v>1185</v>
      </c>
      <c r="B1185" s="767"/>
      <c r="C1185" s="767" t="s">
        <v>1271</v>
      </c>
      <c r="D1185" s="767" t="s">
        <v>1261</v>
      </c>
      <c r="E1185" s="767"/>
      <c r="F1185" s="806" t="s">
        <v>1411</v>
      </c>
      <c r="G1185" s="778"/>
      <c r="H1185" s="815">
        <v>0</v>
      </c>
      <c r="I1185" s="815">
        <v>0</v>
      </c>
      <c r="J1185" s="815">
        <v>0</v>
      </c>
      <c r="K1185" s="815">
        <v>0</v>
      </c>
      <c r="L1185" s="815">
        <v>0</v>
      </c>
      <c r="M1185" s="815">
        <v>0</v>
      </c>
      <c r="N1185" s="815">
        <v>0</v>
      </c>
      <c r="O1185" s="815">
        <v>0</v>
      </c>
      <c r="P1185" s="772">
        <v>0</v>
      </c>
      <c r="Q1185" s="774"/>
      <c r="R1185" s="774">
        <v>1844</v>
      </c>
      <c r="S1185" s="774"/>
      <c r="T1185" s="774"/>
      <c r="U1185" s="774"/>
      <c r="V1185" s="774"/>
    </row>
    <row r="1186" spans="1:22" hidden="1">
      <c r="A1186" s="786">
        <v>1186</v>
      </c>
      <c r="B1186" s="767"/>
      <c r="C1186" s="767"/>
      <c r="D1186" s="767"/>
      <c r="E1186" s="767"/>
      <c r="F1186" s="806"/>
      <c r="G1186" s="778"/>
      <c r="H1186" s="788"/>
      <c r="I1186" s="788"/>
      <c r="J1186" s="788"/>
      <c r="K1186" s="788"/>
      <c r="L1186" s="788"/>
      <c r="M1186" s="788"/>
      <c r="N1186" s="788"/>
      <c r="O1186" s="788"/>
      <c r="P1186" s="772"/>
      <c r="R1186" s="774"/>
    </row>
    <row r="1187" spans="1:22" hidden="1">
      <c r="A1187" s="786">
        <v>1187</v>
      </c>
      <c r="B1187" s="767"/>
      <c r="C1187" s="767" t="s">
        <v>1272</v>
      </c>
      <c r="D1187" s="767" t="s">
        <v>614</v>
      </c>
      <c r="E1187" s="767"/>
      <c r="F1187" s="806" t="s">
        <v>1411</v>
      </c>
      <c r="G1187" s="778"/>
      <c r="H1187" s="815">
        <v>0</v>
      </c>
      <c r="I1187" s="815">
        <v>0</v>
      </c>
      <c r="J1187" s="815">
        <v>0</v>
      </c>
      <c r="K1187" s="815">
        <v>0</v>
      </c>
      <c r="L1187" s="815">
        <v>0</v>
      </c>
      <c r="M1187" s="815">
        <v>0</v>
      </c>
      <c r="N1187" s="815">
        <v>0</v>
      </c>
      <c r="O1187" s="815">
        <v>0</v>
      </c>
      <c r="P1187" s="772">
        <v>0</v>
      </c>
      <c r="Q1187" s="774"/>
      <c r="R1187" s="774">
        <v>1851</v>
      </c>
      <c r="S1187" s="774"/>
      <c r="T1187" s="774"/>
      <c r="U1187" s="774"/>
      <c r="V1187" s="774"/>
    </row>
    <row r="1188" spans="1:22" hidden="1">
      <c r="A1188" s="786">
        <v>1188</v>
      </c>
      <c r="B1188" s="767"/>
      <c r="C1188" s="767"/>
      <c r="D1188" s="767"/>
      <c r="E1188" s="767" t="s">
        <v>1273</v>
      </c>
      <c r="F1188" s="806" t="s">
        <v>1410</v>
      </c>
      <c r="G1188" s="778"/>
      <c r="H1188" s="815">
        <v>0</v>
      </c>
      <c r="I1188" s="815">
        <v>0</v>
      </c>
      <c r="J1188" s="815">
        <v>0</v>
      </c>
      <c r="K1188" s="815">
        <v>0</v>
      </c>
      <c r="L1188" s="815">
        <v>0</v>
      </c>
      <c r="M1188" s="815">
        <v>0</v>
      </c>
      <c r="N1188" s="815">
        <v>0</v>
      </c>
      <c r="O1188" s="815">
        <v>0</v>
      </c>
      <c r="P1188" s="772">
        <v>0</v>
      </c>
      <c r="Q1188" s="774"/>
      <c r="R1188" s="774">
        <v>1852</v>
      </c>
      <c r="S1188" s="774"/>
      <c r="T1188" s="774"/>
      <c r="U1188" s="774"/>
      <c r="V1188" s="774"/>
    </row>
    <row r="1189" spans="1:22" hidden="1">
      <c r="A1189" s="786">
        <v>1189</v>
      </c>
      <c r="B1189" s="767"/>
      <c r="C1189" s="767"/>
      <c r="D1189" s="767"/>
      <c r="E1189" s="767" t="s">
        <v>788</v>
      </c>
      <c r="F1189" s="806" t="s">
        <v>1411</v>
      </c>
      <c r="G1189" s="778"/>
      <c r="H1189" s="815">
        <v>-3.0559021979570389E-10</v>
      </c>
      <c r="I1189" s="815">
        <v>-1.3032351997902491E-10</v>
      </c>
      <c r="J1189" s="815">
        <v>-4.0756952388866674E-11</v>
      </c>
      <c r="K1189" s="815">
        <v>-6.8022889964883096E-11</v>
      </c>
      <c r="L1189" s="815">
        <v>-2.7677708935626411E-11</v>
      </c>
      <c r="M1189" s="815">
        <v>-2.6449091693918806E-11</v>
      </c>
      <c r="N1189" s="815">
        <v>-1.1908289870213309E-11</v>
      </c>
      <c r="O1189" s="815">
        <v>-4.51766963170699E-13</v>
      </c>
      <c r="P1189" s="772">
        <v>0</v>
      </c>
      <c r="Q1189" s="774"/>
      <c r="R1189" s="774">
        <v>1853</v>
      </c>
      <c r="S1189" s="774"/>
      <c r="T1189" s="774"/>
      <c r="U1189" s="774"/>
      <c r="V1189" s="774"/>
    </row>
    <row r="1190" spans="1:22" hidden="1">
      <c r="A1190" s="786">
        <v>1190</v>
      </c>
      <c r="B1190" s="767"/>
      <c r="C1190" s="767"/>
      <c r="D1190" s="767"/>
      <c r="E1190" s="767" t="s">
        <v>738</v>
      </c>
      <c r="F1190" s="806" t="s">
        <v>1411</v>
      </c>
      <c r="G1190" s="778"/>
      <c r="H1190" s="815">
        <v>0</v>
      </c>
      <c r="I1190" s="815">
        <v>0</v>
      </c>
      <c r="J1190" s="815">
        <v>0</v>
      </c>
      <c r="K1190" s="815">
        <v>0</v>
      </c>
      <c r="L1190" s="815">
        <v>0</v>
      </c>
      <c r="M1190" s="815">
        <v>0</v>
      </c>
      <c r="N1190" s="815">
        <v>0</v>
      </c>
      <c r="O1190" s="815">
        <v>0</v>
      </c>
      <c r="P1190" s="772">
        <v>0</v>
      </c>
      <c r="R1190" s="774">
        <v>1854</v>
      </c>
    </row>
    <row r="1191" spans="1:22" hidden="1">
      <c r="A1191" s="786">
        <v>1191</v>
      </c>
      <c r="B1191" s="767"/>
      <c r="C1191" s="767"/>
      <c r="D1191" s="767"/>
      <c r="E1191" s="767" t="s">
        <v>1005</v>
      </c>
      <c r="F1191" s="806" t="s">
        <v>1411</v>
      </c>
      <c r="G1191" s="778"/>
      <c r="H1191" s="815">
        <v>0</v>
      </c>
      <c r="I1191" s="815">
        <v>0</v>
      </c>
      <c r="J1191" s="815">
        <v>0</v>
      </c>
      <c r="K1191" s="815">
        <v>0</v>
      </c>
      <c r="L1191" s="815">
        <v>0</v>
      </c>
      <c r="M1191" s="815">
        <v>0</v>
      </c>
      <c r="N1191" s="815">
        <v>0</v>
      </c>
      <c r="O1191" s="815">
        <v>0</v>
      </c>
      <c r="P1191" s="772">
        <v>0</v>
      </c>
      <c r="R1191" s="774">
        <v>1855</v>
      </c>
    </row>
    <row r="1192" spans="1:22" hidden="1">
      <c r="A1192" s="786">
        <v>1192</v>
      </c>
      <c r="B1192" s="767"/>
      <c r="C1192" s="767"/>
      <c r="D1192" s="767"/>
      <c r="E1192" s="767" t="s">
        <v>1274</v>
      </c>
      <c r="F1192" s="806"/>
      <c r="G1192" s="778"/>
      <c r="H1192" s="815">
        <v>-3.0559021979570389E-10</v>
      </c>
      <c r="I1192" s="815">
        <v>-1.3032351997902491E-10</v>
      </c>
      <c r="J1192" s="815">
        <v>-4.0756952388866674E-11</v>
      </c>
      <c r="K1192" s="815">
        <v>-6.8022889964883096E-11</v>
      </c>
      <c r="L1192" s="815">
        <v>-2.7677708935626411E-11</v>
      </c>
      <c r="M1192" s="815">
        <v>-2.6449091693918806E-11</v>
      </c>
      <c r="N1192" s="815">
        <v>-1.1908289870213309E-11</v>
      </c>
      <c r="O1192" s="815">
        <v>-4.51766963170699E-13</v>
      </c>
      <c r="P1192" s="772">
        <v>0</v>
      </c>
      <c r="R1192" s="774"/>
    </row>
    <row r="1193" spans="1:22" hidden="1">
      <c r="A1193" s="786">
        <v>1193</v>
      </c>
      <c r="B1193" s="767"/>
      <c r="C1193" s="767"/>
      <c r="D1193" s="767"/>
      <c r="E1193" s="767"/>
      <c r="F1193" s="806"/>
      <c r="G1193" s="778"/>
      <c r="H1193" s="788"/>
      <c r="I1193" s="788"/>
      <c r="J1193" s="788"/>
      <c r="K1193" s="788"/>
      <c r="L1193" s="788"/>
      <c r="M1193" s="788"/>
      <c r="N1193" s="788"/>
      <c r="O1193" s="788"/>
      <c r="P1193" s="772"/>
      <c r="R1193" s="774"/>
    </row>
    <row r="1194" spans="1:22" hidden="1">
      <c r="A1194" s="786">
        <v>1194</v>
      </c>
      <c r="B1194" s="767"/>
      <c r="C1194" s="767" t="s">
        <v>1275</v>
      </c>
      <c r="D1194" s="767" t="s">
        <v>1276</v>
      </c>
      <c r="E1194" s="767"/>
      <c r="F1194" s="806" t="s">
        <v>1411</v>
      </c>
      <c r="G1194" s="778"/>
      <c r="H1194" s="815">
        <v>250184.92583333334</v>
      </c>
      <c r="I1194" s="815">
        <v>104639.77656912702</v>
      </c>
      <c r="J1194" s="815">
        <v>33433.86542677386</v>
      </c>
      <c r="K1194" s="815">
        <v>56737.865291511334</v>
      </c>
      <c r="L1194" s="815">
        <v>23129.464786656426</v>
      </c>
      <c r="M1194" s="815">
        <v>21874.174104861446</v>
      </c>
      <c r="N1194" s="815">
        <v>9967.1666272468428</v>
      </c>
      <c r="O1194" s="815">
        <v>402.61302715642313</v>
      </c>
      <c r="P1194" s="772">
        <v>0</v>
      </c>
      <c r="Q1194" s="774"/>
      <c r="R1194" s="774">
        <v>1859</v>
      </c>
      <c r="S1194" s="774"/>
      <c r="T1194" s="774"/>
      <c r="U1194" s="774"/>
      <c r="V1194" s="774"/>
    </row>
    <row r="1195" spans="1:22" hidden="1">
      <c r="A1195" s="786">
        <v>1195</v>
      </c>
      <c r="B1195" s="767"/>
      <c r="C1195" s="767"/>
      <c r="D1195" s="767"/>
      <c r="E1195" s="767" t="s">
        <v>1017</v>
      </c>
      <c r="F1195" s="806" t="s">
        <v>1411</v>
      </c>
      <c r="G1195" s="778"/>
      <c r="H1195" s="815">
        <v>0</v>
      </c>
      <c r="I1195" s="815">
        <v>0</v>
      </c>
      <c r="J1195" s="815">
        <v>0</v>
      </c>
      <c r="K1195" s="815">
        <v>0</v>
      </c>
      <c r="L1195" s="815">
        <v>0</v>
      </c>
      <c r="M1195" s="815">
        <v>0</v>
      </c>
      <c r="N1195" s="815">
        <v>0</v>
      </c>
      <c r="O1195" s="815">
        <v>0</v>
      </c>
      <c r="P1195" s="772">
        <v>0</v>
      </c>
      <c r="Q1195" s="774"/>
      <c r="R1195" s="774">
        <v>1860</v>
      </c>
      <c r="S1195" s="774"/>
      <c r="T1195" s="774"/>
      <c r="U1195" s="774"/>
      <c r="V1195" s="774"/>
    </row>
    <row r="1196" spans="1:22" hidden="1">
      <c r="A1196" s="786">
        <v>1196</v>
      </c>
      <c r="B1196" s="767"/>
      <c r="C1196" s="767"/>
      <c r="D1196" s="767"/>
      <c r="E1196" s="767" t="s">
        <v>1192</v>
      </c>
      <c r="F1196" s="806" t="s">
        <v>1411</v>
      </c>
      <c r="G1196" s="778"/>
      <c r="H1196" s="815">
        <v>0</v>
      </c>
      <c r="I1196" s="815">
        <v>0</v>
      </c>
      <c r="J1196" s="815">
        <v>0</v>
      </c>
      <c r="K1196" s="815">
        <v>0</v>
      </c>
      <c r="L1196" s="815">
        <v>0</v>
      </c>
      <c r="M1196" s="815">
        <v>0</v>
      </c>
      <c r="N1196" s="815">
        <v>0</v>
      </c>
      <c r="O1196" s="815">
        <v>0</v>
      </c>
      <c r="P1196" s="772">
        <v>0</v>
      </c>
      <c r="Q1196" s="774"/>
      <c r="R1196" s="774">
        <v>1861</v>
      </c>
      <c r="S1196" s="774"/>
      <c r="T1196" s="774"/>
      <c r="U1196" s="774"/>
      <c r="V1196" s="774"/>
    </row>
    <row r="1197" spans="1:22" hidden="1">
      <c r="A1197" s="786">
        <v>1197</v>
      </c>
      <c r="B1197" s="767"/>
      <c r="C1197" s="767"/>
      <c r="D1197" s="767"/>
      <c r="E1197" s="767" t="s">
        <v>728</v>
      </c>
      <c r="F1197" s="806" t="s">
        <v>1411</v>
      </c>
      <c r="G1197" s="778"/>
      <c r="H1197" s="815">
        <v>0</v>
      </c>
      <c r="I1197" s="815">
        <v>0</v>
      </c>
      <c r="J1197" s="815">
        <v>0</v>
      </c>
      <c r="K1197" s="815">
        <v>0</v>
      </c>
      <c r="L1197" s="815">
        <v>0</v>
      </c>
      <c r="M1197" s="815">
        <v>0</v>
      </c>
      <c r="N1197" s="815">
        <v>0</v>
      </c>
      <c r="O1197" s="815">
        <v>0</v>
      </c>
      <c r="P1197" s="772">
        <v>0</v>
      </c>
      <c r="Q1197" s="774"/>
      <c r="R1197" s="774">
        <v>1862</v>
      </c>
      <c r="S1197" s="774"/>
      <c r="T1197" s="774"/>
      <c r="U1197" s="774"/>
      <c r="V1197" s="774"/>
    </row>
    <row r="1198" spans="1:22" hidden="1">
      <c r="A1198" s="786">
        <v>1198</v>
      </c>
      <c r="B1198" s="767"/>
      <c r="C1198" s="767"/>
      <c r="D1198" s="767"/>
      <c r="E1198" s="767" t="s">
        <v>739</v>
      </c>
      <c r="F1198" s="806" t="s">
        <v>1392</v>
      </c>
      <c r="G1198" s="778"/>
      <c r="H1198" s="815">
        <v>0</v>
      </c>
      <c r="I1198" s="815">
        <v>0</v>
      </c>
      <c r="J1198" s="815">
        <v>0</v>
      </c>
      <c r="K1198" s="815">
        <v>0</v>
      </c>
      <c r="L1198" s="815">
        <v>0</v>
      </c>
      <c r="M1198" s="815">
        <v>0</v>
      </c>
      <c r="N1198" s="815">
        <v>0</v>
      </c>
      <c r="O1198" s="815">
        <v>0</v>
      </c>
      <c r="P1198" s="772">
        <v>0</v>
      </c>
      <c r="Q1198" s="774"/>
      <c r="R1198" s="774">
        <v>1863</v>
      </c>
      <c r="S1198" s="774"/>
      <c r="T1198" s="774"/>
      <c r="U1198" s="774"/>
      <c r="V1198" s="774"/>
    </row>
    <row r="1199" spans="1:22" hidden="1">
      <c r="A1199" s="786">
        <v>1199</v>
      </c>
      <c r="B1199" s="767"/>
      <c r="C1199" s="767"/>
      <c r="D1199" s="767"/>
      <c r="E1199" s="767" t="s">
        <v>738</v>
      </c>
      <c r="F1199" s="806" t="s">
        <v>1411</v>
      </c>
      <c r="G1199" s="778"/>
      <c r="H1199" s="815">
        <v>0</v>
      </c>
      <c r="I1199" s="815">
        <v>0</v>
      </c>
      <c r="J1199" s="815">
        <v>0</v>
      </c>
      <c r="K1199" s="815">
        <v>0</v>
      </c>
      <c r="L1199" s="815">
        <v>0</v>
      </c>
      <c r="M1199" s="815">
        <v>0</v>
      </c>
      <c r="N1199" s="815">
        <v>0</v>
      </c>
      <c r="O1199" s="815">
        <v>0</v>
      </c>
      <c r="P1199" s="772">
        <v>0</v>
      </c>
      <c r="Q1199" s="774"/>
      <c r="R1199" s="774">
        <v>1864</v>
      </c>
      <c r="S1199" s="774"/>
      <c r="T1199" s="774"/>
      <c r="U1199" s="774"/>
      <c r="V1199" s="774"/>
    </row>
    <row r="1200" spans="1:22" hidden="1">
      <c r="A1200" s="786">
        <v>1200</v>
      </c>
      <c r="B1200" s="767"/>
      <c r="C1200" s="767"/>
      <c r="D1200" s="767"/>
      <c r="E1200" s="767" t="s">
        <v>1005</v>
      </c>
      <c r="F1200" s="806" t="s">
        <v>1411</v>
      </c>
      <c r="G1200" s="778"/>
      <c r="H1200" s="815">
        <v>0</v>
      </c>
      <c r="I1200" s="815">
        <v>0</v>
      </c>
      <c r="J1200" s="815">
        <v>0</v>
      </c>
      <c r="K1200" s="815">
        <v>0</v>
      </c>
      <c r="L1200" s="815">
        <v>0</v>
      </c>
      <c r="M1200" s="815">
        <v>0</v>
      </c>
      <c r="N1200" s="815">
        <v>0</v>
      </c>
      <c r="O1200" s="815">
        <v>0</v>
      </c>
      <c r="P1200" s="772">
        <v>0</v>
      </c>
      <c r="Q1200" s="774"/>
      <c r="R1200" s="774">
        <v>1865</v>
      </c>
      <c r="S1200" s="774"/>
      <c r="T1200" s="774"/>
      <c r="U1200" s="774"/>
      <c r="V1200" s="774"/>
    </row>
    <row r="1201" spans="1:22" hidden="1">
      <c r="A1201" s="786">
        <v>1201</v>
      </c>
      <c r="B1201" s="767"/>
      <c r="C1201" s="767"/>
      <c r="D1201" s="767"/>
      <c r="E1201" s="767" t="s">
        <v>1277</v>
      </c>
      <c r="F1201" s="806"/>
      <c r="G1201" s="778"/>
      <c r="H1201" s="815">
        <v>250184.92583333337</v>
      </c>
      <c r="I1201" s="815">
        <v>104639.77656912702</v>
      </c>
      <c r="J1201" s="815">
        <v>33433.86542677386</v>
      </c>
      <c r="K1201" s="815">
        <v>56737.865291511334</v>
      </c>
      <c r="L1201" s="815">
        <v>23129.464786656426</v>
      </c>
      <c r="M1201" s="815">
        <v>21874.174104861446</v>
      </c>
      <c r="N1201" s="815">
        <v>9967.1666272468428</v>
      </c>
      <c r="O1201" s="815">
        <v>402.61302715642313</v>
      </c>
      <c r="P1201" s="772">
        <v>0</v>
      </c>
      <c r="Q1201" s="774"/>
      <c r="R1201" s="774"/>
      <c r="S1201" s="774"/>
      <c r="T1201" s="774"/>
      <c r="U1201" s="774"/>
      <c r="V1201" s="774"/>
    </row>
    <row r="1202" spans="1:22" hidden="1">
      <c r="A1202" s="786">
        <v>1202</v>
      </c>
      <c r="B1202" s="767"/>
      <c r="C1202" s="767"/>
      <c r="D1202" s="767"/>
      <c r="E1202" s="767"/>
      <c r="F1202" s="806"/>
      <c r="G1202" s="778"/>
      <c r="H1202" s="788"/>
      <c r="I1202" s="788"/>
      <c r="J1202" s="788"/>
      <c r="K1202" s="788"/>
      <c r="L1202" s="788"/>
      <c r="M1202" s="788"/>
      <c r="N1202" s="788"/>
      <c r="O1202" s="788"/>
      <c r="P1202" s="772"/>
      <c r="R1202" s="774"/>
    </row>
    <row r="1203" spans="1:22" hidden="1">
      <c r="A1203" s="786">
        <v>1203</v>
      </c>
      <c r="B1203" s="767"/>
      <c r="C1203" s="767" t="s">
        <v>1278</v>
      </c>
      <c r="D1203" s="767" t="s">
        <v>617</v>
      </c>
      <c r="E1203" s="767"/>
      <c r="F1203" s="806" t="s">
        <v>1411</v>
      </c>
      <c r="G1203" s="778"/>
      <c r="H1203" s="815">
        <v>0</v>
      </c>
      <c r="I1203" s="815">
        <v>0</v>
      </c>
      <c r="J1203" s="815">
        <v>0</v>
      </c>
      <c r="K1203" s="815">
        <v>0</v>
      </c>
      <c r="L1203" s="815">
        <v>0</v>
      </c>
      <c r="M1203" s="815">
        <v>0</v>
      </c>
      <c r="N1203" s="815">
        <v>0</v>
      </c>
      <c r="O1203" s="815">
        <v>0</v>
      </c>
      <c r="P1203" s="772">
        <v>0</v>
      </c>
      <c r="Q1203" s="774"/>
      <c r="R1203" s="774">
        <v>1869</v>
      </c>
      <c r="S1203" s="774"/>
      <c r="T1203" s="774"/>
      <c r="U1203" s="774"/>
      <c r="V1203" s="774"/>
    </row>
    <row r="1204" spans="1:22" hidden="1">
      <c r="A1204" s="786">
        <v>1204</v>
      </c>
      <c r="B1204" s="767"/>
      <c r="C1204" s="767"/>
      <c r="D1204" s="767"/>
      <c r="E1204" s="767" t="s">
        <v>728</v>
      </c>
      <c r="F1204" s="806" t="s">
        <v>1411</v>
      </c>
      <c r="G1204" s="778"/>
      <c r="H1204" s="815">
        <v>0</v>
      </c>
      <c r="I1204" s="815">
        <v>0</v>
      </c>
      <c r="J1204" s="815">
        <v>0</v>
      </c>
      <c r="K1204" s="815">
        <v>0</v>
      </c>
      <c r="L1204" s="815">
        <v>0</v>
      </c>
      <c r="M1204" s="815">
        <v>0</v>
      </c>
      <c r="N1204" s="815">
        <v>0</v>
      </c>
      <c r="O1204" s="815">
        <v>0</v>
      </c>
      <c r="P1204" s="772">
        <v>0</v>
      </c>
      <c r="Q1204" s="774"/>
      <c r="R1204" s="774">
        <v>1870</v>
      </c>
      <c r="S1204" s="774"/>
      <c r="T1204" s="774"/>
      <c r="U1204" s="774"/>
      <c r="V1204" s="774"/>
    </row>
    <row r="1205" spans="1:22" hidden="1">
      <c r="A1205" s="786">
        <v>1205</v>
      </c>
      <c r="B1205" s="767"/>
      <c r="C1205" s="767"/>
      <c r="D1205" s="767"/>
      <c r="E1205" s="767" t="s">
        <v>739</v>
      </c>
      <c r="F1205" s="806" t="s">
        <v>1411</v>
      </c>
      <c r="G1205" s="778"/>
      <c r="H1205" s="815">
        <v>0</v>
      </c>
      <c r="I1205" s="815">
        <v>0</v>
      </c>
      <c r="J1205" s="815">
        <v>0</v>
      </c>
      <c r="K1205" s="815">
        <v>0</v>
      </c>
      <c r="L1205" s="815">
        <v>0</v>
      </c>
      <c r="M1205" s="815">
        <v>0</v>
      </c>
      <c r="N1205" s="815">
        <v>0</v>
      </c>
      <c r="O1205" s="815">
        <v>0</v>
      </c>
      <c r="P1205" s="772">
        <v>0</v>
      </c>
      <c r="Q1205" s="774"/>
      <c r="R1205" s="774">
        <v>1871</v>
      </c>
      <c r="S1205" s="774"/>
      <c r="T1205" s="774"/>
      <c r="U1205" s="774"/>
      <c r="V1205" s="774"/>
    </row>
    <row r="1206" spans="1:22" hidden="1">
      <c r="A1206" s="786">
        <v>1206</v>
      </c>
      <c r="B1206" s="767"/>
      <c r="C1206" s="767"/>
      <c r="D1206" s="767"/>
      <c r="E1206" s="767" t="s">
        <v>788</v>
      </c>
      <c r="F1206" s="806" t="s">
        <v>1411</v>
      </c>
      <c r="G1206" s="778"/>
      <c r="H1206" s="815">
        <v>-2.6775524020195007E-9</v>
      </c>
      <c r="I1206" s="815">
        <v>-1.1198855573180997E-9</v>
      </c>
      <c r="J1206" s="815">
        <v>-3.5781902680216471E-10</v>
      </c>
      <c r="K1206" s="815">
        <v>-6.0722526343553261E-10</v>
      </c>
      <c r="L1206" s="815">
        <v>-2.4753831107392039E-10</v>
      </c>
      <c r="M1206" s="815">
        <v>-2.3410382228896489E-10</v>
      </c>
      <c r="N1206" s="815">
        <v>-1.0667153848386526E-10</v>
      </c>
      <c r="O1206" s="815">
        <v>-4.3088826169533902E-12</v>
      </c>
      <c r="P1206" s="772">
        <v>0</v>
      </c>
      <c r="Q1206" s="774"/>
      <c r="R1206" s="774">
        <v>1872</v>
      </c>
      <c r="S1206" s="774"/>
      <c r="T1206" s="774"/>
      <c r="U1206" s="774"/>
      <c r="V1206" s="774"/>
    </row>
    <row r="1207" spans="1:22" hidden="1">
      <c r="A1207" s="786">
        <v>1207</v>
      </c>
      <c r="B1207" s="767"/>
      <c r="C1207" s="767"/>
      <c r="D1207" s="767"/>
      <c r="E1207" s="767" t="s">
        <v>1005</v>
      </c>
      <c r="F1207" s="806" t="s">
        <v>1411</v>
      </c>
      <c r="G1207" s="778"/>
      <c r="H1207" s="815">
        <v>4.7293724492192268E-11</v>
      </c>
      <c r="I1207" s="815">
        <v>2.2165131229247866E-11</v>
      </c>
      <c r="J1207" s="815">
        <v>6.8855486191628254E-12</v>
      </c>
      <c r="K1207" s="815">
        <v>9.2580953791541257E-12</v>
      </c>
      <c r="L1207" s="815">
        <v>3.6900324718105119E-12</v>
      </c>
      <c r="M1207" s="815">
        <v>2.8847509860692445E-12</v>
      </c>
      <c r="N1207" s="815">
        <v>2.1729759606983667E-12</v>
      </c>
      <c r="O1207" s="815">
        <v>2.3718984604932712E-13</v>
      </c>
      <c r="P1207" s="772">
        <v>0</v>
      </c>
      <c r="Q1207" s="774"/>
      <c r="R1207" s="774">
        <v>1873</v>
      </c>
      <c r="S1207" s="774"/>
      <c r="T1207" s="774"/>
      <c r="U1207" s="774"/>
      <c r="V1207" s="774"/>
    </row>
    <row r="1208" spans="1:22" hidden="1">
      <c r="A1208" s="786">
        <v>1208</v>
      </c>
      <c r="B1208" s="767"/>
      <c r="C1208" s="767"/>
      <c r="D1208" s="767"/>
      <c r="E1208" s="767" t="s">
        <v>738</v>
      </c>
      <c r="F1208" s="806" t="s">
        <v>1392</v>
      </c>
      <c r="G1208" s="778"/>
      <c r="H1208" s="815">
        <v>0</v>
      </c>
      <c r="I1208" s="815">
        <v>0</v>
      </c>
      <c r="J1208" s="815">
        <v>0</v>
      </c>
      <c r="K1208" s="815">
        <v>0</v>
      </c>
      <c r="L1208" s="815">
        <v>0</v>
      </c>
      <c r="M1208" s="815">
        <v>0</v>
      </c>
      <c r="N1208" s="815">
        <v>0</v>
      </c>
      <c r="O1208" s="815">
        <v>0</v>
      </c>
      <c r="P1208" s="772">
        <v>0</v>
      </c>
      <c r="Q1208" s="774"/>
      <c r="R1208" s="774">
        <v>1874</v>
      </c>
      <c r="S1208" s="774"/>
      <c r="T1208" s="774"/>
      <c r="U1208" s="774"/>
      <c r="V1208" s="774"/>
    </row>
    <row r="1209" spans="1:22" hidden="1">
      <c r="A1209" s="786">
        <v>1209</v>
      </c>
      <c r="B1209" s="767"/>
      <c r="C1209" s="767"/>
      <c r="D1209" s="767"/>
      <c r="E1209" s="767" t="s">
        <v>723</v>
      </c>
      <c r="F1209" s="806" t="s">
        <v>1411</v>
      </c>
      <c r="G1209" s="778"/>
      <c r="H1209" s="815">
        <v>430387.13048055297</v>
      </c>
      <c r="I1209" s="815">
        <v>180009.29920819582</v>
      </c>
      <c r="J1209" s="815">
        <v>57515.477217392719</v>
      </c>
      <c r="K1209" s="815">
        <v>97604.789541449791</v>
      </c>
      <c r="L1209" s="815">
        <v>39789.063813187393</v>
      </c>
      <c r="M1209" s="815">
        <v>37629.617345111103</v>
      </c>
      <c r="N1209" s="815">
        <v>17146.277816034421</v>
      </c>
      <c r="O1209" s="815">
        <v>692.60553918174969</v>
      </c>
      <c r="P1209" s="772">
        <v>0</v>
      </c>
      <c r="Q1209" s="774"/>
      <c r="R1209" s="774">
        <v>1875</v>
      </c>
      <c r="S1209" s="774"/>
      <c r="T1209" s="774"/>
      <c r="U1209" s="774"/>
      <c r="V1209" s="774"/>
    </row>
    <row r="1210" spans="1:22" hidden="1">
      <c r="A1210" s="786">
        <v>1210</v>
      </c>
      <c r="B1210" s="767"/>
      <c r="C1210" s="767"/>
      <c r="D1210" s="767"/>
      <c r="E1210" s="767" t="s">
        <v>1279</v>
      </c>
      <c r="F1210" s="806" t="s">
        <v>1411</v>
      </c>
      <c r="G1210" s="778"/>
      <c r="H1210" s="815">
        <v>0</v>
      </c>
      <c r="I1210" s="815">
        <v>0</v>
      </c>
      <c r="J1210" s="815">
        <v>0</v>
      </c>
      <c r="K1210" s="815">
        <v>0</v>
      </c>
      <c r="L1210" s="815">
        <v>0</v>
      </c>
      <c r="M1210" s="815">
        <v>0</v>
      </c>
      <c r="N1210" s="815">
        <v>0</v>
      </c>
      <c r="O1210" s="815">
        <v>0</v>
      </c>
      <c r="P1210" s="772">
        <v>0</v>
      </c>
      <c r="Q1210" s="774"/>
      <c r="R1210" s="774">
        <v>1876</v>
      </c>
      <c r="S1210" s="774"/>
      <c r="T1210" s="774"/>
      <c r="U1210" s="774"/>
      <c r="V1210" s="774"/>
    </row>
    <row r="1211" spans="1:22" hidden="1">
      <c r="A1211" s="786">
        <v>1211</v>
      </c>
      <c r="B1211" s="767"/>
      <c r="C1211" s="767"/>
      <c r="D1211" s="767"/>
      <c r="E1211" s="767" t="s">
        <v>1280</v>
      </c>
      <c r="F1211" s="806"/>
      <c r="G1211" s="778"/>
      <c r="H1211" s="815">
        <v>430387.13048055029</v>
      </c>
      <c r="I1211" s="815">
        <v>180009.29920819472</v>
      </c>
      <c r="J1211" s="815">
        <v>57515.477217392363</v>
      </c>
      <c r="K1211" s="815">
        <v>97604.789541449194</v>
      </c>
      <c r="L1211" s="815">
        <v>39789.063813187146</v>
      </c>
      <c r="M1211" s="815">
        <v>37629.61734511087</v>
      </c>
      <c r="N1211" s="815">
        <v>17146.277816034315</v>
      </c>
      <c r="O1211" s="815">
        <v>692.60553918174548</v>
      </c>
      <c r="P1211" s="772"/>
      <c r="Q1211" s="774"/>
      <c r="R1211" s="774"/>
      <c r="S1211" s="774"/>
      <c r="T1211" s="774"/>
      <c r="U1211" s="774"/>
      <c r="V1211" s="774"/>
    </row>
    <row r="1212" spans="1:22" hidden="1">
      <c r="A1212" s="786">
        <v>1212</v>
      </c>
      <c r="B1212" s="767"/>
      <c r="C1212" s="767"/>
      <c r="D1212" s="767"/>
      <c r="E1212" s="767"/>
      <c r="F1212" s="806"/>
      <c r="G1212" s="778"/>
      <c r="H1212" s="788"/>
      <c r="I1212" s="788"/>
      <c r="J1212" s="788"/>
      <c r="K1212" s="788"/>
      <c r="L1212" s="788"/>
      <c r="M1212" s="788"/>
      <c r="N1212" s="788"/>
      <c r="O1212" s="788"/>
      <c r="P1212" s="772"/>
      <c r="R1212" s="774"/>
    </row>
    <row r="1213" spans="1:22" hidden="1">
      <c r="A1213" s="786">
        <v>1213</v>
      </c>
      <c r="B1213" s="767"/>
      <c r="C1213" s="767" t="s">
        <v>1281</v>
      </c>
      <c r="D1213" s="767" t="s">
        <v>618</v>
      </c>
      <c r="E1213" s="767"/>
      <c r="F1213" s="806" t="s">
        <v>1434</v>
      </c>
      <c r="G1213" s="778"/>
      <c r="H1213" s="815">
        <v>23459504.952025533</v>
      </c>
      <c r="I1213" s="815">
        <v>10808173.72926438</v>
      </c>
      <c r="J1213" s="815">
        <v>3391080.2854290367</v>
      </c>
      <c r="K1213" s="815">
        <v>4707936.33746746</v>
      </c>
      <c r="L1213" s="815">
        <v>1867259.7340414862</v>
      </c>
      <c r="M1213" s="815">
        <v>1543324.9439017833</v>
      </c>
      <c r="N1213" s="815">
        <v>1033810.2613386221</v>
      </c>
      <c r="O1213" s="815">
        <v>107919.66058276601</v>
      </c>
      <c r="P1213" s="772">
        <v>0</v>
      </c>
      <c r="Q1213" s="774"/>
      <c r="R1213" s="774">
        <v>1884</v>
      </c>
      <c r="S1213" s="774"/>
      <c r="T1213" s="774"/>
      <c r="U1213" s="774"/>
      <c r="V1213" s="774"/>
    </row>
    <row r="1214" spans="1:22" hidden="1">
      <c r="A1214" s="786">
        <v>1214</v>
      </c>
      <c r="B1214" s="767"/>
      <c r="C1214" s="767"/>
      <c r="D1214" s="767"/>
      <c r="E1214" s="767"/>
      <c r="F1214" s="806"/>
      <c r="G1214" s="778"/>
      <c r="H1214" s="788"/>
      <c r="I1214" s="788"/>
      <c r="J1214" s="788"/>
      <c r="K1214" s="788"/>
      <c r="L1214" s="788"/>
      <c r="M1214" s="788"/>
      <c r="N1214" s="788"/>
      <c r="O1214" s="788"/>
      <c r="P1214" s="772"/>
      <c r="R1214" s="774"/>
    </row>
    <row r="1215" spans="1:22" hidden="1">
      <c r="A1215" s="786">
        <v>1215</v>
      </c>
      <c r="B1215" s="767"/>
      <c r="C1215" s="767" t="s">
        <v>1282</v>
      </c>
      <c r="D1215" s="767" t="s">
        <v>1283</v>
      </c>
      <c r="E1215" s="767"/>
      <c r="F1215" s="806" t="s">
        <v>1434</v>
      </c>
      <c r="G1215" s="778"/>
      <c r="H1215" s="815">
        <v>0</v>
      </c>
      <c r="I1215" s="815">
        <v>0</v>
      </c>
      <c r="J1215" s="815">
        <v>0</v>
      </c>
      <c r="K1215" s="815">
        <v>0</v>
      </c>
      <c r="L1215" s="815">
        <v>0</v>
      </c>
      <c r="M1215" s="815">
        <v>0</v>
      </c>
      <c r="N1215" s="815">
        <v>0</v>
      </c>
      <c r="O1215" s="815">
        <v>0</v>
      </c>
      <c r="P1215" s="772">
        <v>0</v>
      </c>
      <c r="Q1215" s="774"/>
      <c r="R1215" s="774">
        <v>1897</v>
      </c>
      <c r="S1215" s="774"/>
      <c r="T1215" s="774"/>
      <c r="U1215" s="774"/>
      <c r="V1215" s="774"/>
    </row>
    <row r="1216" spans="1:22" hidden="1">
      <c r="A1216" s="786">
        <v>1216</v>
      </c>
      <c r="B1216" s="767"/>
      <c r="C1216" s="767"/>
      <c r="D1216" s="767"/>
      <c r="E1216" s="767" t="s">
        <v>1284</v>
      </c>
      <c r="F1216" s="806"/>
      <c r="G1216" s="778"/>
      <c r="H1216" s="815">
        <v>0</v>
      </c>
      <c r="I1216" s="815">
        <v>0</v>
      </c>
      <c r="J1216" s="815">
        <v>0</v>
      </c>
      <c r="K1216" s="815">
        <v>0</v>
      </c>
      <c r="L1216" s="815">
        <v>0</v>
      </c>
      <c r="M1216" s="815">
        <v>0</v>
      </c>
      <c r="N1216" s="815">
        <v>0</v>
      </c>
      <c r="O1216" s="815">
        <v>0</v>
      </c>
      <c r="P1216" s="772">
        <v>0</v>
      </c>
      <c r="Q1216" s="774"/>
      <c r="R1216" s="774"/>
      <c r="S1216" s="774"/>
      <c r="T1216" s="774"/>
      <c r="U1216" s="774"/>
      <c r="V1216" s="774"/>
    </row>
    <row r="1217" spans="1:22" hidden="1">
      <c r="A1217" s="786">
        <v>1217</v>
      </c>
      <c r="B1217" s="767"/>
      <c r="F1217" s="806"/>
      <c r="H1217" s="813"/>
      <c r="I1217" s="813"/>
      <c r="J1217" s="813"/>
      <c r="K1217" s="813"/>
      <c r="L1217" s="813"/>
      <c r="M1217" s="813"/>
      <c r="N1217" s="813"/>
      <c r="O1217" s="813"/>
      <c r="P1217" s="772"/>
      <c r="R1217" s="774"/>
    </row>
    <row r="1218" spans="1:22" hidden="1">
      <c r="A1218" s="786">
        <v>1218</v>
      </c>
      <c r="B1218" s="767"/>
      <c r="C1218" s="767" t="s">
        <v>1285</v>
      </c>
      <c r="D1218" s="767" t="s">
        <v>1286</v>
      </c>
      <c r="E1218" s="767"/>
      <c r="F1218" s="806" t="s">
        <v>1392</v>
      </c>
      <c r="G1218" s="778"/>
      <c r="H1218" s="815">
        <v>0</v>
      </c>
      <c r="I1218" s="815">
        <v>0</v>
      </c>
      <c r="J1218" s="815">
        <v>0</v>
      </c>
      <c r="K1218" s="815">
        <v>0</v>
      </c>
      <c r="L1218" s="815">
        <v>0</v>
      </c>
      <c r="M1218" s="815">
        <v>0</v>
      </c>
      <c r="N1218" s="815">
        <v>0</v>
      </c>
      <c r="O1218" s="815">
        <v>0</v>
      </c>
      <c r="P1218" s="772">
        <v>0</v>
      </c>
      <c r="Q1218" s="774"/>
      <c r="R1218" s="774">
        <v>1911</v>
      </c>
      <c r="S1218" s="774"/>
      <c r="T1218" s="774"/>
      <c r="U1218" s="774"/>
      <c r="V1218" s="774"/>
    </row>
    <row r="1219" spans="1:22" hidden="1">
      <c r="A1219" s="786">
        <v>1219</v>
      </c>
      <c r="B1219" s="767"/>
      <c r="C1219" s="767"/>
      <c r="D1219" s="767"/>
      <c r="E1219" s="767"/>
      <c r="F1219" s="806"/>
      <c r="G1219" s="778"/>
      <c r="H1219" s="788"/>
      <c r="I1219" s="788"/>
      <c r="J1219" s="788"/>
      <c r="K1219" s="788"/>
      <c r="L1219" s="788"/>
      <c r="M1219" s="788"/>
      <c r="N1219" s="788"/>
      <c r="O1219" s="788"/>
      <c r="P1219" s="772"/>
      <c r="R1219" s="774"/>
    </row>
    <row r="1220" spans="1:22" hidden="1">
      <c r="A1220" s="786">
        <v>1220</v>
      </c>
      <c r="B1220" s="767"/>
      <c r="C1220" s="767" t="s">
        <v>1287</v>
      </c>
      <c r="D1220" s="767" t="s">
        <v>1288</v>
      </c>
      <c r="E1220" s="767"/>
      <c r="F1220" s="806" t="s">
        <v>1392</v>
      </c>
      <c r="G1220" s="778"/>
      <c r="H1220" s="815">
        <v>0</v>
      </c>
      <c r="I1220" s="815">
        <v>0</v>
      </c>
      <c r="J1220" s="815">
        <v>0</v>
      </c>
      <c r="K1220" s="815">
        <v>0</v>
      </c>
      <c r="L1220" s="815">
        <v>0</v>
      </c>
      <c r="M1220" s="815">
        <v>0</v>
      </c>
      <c r="N1220" s="815">
        <v>0</v>
      </c>
      <c r="O1220" s="815">
        <v>0</v>
      </c>
      <c r="P1220" s="772">
        <v>0</v>
      </c>
      <c r="Q1220" s="774"/>
      <c r="R1220" s="774">
        <v>1916</v>
      </c>
      <c r="S1220" s="774"/>
      <c r="T1220" s="774"/>
      <c r="U1220" s="774"/>
      <c r="V1220" s="774"/>
    </row>
    <row r="1221" spans="1:22" hidden="1">
      <c r="A1221" s="786">
        <v>1221</v>
      </c>
      <c r="B1221" s="767"/>
      <c r="F1221" s="806"/>
      <c r="H1221" s="813"/>
      <c r="I1221" s="813"/>
      <c r="J1221" s="813"/>
      <c r="K1221" s="813"/>
      <c r="L1221" s="813"/>
      <c r="M1221" s="813"/>
      <c r="N1221" s="813"/>
      <c r="O1221" s="813"/>
      <c r="P1221" s="772"/>
      <c r="R1221" s="774"/>
    </row>
    <row r="1222" spans="1:22" hidden="1">
      <c r="A1222" s="786">
        <v>1222</v>
      </c>
      <c r="B1222" s="767"/>
      <c r="C1222" s="767" t="s">
        <v>1289</v>
      </c>
      <c r="D1222" s="767" t="s">
        <v>1290</v>
      </c>
      <c r="E1222" s="767"/>
      <c r="F1222" s="806" t="s">
        <v>1392</v>
      </c>
      <c r="G1222" s="778"/>
      <c r="H1222" s="828">
        <v>0</v>
      </c>
      <c r="I1222" s="828">
        <v>0</v>
      </c>
      <c r="J1222" s="828">
        <v>0</v>
      </c>
      <c r="K1222" s="828">
        <v>0</v>
      </c>
      <c r="L1222" s="828">
        <v>0</v>
      </c>
      <c r="M1222" s="828">
        <v>0</v>
      </c>
      <c r="N1222" s="828">
        <v>0</v>
      </c>
      <c r="O1222" s="828">
        <v>0</v>
      </c>
      <c r="P1222" s="772">
        <v>0</v>
      </c>
      <c r="Q1222" s="774"/>
      <c r="R1222" s="774">
        <v>1919</v>
      </c>
      <c r="S1222" s="774"/>
      <c r="T1222" s="774"/>
      <c r="U1222" s="774"/>
      <c r="V1222" s="774"/>
    </row>
    <row r="1223" spans="1:22" hidden="1">
      <c r="A1223" s="786">
        <v>1223</v>
      </c>
      <c r="B1223" s="767"/>
      <c r="C1223" s="767" t="s">
        <v>1291</v>
      </c>
      <c r="D1223" s="767"/>
      <c r="E1223" s="767"/>
      <c r="F1223" s="806"/>
      <c r="G1223" s="778"/>
      <c r="H1223" s="788">
        <v>24180112.615009215</v>
      </c>
      <c r="I1223" s="788">
        <v>11109567.686543986</v>
      </c>
      <c r="J1223" s="788">
        <v>3487379.8508382984</v>
      </c>
      <c r="K1223" s="788">
        <v>4871358.4156530807</v>
      </c>
      <c r="L1223" s="788">
        <v>1933879.5334177248</v>
      </c>
      <c r="M1223" s="788">
        <v>1606329.1294213498</v>
      </c>
      <c r="N1223" s="788">
        <v>1062518.6922159246</v>
      </c>
      <c r="O1223" s="788">
        <v>109079.30691884962</v>
      </c>
      <c r="P1223" s="772">
        <v>0</v>
      </c>
      <c r="Q1223" s="774"/>
      <c r="R1223" s="774"/>
      <c r="S1223" s="774"/>
      <c r="T1223" s="774"/>
      <c r="U1223" s="774"/>
      <c r="V1223" s="774"/>
    </row>
    <row r="1224" spans="1:22" hidden="1">
      <c r="A1224" s="786">
        <v>1224</v>
      </c>
      <c r="B1224" s="767"/>
      <c r="C1224" s="767"/>
      <c r="D1224" s="767"/>
      <c r="E1224" s="767"/>
      <c r="F1224" s="806"/>
      <c r="G1224" s="778"/>
      <c r="H1224" s="788"/>
      <c r="I1224" s="788"/>
      <c r="J1224" s="788"/>
      <c r="K1224" s="788"/>
      <c r="L1224" s="788"/>
      <c r="M1224" s="788"/>
      <c r="N1224" s="788"/>
      <c r="O1224" s="788"/>
      <c r="P1224" s="772"/>
      <c r="Q1224" s="774"/>
      <c r="R1224" s="774"/>
      <c r="S1224" s="774"/>
      <c r="T1224" s="774"/>
      <c r="U1224" s="774"/>
      <c r="V1224" s="774"/>
    </row>
    <row r="1225" spans="1:22" hidden="1">
      <c r="A1225" s="786">
        <v>1225</v>
      </c>
      <c r="B1225" s="767"/>
      <c r="C1225" s="781" t="s">
        <v>714</v>
      </c>
      <c r="D1225" s="767"/>
      <c r="E1225" s="767"/>
      <c r="F1225" s="806"/>
      <c r="H1225" s="817"/>
      <c r="I1225" s="817"/>
      <c r="J1225" s="817"/>
      <c r="K1225" s="817"/>
      <c r="L1225" s="819"/>
      <c r="M1225" s="817"/>
      <c r="N1225" s="817"/>
      <c r="O1225" s="817"/>
      <c r="P1225" s="772"/>
      <c r="R1225" s="774"/>
    </row>
    <row r="1226" spans="1:22" hidden="1">
      <c r="A1226" s="786">
        <v>1226</v>
      </c>
      <c r="B1226" s="767"/>
      <c r="C1226" s="767"/>
      <c r="D1226" s="767"/>
      <c r="E1226" s="767"/>
      <c r="F1226" s="806"/>
      <c r="G1226" s="778"/>
      <c r="H1226" s="810"/>
      <c r="I1226" s="810"/>
      <c r="J1226" s="810"/>
      <c r="K1226" s="810"/>
      <c r="L1226" s="810"/>
      <c r="M1226" s="810"/>
      <c r="N1226" s="810"/>
      <c r="O1226" s="810"/>
      <c r="P1226" s="772"/>
      <c r="R1226" s="774"/>
    </row>
    <row r="1227" spans="1:22" hidden="1">
      <c r="A1227" s="786">
        <v>1227</v>
      </c>
      <c r="B1227" s="767"/>
      <c r="C1227" s="777" t="s">
        <v>575</v>
      </c>
      <c r="D1227" s="767"/>
      <c r="E1227" s="777" t="s">
        <v>576</v>
      </c>
      <c r="F1227" s="806" t="s">
        <v>577</v>
      </c>
      <c r="G1227" s="778"/>
      <c r="H1227" s="777" t="s">
        <v>578</v>
      </c>
      <c r="I1227" s="777" t="s">
        <v>579</v>
      </c>
      <c r="J1227" s="777" t="s">
        <v>580</v>
      </c>
      <c r="K1227" s="777" t="s">
        <v>581</v>
      </c>
      <c r="L1227" s="777" t="s">
        <v>582</v>
      </c>
      <c r="M1227" s="777" t="s">
        <v>583</v>
      </c>
      <c r="N1227" s="777" t="s">
        <v>584</v>
      </c>
      <c r="O1227" s="777" t="s">
        <v>585</v>
      </c>
      <c r="P1227" s="772"/>
      <c r="R1227" s="774"/>
    </row>
    <row r="1228" spans="1:22" ht="38.25" hidden="1">
      <c r="A1228" s="786">
        <v>1228</v>
      </c>
      <c r="B1228" s="767"/>
      <c r="C1228" s="797" t="s">
        <v>656</v>
      </c>
      <c r="D1228" s="781"/>
      <c r="E1228" s="782" t="s">
        <v>587</v>
      </c>
      <c r="F1228" s="806" t="s">
        <v>1391</v>
      </c>
      <c r="G1228" s="783"/>
      <c r="H1228" s="829" t="s">
        <v>588</v>
      </c>
      <c r="I1228" s="829" t="s">
        <v>589</v>
      </c>
      <c r="J1228" s="829" t="s">
        <v>590</v>
      </c>
      <c r="K1228" s="829" t="s">
        <v>591</v>
      </c>
      <c r="L1228" s="829" t="s">
        <v>592</v>
      </c>
      <c r="M1228" s="829" t="s">
        <v>593</v>
      </c>
      <c r="N1228" s="829" t="s">
        <v>594</v>
      </c>
      <c r="O1228" s="829" t="s">
        <v>595</v>
      </c>
      <c r="P1228" s="772"/>
      <c r="R1228" s="774"/>
    </row>
    <row r="1229" spans="1:22" hidden="1">
      <c r="A1229" s="786">
        <v>1229</v>
      </c>
      <c r="B1229" s="767"/>
      <c r="F1229" s="806"/>
      <c r="H1229" s="813"/>
      <c r="I1229" s="813"/>
      <c r="J1229" s="813"/>
      <c r="K1229" s="813"/>
      <c r="L1229" s="813"/>
      <c r="M1229" s="813"/>
      <c r="N1229" s="813"/>
      <c r="O1229" s="813"/>
      <c r="P1229" s="772"/>
      <c r="R1229" s="774"/>
    </row>
    <row r="1230" spans="1:22" hidden="1">
      <c r="A1230" s="786">
        <v>1230</v>
      </c>
      <c r="B1230" s="767"/>
      <c r="C1230" s="764" t="s">
        <v>1292</v>
      </c>
      <c r="D1230" s="767" t="s">
        <v>628</v>
      </c>
      <c r="E1230" s="767"/>
      <c r="F1230" s="806" t="s">
        <v>1435</v>
      </c>
      <c r="G1230" s="778"/>
      <c r="H1230" s="815">
        <v>-2829106.1541666668</v>
      </c>
      <c r="I1230" s="815">
        <v>-2146221.9351850785</v>
      </c>
      <c r="J1230" s="815">
        <v>-312193.1450698041</v>
      </c>
      <c r="K1230" s="815">
        <v>-203626.28617497726</v>
      </c>
      <c r="L1230" s="815">
        <v>-47613.321431950346</v>
      </c>
      <c r="M1230" s="815">
        <v>0</v>
      </c>
      <c r="N1230" s="815">
        <v>-118377.18085117653</v>
      </c>
      <c r="O1230" s="815">
        <v>-1074.2854536802402</v>
      </c>
      <c r="P1230" s="772">
        <v>0</v>
      </c>
      <c r="Q1230" s="774"/>
      <c r="R1230" s="774">
        <v>1931</v>
      </c>
      <c r="S1230" s="774"/>
      <c r="T1230" s="774"/>
      <c r="U1230" s="774"/>
      <c r="V1230" s="774"/>
    </row>
    <row r="1231" spans="1:22" hidden="1">
      <c r="A1231" s="786">
        <v>1231</v>
      </c>
      <c r="B1231" s="767"/>
      <c r="C1231" s="764"/>
      <c r="D1231" s="767"/>
      <c r="E1231" s="767"/>
      <c r="F1231" s="806"/>
      <c r="G1231" s="778"/>
      <c r="H1231" s="788"/>
      <c r="I1231" s="788"/>
      <c r="J1231" s="788"/>
      <c r="K1231" s="788"/>
      <c r="L1231" s="788"/>
      <c r="M1231" s="788"/>
      <c r="N1231" s="788"/>
      <c r="O1231" s="788"/>
      <c r="P1231" s="772"/>
      <c r="R1231" s="774"/>
    </row>
    <row r="1232" spans="1:22" hidden="1">
      <c r="A1232" s="786">
        <v>1232</v>
      </c>
      <c r="B1232" s="767"/>
      <c r="C1232" s="764" t="s">
        <v>1293</v>
      </c>
      <c r="D1232" s="767" t="s">
        <v>1294</v>
      </c>
      <c r="E1232" s="767"/>
      <c r="F1232" s="806" t="s">
        <v>1411</v>
      </c>
      <c r="G1232" s="778"/>
      <c r="H1232" s="815">
        <v>0</v>
      </c>
      <c r="I1232" s="815">
        <v>0</v>
      </c>
      <c r="J1232" s="815">
        <v>0</v>
      </c>
      <c r="K1232" s="815">
        <v>0</v>
      </c>
      <c r="L1232" s="815">
        <v>0</v>
      </c>
      <c r="M1232" s="815">
        <v>0</v>
      </c>
      <c r="N1232" s="815">
        <v>0</v>
      </c>
      <c r="O1232" s="815">
        <v>0</v>
      </c>
      <c r="P1232" s="772">
        <v>0</v>
      </c>
      <c r="Q1232" s="774"/>
      <c r="R1232" s="774">
        <v>1935</v>
      </c>
      <c r="S1232" s="774"/>
      <c r="T1232" s="774"/>
      <c r="U1232" s="774"/>
      <c r="V1232" s="774"/>
    </row>
    <row r="1233" spans="1:22" hidden="1">
      <c r="A1233" s="786">
        <v>1233</v>
      </c>
      <c r="B1233" s="767"/>
      <c r="C1233" s="764"/>
      <c r="D1233" s="767"/>
      <c r="E1233" s="767"/>
      <c r="F1233" s="806"/>
      <c r="G1233" s="778"/>
      <c r="H1233" s="788"/>
      <c r="I1233" s="788"/>
      <c r="J1233" s="788"/>
      <c r="K1233" s="788"/>
      <c r="L1233" s="788"/>
      <c r="M1233" s="788"/>
      <c r="N1233" s="788"/>
      <c r="O1233" s="788"/>
      <c r="P1233" s="772"/>
      <c r="R1233" s="774"/>
    </row>
    <row r="1234" spans="1:22" hidden="1">
      <c r="A1234" s="786">
        <v>1234</v>
      </c>
      <c r="B1234" s="767"/>
      <c r="C1234" s="764" t="s">
        <v>1295</v>
      </c>
      <c r="D1234" s="767" t="s">
        <v>1296</v>
      </c>
      <c r="E1234" s="767"/>
      <c r="F1234" s="806" t="s">
        <v>1411</v>
      </c>
      <c r="G1234" s="778"/>
      <c r="H1234" s="815">
        <v>0</v>
      </c>
      <c r="I1234" s="815">
        <v>0</v>
      </c>
      <c r="J1234" s="815">
        <v>0</v>
      </c>
      <c r="K1234" s="815">
        <v>0</v>
      </c>
      <c r="L1234" s="815">
        <v>0</v>
      </c>
      <c r="M1234" s="815">
        <v>0</v>
      </c>
      <c r="N1234" s="815">
        <v>0</v>
      </c>
      <c r="O1234" s="815">
        <v>0</v>
      </c>
      <c r="P1234" s="772">
        <v>0</v>
      </c>
      <c r="Q1234" s="774"/>
      <c r="R1234" s="774">
        <v>1939</v>
      </c>
      <c r="S1234" s="774"/>
      <c r="T1234" s="774"/>
      <c r="U1234" s="774"/>
      <c r="V1234" s="774"/>
    </row>
    <row r="1235" spans="1:22" hidden="1">
      <c r="A1235" s="786">
        <v>1235</v>
      </c>
      <c r="B1235" s="767"/>
      <c r="C1235" s="764"/>
      <c r="D1235" s="767"/>
      <c r="E1235" s="767"/>
      <c r="F1235" s="806"/>
      <c r="G1235" s="778"/>
      <c r="H1235" s="788"/>
      <c r="I1235" s="788"/>
      <c r="J1235" s="788"/>
      <c r="K1235" s="788"/>
      <c r="L1235" s="788"/>
      <c r="M1235" s="788"/>
      <c r="N1235" s="788"/>
      <c r="O1235" s="788"/>
      <c r="P1235" s="772"/>
      <c r="R1235" s="774"/>
    </row>
    <row r="1236" spans="1:22" hidden="1">
      <c r="A1236" s="786">
        <v>1236</v>
      </c>
      <c r="B1236" s="767"/>
      <c r="C1236" s="835" t="s">
        <v>1297</v>
      </c>
      <c r="D1236" s="767" t="s">
        <v>1298</v>
      </c>
      <c r="E1236" s="767"/>
      <c r="F1236" s="806" t="s">
        <v>1411</v>
      </c>
      <c r="G1236" s="778"/>
      <c r="H1236" s="815">
        <v>0</v>
      </c>
      <c r="I1236" s="815">
        <v>0</v>
      </c>
      <c r="J1236" s="815">
        <v>0</v>
      </c>
      <c r="K1236" s="815">
        <v>0</v>
      </c>
      <c r="L1236" s="815">
        <v>0</v>
      </c>
      <c r="M1236" s="815">
        <v>0</v>
      </c>
      <c r="N1236" s="815">
        <v>0</v>
      </c>
      <c r="O1236" s="815">
        <v>0</v>
      </c>
      <c r="P1236" s="772">
        <v>0</v>
      </c>
      <c r="Q1236" s="774"/>
      <c r="R1236" s="774">
        <v>1944</v>
      </c>
      <c r="S1236" s="774"/>
      <c r="T1236" s="774"/>
      <c r="U1236" s="774"/>
      <c r="V1236" s="774"/>
    </row>
    <row r="1237" spans="1:22" hidden="1">
      <c r="A1237" s="786">
        <v>1237</v>
      </c>
      <c r="B1237" s="767"/>
      <c r="C1237" s="764"/>
      <c r="D1237" s="767"/>
      <c r="E1237" s="767"/>
      <c r="F1237" s="806"/>
      <c r="G1237" s="778"/>
      <c r="H1237" s="788"/>
      <c r="I1237" s="788"/>
      <c r="J1237" s="788"/>
      <c r="K1237" s="788"/>
      <c r="L1237" s="788"/>
      <c r="M1237" s="788"/>
      <c r="N1237" s="788"/>
      <c r="O1237" s="788"/>
      <c r="P1237" s="772"/>
      <c r="R1237" s="774"/>
    </row>
    <row r="1238" spans="1:22" hidden="1">
      <c r="A1238" s="786">
        <v>1238</v>
      </c>
      <c r="B1238" s="767"/>
      <c r="C1238" s="764">
        <v>254</v>
      </c>
      <c r="D1238" s="767" t="s">
        <v>1299</v>
      </c>
      <c r="E1238" s="767"/>
      <c r="F1238" s="806" t="s">
        <v>1392</v>
      </c>
      <c r="G1238" s="778"/>
      <c r="H1238" s="815">
        <v>-47166826.187262908</v>
      </c>
      <c r="I1238" s="815">
        <v>-19727512.108375221</v>
      </c>
      <c r="J1238" s="815">
        <v>-6303214.7684369963</v>
      </c>
      <c r="K1238" s="815">
        <v>-10696667.760965861</v>
      </c>
      <c r="L1238" s="815">
        <v>-4360548.2694964595</v>
      </c>
      <c r="M1238" s="815">
        <v>-4123891.0160448365</v>
      </c>
      <c r="N1238" s="815">
        <v>-1879088.4955235901</v>
      </c>
      <c r="O1238" s="815">
        <v>-75903.768419946282</v>
      </c>
      <c r="P1238" s="772">
        <v>0</v>
      </c>
      <c r="Q1238" s="774"/>
      <c r="R1238" s="774">
        <v>1950</v>
      </c>
      <c r="S1238" s="774"/>
      <c r="T1238" s="774"/>
      <c r="U1238" s="774"/>
      <c r="V1238" s="774"/>
    </row>
    <row r="1239" spans="1:22" hidden="1">
      <c r="A1239" s="786">
        <v>1239</v>
      </c>
      <c r="B1239" s="767"/>
      <c r="C1239" s="764"/>
      <c r="D1239" s="767"/>
      <c r="E1239" s="767"/>
      <c r="F1239" s="806"/>
      <c r="G1239" s="778"/>
      <c r="H1239" s="788"/>
      <c r="I1239" s="788"/>
      <c r="J1239" s="788"/>
      <c r="K1239" s="788"/>
      <c r="L1239" s="788"/>
      <c r="M1239" s="788"/>
      <c r="N1239" s="788"/>
      <c r="O1239" s="788"/>
      <c r="P1239" s="772"/>
      <c r="R1239" s="774"/>
    </row>
    <row r="1240" spans="1:22" hidden="1">
      <c r="A1240" s="786">
        <v>1240</v>
      </c>
      <c r="B1240" s="767"/>
      <c r="C1240" s="835" t="s">
        <v>1300</v>
      </c>
      <c r="D1240" s="820" t="s">
        <v>1301</v>
      </c>
      <c r="E1240" s="767"/>
      <c r="F1240" s="806" t="s">
        <v>1392</v>
      </c>
      <c r="G1240" s="778"/>
      <c r="H1240" s="815">
        <v>-123389.23719499439</v>
      </c>
      <c r="I1240" s="815">
        <v>-51607.514593906759</v>
      </c>
      <c r="J1240" s="815">
        <v>-16489.319401433251</v>
      </c>
      <c r="K1240" s="815">
        <v>-27982.668800180669</v>
      </c>
      <c r="L1240" s="815">
        <v>-11407.270071320092</v>
      </c>
      <c r="M1240" s="815">
        <v>-10788.170582536943</v>
      </c>
      <c r="N1240" s="815">
        <v>-4915.7281680139313</v>
      </c>
      <c r="O1240" s="815">
        <v>-198.56557760275643</v>
      </c>
      <c r="P1240" s="772">
        <v>0</v>
      </c>
      <c r="Q1240" s="774"/>
      <c r="R1240" s="774">
        <v>1954</v>
      </c>
      <c r="S1240" s="774"/>
      <c r="T1240" s="774"/>
      <c r="U1240" s="774"/>
      <c r="V1240" s="774"/>
    </row>
    <row r="1241" spans="1:22" hidden="1">
      <c r="A1241" s="786">
        <v>1241</v>
      </c>
      <c r="B1241" s="767"/>
      <c r="C1241" s="764"/>
      <c r="D1241" s="767"/>
      <c r="E1241" s="767"/>
      <c r="F1241" s="806"/>
      <c r="G1241" s="778"/>
      <c r="H1241" s="788"/>
      <c r="I1241" s="788"/>
      <c r="J1241" s="788"/>
      <c r="K1241" s="788"/>
      <c r="L1241" s="788"/>
      <c r="M1241" s="788"/>
      <c r="N1241" s="788"/>
      <c r="O1241" s="788"/>
      <c r="P1241" s="772"/>
      <c r="R1241" s="774"/>
    </row>
    <row r="1242" spans="1:22" hidden="1">
      <c r="A1242" s="786">
        <v>1242</v>
      </c>
      <c r="B1242" s="767"/>
      <c r="C1242" s="764"/>
      <c r="D1242" s="767"/>
      <c r="E1242" s="767"/>
      <c r="F1242" s="806"/>
      <c r="G1242" s="778"/>
      <c r="H1242" s="788"/>
      <c r="I1242" s="788"/>
      <c r="J1242" s="788"/>
      <c r="K1242" s="788"/>
      <c r="L1242" s="788"/>
      <c r="M1242" s="788"/>
      <c r="N1242" s="788"/>
      <c r="O1242" s="788"/>
      <c r="P1242" s="772"/>
      <c r="R1242" s="774"/>
    </row>
    <row r="1243" spans="1:22" hidden="1">
      <c r="A1243" s="786">
        <v>1243</v>
      </c>
      <c r="B1243" s="767"/>
      <c r="C1243" s="764" t="s">
        <v>1302</v>
      </c>
      <c r="D1243" s="767" t="s">
        <v>1303</v>
      </c>
      <c r="E1243" s="767"/>
      <c r="F1243" s="806" t="s">
        <v>1392</v>
      </c>
      <c r="G1243" s="778"/>
      <c r="H1243" s="815">
        <v>0</v>
      </c>
      <c r="I1243" s="815">
        <v>0</v>
      </c>
      <c r="J1243" s="815">
        <v>0</v>
      </c>
      <c r="K1243" s="815">
        <v>0</v>
      </c>
      <c r="L1243" s="815">
        <v>0</v>
      </c>
      <c r="M1243" s="815">
        <v>0</v>
      </c>
      <c r="N1243" s="815">
        <v>0</v>
      </c>
      <c r="O1243" s="815">
        <v>0</v>
      </c>
      <c r="P1243" s="772">
        <v>0</v>
      </c>
      <c r="Q1243" s="774"/>
      <c r="R1243" s="774">
        <v>1959</v>
      </c>
      <c r="S1243" s="774"/>
      <c r="T1243" s="774"/>
      <c r="U1243" s="774"/>
      <c r="V1243" s="774"/>
    </row>
    <row r="1244" spans="1:22" hidden="1">
      <c r="A1244" s="786">
        <v>1244</v>
      </c>
      <c r="B1244" s="767"/>
      <c r="C1244" s="764"/>
      <c r="D1244" s="767"/>
      <c r="E1244" s="767"/>
      <c r="F1244" s="806"/>
      <c r="G1244" s="778"/>
      <c r="H1244" s="810"/>
      <c r="I1244" s="810"/>
      <c r="J1244" s="810"/>
      <c r="K1244" s="810"/>
      <c r="L1244" s="810"/>
      <c r="M1244" s="810"/>
      <c r="N1244" s="810"/>
      <c r="O1244" s="810"/>
      <c r="P1244" s="772"/>
      <c r="R1244" s="774"/>
    </row>
    <row r="1245" spans="1:22" hidden="1">
      <c r="A1245" s="786">
        <v>1245</v>
      </c>
      <c r="B1245" s="767"/>
      <c r="C1245" s="764" t="s">
        <v>1304</v>
      </c>
      <c r="D1245" s="767" t="s">
        <v>1305</v>
      </c>
      <c r="E1245" s="767"/>
      <c r="F1245" s="806" t="s">
        <v>1436</v>
      </c>
      <c r="G1245" s="778"/>
      <c r="H1245" s="815">
        <v>-2479813.3255259153</v>
      </c>
      <c r="I1245" s="815">
        <v>-1008690.5233405686</v>
      </c>
      <c r="J1245" s="815">
        <v>-1401465.3432780139</v>
      </c>
      <c r="K1245" s="815">
        <v>-50326.843745292994</v>
      </c>
      <c r="L1245" s="815">
        <v>0</v>
      </c>
      <c r="M1245" s="815">
        <v>0</v>
      </c>
      <c r="N1245" s="815">
        <v>-19330.615162039812</v>
      </c>
      <c r="O1245" s="815">
        <v>0</v>
      </c>
      <c r="P1245" s="772">
        <v>0</v>
      </c>
      <c r="Q1245" s="774"/>
      <c r="R1245" s="774">
        <v>1967</v>
      </c>
      <c r="S1245" s="774"/>
      <c r="T1245" s="774"/>
      <c r="U1245" s="774"/>
      <c r="V1245" s="774"/>
    </row>
    <row r="1246" spans="1:22" hidden="1">
      <c r="A1246" s="786">
        <v>1246</v>
      </c>
      <c r="B1246" s="767"/>
      <c r="C1246" s="764"/>
      <c r="D1246" s="767"/>
      <c r="E1246" s="767"/>
      <c r="F1246" s="806"/>
      <c r="G1246" s="778"/>
      <c r="H1246" s="815"/>
      <c r="I1246" s="815"/>
      <c r="J1246" s="815"/>
      <c r="K1246" s="815"/>
      <c r="L1246" s="815"/>
      <c r="M1246" s="815"/>
      <c r="N1246" s="815"/>
      <c r="O1246" s="815"/>
      <c r="P1246" s="772"/>
      <c r="Q1246" s="774"/>
      <c r="R1246" s="774"/>
      <c r="S1246" s="774"/>
      <c r="T1246" s="774"/>
      <c r="U1246" s="774"/>
      <c r="V1246" s="774"/>
    </row>
    <row r="1247" spans="1:22" hidden="1">
      <c r="A1247" s="786">
        <v>1247</v>
      </c>
      <c r="B1247" s="767"/>
      <c r="C1247" s="836" t="s">
        <v>1306</v>
      </c>
      <c r="D1247" s="820" t="s">
        <v>1307</v>
      </c>
      <c r="E1247" s="767"/>
      <c r="F1247" s="806" t="s">
        <v>1392</v>
      </c>
      <c r="G1247" s="778"/>
      <c r="H1247" s="815">
        <v>0</v>
      </c>
      <c r="I1247" s="815">
        <v>0</v>
      </c>
      <c r="J1247" s="815">
        <v>0</v>
      </c>
      <c r="K1247" s="815">
        <v>0</v>
      </c>
      <c r="L1247" s="815">
        <v>0</v>
      </c>
      <c r="M1247" s="815">
        <v>0</v>
      </c>
      <c r="N1247" s="815">
        <v>0</v>
      </c>
      <c r="O1247" s="815">
        <v>0</v>
      </c>
      <c r="P1247" s="772">
        <v>0</v>
      </c>
      <c r="Q1247" s="774"/>
      <c r="R1247" s="774">
        <v>1970</v>
      </c>
      <c r="S1247" s="774"/>
      <c r="T1247" s="774"/>
      <c r="U1247" s="774"/>
      <c r="V1247" s="774"/>
    </row>
    <row r="1248" spans="1:22" hidden="1">
      <c r="A1248" s="786">
        <v>1248</v>
      </c>
      <c r="B1248" s="767"/>
      <c r="C1248" s="764"/>
      <c r="D1248" s="767"/>
      <c r="E1248" s="767"/>
      <c r="F1248" s="806"/>
      <c r="G1248" s="778"/>
      <c r="H1248" s="788"/>
      <c r="I1248" s="788"/>
      <c r="J1248" s="788"/>
      <c r="K1248" s="788"/>
      <c r="L1248" s="788"/>
      <c r="M1248" s="788"/>
      <c r="N1248" s="788"/>
      <c r="O1248" s="788"/>
      <c r="P1248" s="772"/>
      <c r="R1248" s="774"/>
    </row>
    <row r="1249" spans="1:22" hidden="1">
      <c r="A1249" s="786">
        <v>1249</v>
      </c>
      <c r="B1249" s="767"/>
      <c r="C1249" s="836" t="s">
        <v>1308</v>
      </c>
      <c r="D1249" s="767" t="s">
        <v>1309</v>
      </c>
      <c r="E1249" s="767"/>
      <c r="F1249" s="806" t="s">
        <v>1392</v>
      </c>
      <c r="G1249" s="778"/>
      <c r="H1249" s="815">
        <v>-4665450.8070485806</v>
      </c>
      <c r="I1249" s="815">
        <v>-1951323.5196633604</v>
      </c>
      <c r="J1249" s="815">
        <v>-623475.03119355906</v>
      </c>
      <c r="K1249" s="815">
        <v>-1058048.2358510944</v>
      </c>
      <c r="L1249" s="815">
        <v>-431318.47290989209</v>
      </c>
      <c r="M1249" s="815">
        <v>-407909.80068492203</v>
      </c>
      <c r="N1249" s="815">
        <v>-185867.81529777072</v>
      </c>
      <c r="O1249" s="815">
        <v>-7507.9314479823142</v>
      </c>
      <c r="P1249" s="772">
        <v>0</v>
      </c>
      <c r="Q1249" s="774"/>
      <c r="R1249" s="774">
        <v>1979</v>
      </c>
      <c r="S1249" s="774"/>
      <c r="T1249" s="774"/>
      <c r="U1249" s="774"/>
      <c r="V1249" s="774"/>
    </row>
    <row r="1250" spans="1:22" hidden="1">
      <c r="A1250" s="786">
        <v>1250</v>
      </c>
      <c r="B1250" s="767"/>
      <c r="C1250" s="764"/>
      <c r="D1250" s="767"/>
      <c r="E1250" s="767"/>
      <c r="F1250" s="806"/>
      <c r="G1250" s="778"/>
      <c r="H1250" s="788"/>
      <c r="I1250" s="788"/>
      <c r="J1250" s="788"/>
      <c r="K1250" s="788"/>
      <c r="L1250" s="788"/>
      <c r="M1250" s="788"/>
      <c r="N1250" s="788"/>
      <c r="O1250" s="788"/>
      <c r="P1250" s="772"/>
      <c r="R1250" s="774"/>
    </row>
    <row r="1251" spans="1:22" hidden="1">
      <c r="A1251" s="786">
        <v>1251</v>
      </c>
      <c r="B1251" s="767"/>
      <c r="C1251" s="764" t="s">
        <v>1310</v>
      </c>
      <c r="D1251" s="767" t="s">
        <v>625</v>
      </c>
      <c r="E1251" s="767"/>
      <c r="F1251" s="806" t="s">
        <v>1437</v>
      </c>
      <c r="G1251" s="778"/>
      <c r="H1251" s="815">
        <v>8860708.5999999996</v>
      </c>
      <c r="I1251" s="815">
        <v>3705908.9835661389</v>
      </c>
      <c r="J1251" s="815">
        <v>1184098.260345239</v>
      </c>
      <c r="K1251" s="815">
        <v>2009512.8065244432</v>
      </c>
      <c r="L1251" s="815">
        <v>819190.20866956294</v>
      </c>
      <c r="M1251" s="815">
        <v>774748.4072878916</v>
      </c>
      <c r="N1251" s="815">
        <v>352995.66729520197</v>
      </c>
      <c r="O1251" s="815">
        <v>14254.266311519352</v>
      </c>
      <c r="P1251" s="772">
        <v>0</v>
      </c>
      <c r="Q1251" s="774"/>
      <c r="R1251" s="774">
        <v>1982</v>
      </c>
      <c r="S1251" s="774"/>
      <c r="T1251" s="774"/>
      <c r="U1251" s="774"/>
      <c r="V1251" s="774"/>
    </row>
    <row r="1252" spans="1:22" hidden="1">
      <c r="A1252" s="786">
        <v>1252</v>
      </c>
      <c r="B1252" s="767"/>
      <c r="C1252" s="764"/>
      <c r="D1252" s="767"/>
      <c r="E1252" s="767" t="s">
        <v>1017</v>
      </c>
      <c r="F1252" s="806" t="s">
        <v>1437</v>
      </c>
      <c r="G1252" s="778"/>
      <c r="H1252" s="815">
        <v>596327.57926729182</v>
      </c>
      <c r="I1252" s="815">
        <v>249408.46527273289</v>
      </c>
      <c r="J1252" s="815">
        <v>79690.065555963316</v>
      </c>
      <c r="K1252" s="815">
        <v>135240.64062115111</v>
      </c>
      <c r="L1252" s="815">
        <v>55131.675822787824</v>
      </c>
      <c r="M1252" s="815">
        <v>52140.733107866603</v>
      </c>
      <c r="N1252" s="815">
        <v>23756.683722788282</v>
      </c>
      <c r="O1252" s="815">
        <v>959.315164001629</v>
      </c>
      <c r="P1252" s="772">
        <v>0</v>
      </c>
      <c r="R1252" s="774">
        <v>1983</v>
      </c>
    </row>
    <row r="1253" spans="1:22" hidden="1">
      <c r="A1253" s="786">
        <v>1253</v>
      </c>
      <c r="B1253" s="767"/>
      <c r="C1253" s="764"/>
      <c r="D1253" s="767"/>
      <c r="E1253" s="767" t="s">
        <v>1311</v>
      </c>
      <c r="F1253" s="806" t="s">
        <v>1412</v>
      </c>
      <c r="G1253" s="778"/>
      <c r="H1253" s="815">
        <v>932328.12359469128</v>
      </c>
      <c r="I1253" s="815">
        <v>475074.11707359279</v>
      </c>
      <c r="J1253" s="815">
        <v>128186.61512258381</v>
      </c>
      <c r="K1253" s="815">
        <v>167119.29796965528</v>
      </c>
      <c r="L1253" s="815">
        <v>67626.176328977381</v>
      </c>
      <c r="M1253" s="815">
        <v>52076.340766047913</v>
      </c>
      <c r="N1253" s="815">
        <v>35535.347540217917</v>
      </c>
      <c r="O1253" s="815">
        <v>6710.2287936160246</v>
      </c>
      <c r="P1253" s="772">
        <v>0</v>
      </c>
      <c r="R1253" s="774">
        <v>1984</v>
      </c>
    </row>
    <row r="1254" spans="1:22" hidden="1">
      <c r="A1254" s="786">
        <v>1254</v>
      </c>
      <c r="B1254" s="767"/>
      <c r="C1254" s="764"/>
      <c r="D1254" s="767"/>
      <c r="E1254" s="767" t="s">
        <v>1003</v>
      </c>
      <c r="F1254" s="806" t="s">
        <v>1437</v>
      </c>
      <c r="G1254" s="778"/>
      <c r="H1254" s="815">
        <v>0</v>
      </c>
      <c r="I1254" s="815">
        <v>0</v>
      </c>
      <c r="J1254" s="815">
        <v>0</v>
      </c>
      <c r="K1254" s="815">
        <v>0</v>
      </c>
      <c r="L1254" s="815">
        <v>0</v>
      </c>
      <c r="M1254" s="815">
        <v>0</v>
      </c>
      <c r="N1254" s="815">
        <v>0</v>
      </c>
      <c r="O1254" s="815">
        <v>0</v>
      </c>
      <c r="P1254" s="772">
        <v>0</v>
      </c>
      <c r="R1254" s="774">
        <v>1985</v>
      </c>
    </row>
    <row r="1255" spans="1:22" hidden="1">
      <c r="A1255" s="786">
        <v>1255</v>
      </c>
      <c r="B1255" s="767"/>
      <c r="C1255" s="764"/>
      <c r="D1255" s="767"/>
      <c r="E1255" s="767" t="s">
        <v>1312</v>
      </c>
      <c r="F1255" s="806" t="s">
        <v>1410</v>
      </c>
      <c r="G1255" s="778"/>
      <c r="H1255" s="815">
        <v>318772.08093302697</v>
      </c>
      <c r="I1255" s="815">
        <v>259920.70618303178</v>
      </c>
      <c r="J1255" s="815">
        <v>45114.985065343782</v>
      </c>
      <c r="K1255" s="815">
        <v>2625.7943048363472</v>
      </c>
      <c r="L1255" s="815">
        <v>671.79910736121258</v>
      </c>
      <c r="M1255" s="815">
        <v>10.419161340815418</v>
      </c>
      <c r="N1255" s="815">
        <v>4415.4311196017688</v>
      </c>
      <c r="O1255" s="815">
        <v>6012.9459915112147</v>
      </c>
      <c r="P1255" s="772">
        <v>0</v>
      </c>
      <c r="R1255" s="774">
        <v>1986</v>
      </c>
    </row>
    <row r="1256" spans="1:22" hidden="1">
      <c r="A1256" s="786">
        <v>1256</v>
      </c>
      <c r="E1256" s="767" t="s">
        <v>718</v>
      </c>
      <c r="F1256" s="806" t="s">
        <v>1437</v>
      </c>
      <c r="H1256" s="815">
        <v>746898.84270969837</v>
      </c>
      <c r="I1256" s="815">
        <v>312383.49617016228</v>
      </c>
      <c r="J1256" s="815">
        <v>99811.613295400122</v>
      </c>
      <c r="K1256" s="815">
        <v>169388.57346052714</v>
      </c>
      <c r="L1256" s="815">
        <v>69052.289882821889</v>
      </c>
      <c r="M1256" s="815">
        <v>65306.141406626142</v>
      </c>
      <c r="N1256" s="815">
        <v>29755.188584389751</v>
      </c>
      <c r="O1256" s="815">
        <v>1201.5399097708332</v>
      </c>
      <c r="P1256" s="772">
        <v>0</v>
      </c>
      <c r="R1256" s="774">
        <v>1987</v>
      </c>
    </row>
    <row r="1257" spans="1:22" hidden="1">
      <c r="A1257" s="786">
        <v>1257</v>
      </c>
      <c r="E1257" s="767" t="s">
        <v>723</v>
      </c>
      <c r="F1257" s="806" t="s">
        <v>1437</v>
      </c>
      <c r="H1257" s="815">
        <v>-2793885.9394330932</v>
      </c>
      <c r="I1257" s="815">
        <v>-1168516.8161386352</v>
      </c>
      <c r="J1257" s="815">
        <v>-373360.14870026871</v>
      </c>
      <c r="K1257" s="815">
        <v>-633623.09141498862</v>
      </c>
      <c r="L1257" s="815">
        <v>-258300.33567779823</v>
      </c>
      <c r="M1257" s="815">
        <v>-244287.31148204376</v>
      </c>
      <c r="N1257" s="815">
        <v>-111303.69771294217</v>
      </c>
      <c r="O1257" s="815">
        <v>-4494.5383064158932</v>
      </c>
      <c r="P1257" s="772">
        <v>0</v>
      </c>
      <c r="R1257" s="774">
        <v>1988</v>
      </c>
    </row>
    <row r="1258" spans="1:22" hidden="1">
      <c r="A1258" s="786">
        <v>1258</v>
      </c>
      <c r="E1258" s="767" t="s">
        <v>1313</v>
      </c>
      <c r="F1258" s="806" t="s">
        <v>1437</v>
      </c>
      <c r="H1258" s="815">
        <v>0</v>
      </c>
      <c r="I1258" s="815">
        <v>0</v>
      </c>
      <c r="J1258" s="815">
        <v>0</v>
      </c>
      <c r="K1258" s="815">
        <v>0</v>
      </c>
      <c r="L1258" s="815">
        <v>0</v>
      </c>
      <c r="M1258" s="815">
        <v>0</v>
      </c>
      <c r="N1258" s="815">
        <v>0</v>
      </c>
      <c r="O1258" s="815">
        <v>0</v>
      </c>
      <c r="P1258" s="772">
        <v>0</v>
      </c>
      <c r="R1258" s="774">
        <v>1989</v>
      </c>
    </row>
    <row r="1259" spans="1:22" hidden="1">
      <c r="A1259" s="786">
        <v>1259</v>
      </c>
      <c r="E1259" s="767" t="s">
        <v>1314</v>
      </c>
      <c r="F1259" s="806" t="s">
        <v>1437</v>
      </c>
      <c r="H1259" s="815">
        <v>51768.54307860745</v>
      </c>
      <c r="I1259" s="815">
        <v>21651.711789860918</v>
      </c>
      <c r="J1259" s="815">
        <v>6918.0744528701298</v>
      </c>
      <c r="K1259" s="815">
        <v>11740.545252957985</v>
      </c>
      <c r="L1259" s="815">
        <v>4786.1052113917494</v>
      </c>
      <c r="M1259" s="815">
        <v>4526.4547236962217</v>
      </c>
      <c r="N1259" s="815">
        <v>2062.3713332513212</v>
      </c>
      <c r="O1259" s="815">
        <v>83.280314579110808</v>
      </c>
      <c r="P1259" s="772">
        <v>0</v>
      </c>
      <c r="R1259" s="774">
        <v>1990</v>
      </c>
    </row>
    <row r="1260" spans="1:22" hidden="1">
      <c r="A1260" s="786">
        <v>1260</v>
      </c>
      <c r="E1260" s="767" t="s">
        <v>1315</v>
      </c>
      <c r="F1260" s="806" t="s">
        <v>1437</v>
      </c>
      <c r="H1260" s="828">
        <v>87655.737153907394</v>
      </c>
      <c r="I1260" s="828">
        <v>48870.345710936825</v>
      </c>
      <c r="J1260" s="828">
        <v>14724.196334420511</v>
      </c>
      <c r="K1260" s="828">
        <v>12216.966424771577</v>
      </c>
      <c r="L1260" s="828">
        <v>4563.9044478984488</v>
      </c>
      <c r="M1260" s="828">
        <v>1240.2448324435682</v>
      </c>
      <c r="N1260" s="828">
        <v>4999.4533125732169</v>
      </c>
      <c r="O1260" s="828">
        <v>1040.626090863223</v>
      </c>
      <c r="P1260" s="772">
        <v>0</v>
      </c>
      <c r="R1260" s="774">
        <v>1991</v>
      </c>
    </row>
    <row r="1261" spans="1:22" hidden="1">
      <c r="A1261" s="786">
        <v>1261</v>
      </c>
      <c r="B1261" s="767"/>
      <c r="C1261" s="764"/>
      <c r="D1261" s="767"/>
      <c r="E1261" s="767" t="s">
        <v>1316</v>
      </c>
      <c r="F1261" s="806"/>
      <c r="G1261" s="778"/>
      <c r="H1261" s="788">
        <v>8800573.5673041269</v>
      </c>
      <c r="I1261" s="788">
        <v>3904701.0096278214</v>
      </c>
      <c r="J1261" s="788">
        <v>1185183.6614715517</v>
      </c>
      <c r="K1261" s="788">
        <v>1874221.5331433541</v>
      </c>
      <c r="L1261" s="788">
        <v>762721.8237930031</v>
      </c>
      <c r="M1261" s="788">
        <v>705761.42980386899</v>
      </c>
      <c r="N1261" s="788">
        <v>342216.44519508205</v>
      </c>
      <c r="O1261" s="788">
        <v>25767.664269445497</v>
      </c>
      <c r="P1261" s="772">
        <v>0</v>
      </c>
      <c r="R1261" s="774"/>
    </row>
    <row r="1262" spans="1:22" hidden="1">
      <c r="A1262" s="786">
        <v>1262</v>
      </c>
      <c r="B1262" s="767"/>
      <c r="C1262" s="764"/>
      <c r="D1262" s="767"/>
      <c r="E1262" s="767"/>
      <c r="F1262" s="806"/>
      <c r="G1262" s="778"/>
      <c r="H1262" s="788"/>
      <c r="I1262" s="788"/>
      <c r="J1262" s="788"/>
      <c r="K1262" s="788"/>
      <c r="L1262" s="788"/>
      <c r="M1262" s="788"/>
      <c r="N1262" s="788"/>
      <c r="O1262" s="788"/>
      <c r="P1262" s="772"/>
      <c r="R1262" s="774"/>
    </row>
    <row r="1263" spans="1:22" hidden="1">
      <c r="A1263" s="786">
        <v>1263</v>
      </c>
      <c r="B1263" s="767"/>
      <c r="C1263" s="764" t="s">
        <v>1317</v>
      </c>
      <c r="D1263" s="767" t="s">
        <v>625</v>
      </c>
      <c r="E1263" s="767"/>
      <c r="F1263" s="806" t="s">
        <v>1437</v>
      </c>
      <c r="G1263" s="778"/>
      <c r="H1263" s="815">
        <v>-1.0414779292396379E-2</v>
      </c>
      <c r="I1263" s="815">
        <v>-4.4414134506882809E-3</v>
      </c>
      <c r="J1263" s="815">
        <v>-1.3889783733756346E-3</v>
      </c>
      <c r="K1263" s="815">
        <v>-2.3183656451265869E-3</v>
      </c>
      <c r="L1263" s="815">
        <v>-9.4332103768132139E-4</v>
      </c>
      <c r="M1263" s="815">
        <v>-9.0151140945504498E-4</v>
      </c>
      <c r="N1263" s="815">
        <v>-4.0580931313842944E-4</v>
      </c>
      <c r="O1263" s="815">
        <v>-1.5380062931079617E-5</v>
      </c>
      <c r="P1263" s="772">
        <v>0</v>
      </c>
      <c r="Q1263" s="774"/>
      <c r="R1263" s="774">
        <v>1998</v>
      </c>
      <c r="U1263" s="774"/>
      <c r="V1263" s="774"/>
    </row>
    <row r="1264" spans="1:22" hidden="1">
      <c r="A1264" s="786">
        <v>1264</v>
      </c>
      <c r="B1264" s="767"/>
      <c r="C1264" s="764"/>
      <c r="D1264" s="767"/>
      <c r="E1264" s="767"/>
      <c r="F1264" s="806"/>
      <c r="G1264" s="778"/>
      <c r="H1264" s="788"/>
      <c r="I1264" s="788"/>
      <c r="J1264" s="788"/>
      <c r="K1264" s="788"/>
      <c r="L1264" s="788"/>
      <c r="M1264" s="788"/>
      <c r="N1264" s="788"/>
      <c r="O1264" s="788"/>
      <c r="P1264" s="772"/>
      <c r="R1264" s="774"/>
    </row>
    <row r="1265" spans="1:22" hidden="1">
      <c r="A1265" s="786">
        <v>1265</v>
      </c>
      <c r="B1265" s="767"/>
      <c r="C1265" s="764" t="s">
        <v>1318</v>
      </c>
      <c r="D1265" s="767" t="s">
        <v>1319</v>
      </c>
      <c r="E1265" s="767"/>
      <c r="F1265" s="806" t="s">
        <v>1437</v>
      </c>
      <c r="G1265" s="778"/>
      <c r="H1265" s="815">
        <v>-247624661.31003326</v>
      </c>
      <c r="I1265" s="815">
        <v>-115358827.14812645</v>
      </c>
      <c r="J1265" s="815">
        <v>-35366529.380083486</v>
      </c>
      <c r="K1265" s="815">
        <v>-49012449.290709794</v>
      </c>
      <c r="L1265" s="815">
        <v>-19621784.879368857</v>
      </c>
      <c r="M1265" s="815">
        <v>-16373413.716567175</v>
      </c>
      <c r="N1265" s="815">
        <v>-10798964.219167225</v>
      </c>
      <c r="O1265" s="815">
        <v>-1092692.6760102352</v>
      </c>
      <c r="P1265" s="772">
        <v>0</v>
      </c>
      <c r="Q1265" s="774"/>
      <c r="R1265" s="774">
        <v>2001</v>
      </c>
      <c r="U1265" s="774"/>
      <c r="V1265" s="774"/>
    </row>
    <row r="1266" spans="1:22" hidden="1">
      <c r="A1266" s="786">
        <v>1266</v>
      </c>
      <c r="B1266" s="767"/>
      <c r="C1266" s="764"/>
      <c r="D1266" s="767"/>
      <c r="E1266" s="837" t="s">
        <v>1314</v>
      </c>
      <c r="F1266" s="806" t="s">
        <v>1437</v>
      </c>
      <c r="G1266" s="778"/>
      <c r="H1266" s="815">
        <v>0</v>
      </c>
      <c r="I1266" s="815">
        <v>0</v>
      </c>
      <c r="J1266" s="815">
        <v>0</v>
      </c>
      <c r="K1266" s="815">
        <v>0</v>
      </c>
      <c r="L1266" s="815">
        <v>0</v>
      </c>
      <c r="M1266" s="815">
        <v>0</v>
      </c>
      <c r="N1266" s="815">
        <v>0</v>
      </c>
      <c r="O1266" s="815">
        <v>0</v>
      </c>
      <c r="P1266" s="772">
        <v>0</v>
      </c>
      <c r="Q1266" s="774"/>
      <c r="R1266" s="774">
        <v>2002</v>
      </c>
      <c r="U1266" s="774"/>
      <c r="V1266" s="774"/>
    </row>
    <row r="1267" spans="1:22" hidden="1">
      <c r="A1267" s="786">
        <v>1267</v>
      </c>
      <c r="B1267" s="767"/>
      <c r="C1267" s="764"/>
      <c r="D1267" s="767"/>
      <c r="E1267" s="837" t="s">
        <v>719</v>
      </c>
      <c r="F1267" s="806" t="s">
        <v>1437</v>
      </c>
      <c r="G1267" s="778"/>
      <c r="H1267" s="815">
        <v>2106041.2169198859</v>
      </c>
      <c r="I1267" s="815">
        <v>880832.15664534655</v>
      </c>
      <c r="J1267" s="815">
        <v>281440.21587282617</v>
      </c>
      <c r="K1267" s="815">
        <v>477627.353242249</v>
      </c>
      <c r="L1267" s="815">
        <v>194707.71716330922</v>
      </c>
      <c r="M1267" s="815">
        <v>184144.64938970399</v>
      </c>
      <c r="N1267" s="815">
        <v>83901.125550820434</v>
      </c>
      <c r="O1267" s="815">
        <v>3387.9990556299699</v>
      </c>
      <c r="P1267" s="772">
        <v>0</v>
      </c>
      <c r="Q1267" s="774"/>
      <c r="R1267" s="774">
        <v>2003</v>
      </c>
      <c r="U1267" s="774"/>
      <c r="V1267" s="774"/>
    </row>
    <row r="1268" spans="1:22" hidden="1">
      <c r="A1268" s="786">
        <v>1268</v>
      </c>
      <c r="B1268" s="767"/>
      <c r="C1268" s="764"/>
      <c r="D1268" s="767"/>
      <c r="E1268" s="837" t="s">
        <v>1003</v>
      </c>
      <c r="F1268" s="806" t="s">
        <v>1437</v>
      </c>
      <c r="G1268" s="778"/>
      <c r="H1268" s="815">
        <v>0.41164354926701313</v>
      </c>
      <c r="I1268" s="815">
        <v>0.18963468377268</v>
      </c>
      <c r="J1268" s="815">
        <v>5.8456323505377869E-2</v>
      </c>
      <c r="K1268" s="815">
        <v>8.2754249322790394E-2</v>
      </c>
      <c r="L1268" s="815">
        <v>3.3183030480055102E-2</v>
      </c>
      <c r="M1268" s="815">
        <v>2.8090090434305385E-2</v>
      </c>
      <c r="N1268" s="815">
        <v>1.7847332634635473E-2</v>
      </c>
      <c r="O1268" s="815">
        <v>1.677839117168895E-3</v>
      </c>
      <c r="P1268" s="772">
        <v>0</v>
      </c>
      <c r="Q1268" s="774"/>
      <c r="R1268" s="774">
        <v>2004</v>
      </c>
      <c r="U1268" s="774"/>
      <c r="V1268" s="774"/>
    </row>
    <row r="1269" spans="1:22" hidden="1">
      <c r="A1269" s="786">
        <v>1269</v>
      </c>
      <c r="B1269" s="767"/>
      <c r="C1269" s="764"/>
      <c r="D1269" s="767"/>
      <c r="E1269" s="837" t="s">
        <v>718</v>
      </c>
      <c r="F1269" s="806" t="s">
        <v>1437</v>
      </c>
      <c r="G1269" s="778"/>
      <c r="H1269" s="815">
        <v>9086341.4768929966</v>
      </c>
      <c r="I1269" s="815">
        <v>3800277.8363535595</v>
      </c>
      <c r="J1269" s="815">
        <v>1214250.6453368512</v>
      </c>
      <c r="K1269" s="815">
        <v>2060683.9008643958</v>
      </c>
      <c r="L1269" s="815">
        <v>840050.41882303613</v>
      </c>
      <c r="M1269" s="815">
        <v>794476.9323862833</v>
      </c>
      <c r="N1269" s="815">
        <v>361984.50007800898</v>
      </c>
      <c r="O1269" s="815">
        <v>14617.24305085903</v>
      </c>
      <c r="P1269" s="772">
        <v>0</v>
      </c>
      <c r="Q1269" s="774"/>
      <c r="R1269" s="774">
        <v>2005</v>
      </c>
      <c r="U1269" s="774"/>
      <c r="V1269" s="774"/>
    </row>
    <row r="1270" spans="1:22" hidden="1">
      <c r="A1270" s="786">
        <v>1270</v>
      </c>
      <c r="B1270" s="767"/>
      <c r="C1270" s="764"/>
      <c r="D1270" s="767"/>
      <c r="E1270" s="837" t="s">
        <v>1320</v>
      </c>
      <c r="F1270" s="806" t="s">
        <v>1437</v>
      </c>
      <c r="G1270" s="778"/>
      <c r="H1270" s="815">
        <v>0</v>
      </c>
      <c r="I1270" s="815">
        <v>0</v>
      </c>
      <c r="J1270" s="815">
        <v>0</v>
      </c>
      <c r="K1270" s="815">
        <v>0</v>
      </c>
      <c r="L1270" s="815">
        <v>0</v>
      </c>
      <c r="M1270" s="815">
        <v>0</v>
      </c>
      <c r="N1270" s="815">
        <v>0</v>
      </c>
      <c r="O1270" s="815">
        <v>0</v>
      </c>
      <c r="P1270" s="772">
        <v>0</v>
      </c>
      <c r="Q1270" s="774"/>
      <c r="R1270" s="774">
        <v>2006</v>
      </c>
      <c r="U1270" s="774"/>
      <c r="V1270" s="774"/>
    </row>
    <row r="1271" spans="1:22" hidden="1">
      <c r="A1271" s="786">
        <v>1271</v>
      </c>
      <c r="B1271" s="767"/>
      <c r="C1271" s="764"/>
      <c r="D1271" s="767"/>
      <c r="E1271" s="837" t="s">
        <v>1315</v>
      </c>
      <c r="F1271" s="806" t="s">
        <v>1410</v>
      </c>
      <c r="G1271" s="778"/>
      <c r="H1271" s="815">
        <v>0</v>
      </c>
      <c r="I1271" s="815">
        <v>0</v>
      </c>
      <c r="J1271" s="815">
        <v>0</v>
      </c>
      <c r="K1271" s="815">
        <v>0</v>
      </c>
      <c r="L1271" s="815">
        <v>0</v>
      </c>
      <c r="M1271" s="815">
        <v>0</v>
      </c>
      <c r="N1271" s="815">
        <v>0</v>
      </c>
      <c r="O1271" s="815">
        <v>0</v>
      </c>
      <c r="P1271" s="772">
        <v>0</v>
      </c>
      <c r="Q1271" s="774"/>
      <c r="R1271" s="774">
        <v>2007</v>
      </c>
      <c r="U1271" s="774"/>
      <c r="V1271" s="774"/>
    </row>
    <row r="1272" spans="1:22" hidden="1">
      <c r="A1272" s="786">
        <v>1272</v>
      </c>
      <c r="B1272" s="767"/>
      <c r="C1272" s="764"/>
      <c r="D1272" s="767"/>
      <c r="E1272" s="764" t="s">
        <v>1005</v>
      </c>
      <c r="F1272" s="806" t="s">
        <v>1412</v>
      </c>
      <c r="G1272" s="778"/>
      <c r="H1272" s="815">
        <v>-236184.00743269268</v>
      </c>
      <c r="I1272" s="815">
        <v>-120349.16244440989</v>
      </c>
      <c r="J1272" s="815">
        <v>-32473.1472672444</v>
      </c>
      <c r="K1272" s="815">
        <v>-42335.852062069222</v>
      </c>
      <c r="L1272" s="815">
        <v>-17131.545137934019</v>
      </c>
      <c r="M1272" s="815">
        <v>-13192.349928406398</v>
      </c>
      <c r="N1272" s="815">
        <v>-9002.0675931157093</v>
      </c>
      <c r="O1272" s="815">
        <v>-1699.8829995130052</v>
      </c>
      <c r="P1272" s="772">
        <v>0</v>
      </c>
      <c r="R1272" s="774">
        <v>2008</v>
      </c>
    </row>
    <row r="1273" spans="1:22" hidden="1">
      <c r="A1273" s="786">
        <v>1273</v>
      </c>
      <c r="B1273" s="767"/>
      <c r="C1273" s="764"/>
      <c r="D1273" s="767"/>
      <c r="E1273" s="837" t="s">
        <v>723</v>
      </c>
      <c r="F1273" s="806" t="s">
        <v>1437</v>
      </c>
      <c r="G1273" s="778"/>
      <c r="H1273" s="815">
        <v>-1813370.8336466833</v>
      </c>
      <c r="I1273" s="815">
        <v>-844779.88358434069</v>
      </c>
      <c r="J1273" s="815">
        <v>-258991.29967857283</v>
      </c>
      <c r="K1273" s="815">
        <v>-358921.22197830165</v>
      </c>
      <c r="L1273" s="815">
        <v>-143691.55404835803</v>
      </c>
      <c r="M1273" s="815">
        <v>-119903.52949409741</v>
      </c>
      <c r="N1273" s="815">
        <v>-79081.488269514826</v>
      </c>
      <c r="O1273" s="815">
        <v>-8001.8565934976223</v>
      </c>
      <c r="P1273" s="772">
        <v>0</v>
      </c>
      <c r="R1273" s="774">
        <v>2009</v>
      </c>
    </row>
    <row r="1274" spans="1:22" hidden="1">
      <c r="A1274" s="786">
        <v>1274</v>
      </c>
      <c r="B1274" s="767"/>
      <c r="C1274" s="764"/>
      <c r="D1274" s="767"/>
      <c r="E1274" s="837" t="s">
        <v>738</v>
      </c>
      <c r="F1274" s="806" t="s">
        <v>1437</v>
      </c>
      <c r="G1274" s="778"/>
      <c r="H1274" s="815">
        <v>6215.2208663573483</v>
      </c>
      <c r="I1274" s="815">
        <v>2599.4583371674607</v>
      </c>
      <c r="J1274" s="815">
        <v>830.56926344639817</v>
      </c>
      <c r="K1274" s="815">
        <v>1409.5448219934731</v>
      </c>
      <c r="L1274" s="815">
        <v>574.60958353135527</v>
      </c>
      <c r="M1274" s="815">
        <v>543.43649977980613</v>
      </c>
      <c r="N1274" s="815">
        <v>247.60390349671081</v>
      </c>
      <c r="O1274" s="815">
        <v>9.9984569421422655</v>
      </c>
      <c r="P1274" s="772">
        <v>0</v>
      </c>
      <c r="R1274" s="774">
        <v>2010</v>
      </c>
    </row>
    <row r="1275" spans="1:22" hidden="1">
      <c r="A1275" s="786">
        <v>1275</v>
      </c>
      <c r="B1275" s="767"/>
      <c r="C1275" s="764"/>
      <c r="D1275" s="767"/>
      <c r="E1275" s="837" t="s">
        <v>788</v>
      </c>
      <c r="F1275" s="806" t="s">
        <v>1437</v>
      </c>
      <c r="G1275" s="778"/>
      <c r="H1275" s="815">
        <v>-5873054.4238714175</v>
      </c>
      <c r="I1275" s="815">
        <v>-2456350.4041198175</v>
      </c>
      <c r="J1275" s="815">
        <v>-784843.94873555098</v>
      </c>
      <c r="K1275" s="815">
        <v>-1331945.1762790901</v>
      </c>
      <c r="L1275" s="815">
        <v>-542975.61247177527</v>
      </c>
      <c r="M1275" s="815">
        <v>-513518.69993890636</v>
      </c>
      <c r="N1275" s="815">
        <v>-233972.57025420395</v>
      </c>
      <c r="O1275" s="815">
        <v>-9448.0120720717587</v>
      </c>
      <c r="P1275" s="772">
        <v>0</v>
      </c>
      <c r="R1275" s="774">
        <v>2011</v>
      </c>
    </row>
    <row r="1276" spans="1:22" hidden="1">
      <c r="A1276" s="786">
        <v>1276</v>
      </c>
      <c r="B1276" s="767"/>
      <c r="C1276" s="764"/>
      <c r="D1276" s="767"/>
      <c r="E1276" s="767" t="s">
        <v>1321</v>
      </c>
      <c r="F1276" s="806"/>
      <c r="G1276" s="778"/>
      <c r="H1276" s="815">
        <v>-244348672.24866119</v>
      </c>
      <c r="I1276" s="815">
        <v>-114096596.95730427</v>
      </c>
      <c r="J1276" s="815">
        <v>-34946316.28683541</v>
      </c>
      <c r="K1276" s="815">
        <v>-48205930.659346372</v>
      </c>
      <c r="L1276" s="815">
        <v>-19290250.81227402</v>
      </c>
      <c r="M1276" s="815">
        <v>-16040863.249562725</v>
      </c>
      <c r="N1276" s="815">
        <v>-10674887.097904403</v>
      </c>
      <c r="O1276" s="815">
        <v>-1093827.1854340471</v>
      </c>
      <c r="P1276" s="772">
        <v>0</v>
      </c>
      <c r="R1276" s="774"/>
    </row>
    <row r="1277" spans="1:22" hidden="1">
      <c r="A1277" s="786">
        <v>1277</v>
      </c>
      <c r="B1277" s="767"/>
      <c r="C1277" s="764"/>
      <c r="D1277" s="767"/>
      <c r="E1277" s="767"/>
      <c r="F1277" s="806"/>
      <c r="G1277" s="778"/>
      <c r="H1277" s="788"/>
      <c r="I1277" s="788"/>
      <c r="J1277" s="788"/>
      <c r="K1277" s="788"/>
      <c r="L1277" s="788"/>
      <c r="M1277" s="788"/>
      <c r="N1277" s="788"/>
      <c r="O1277" s="788"/>
      <c r="P1277" s="772"/>
      <c r="R1277" s="774"/>
    </row>
    <row r="1278" spans="1:22" hidden="1">
      <c r="A1278" s="786">
        <v>1278</v>
      </c>
      <c r="B1278" s="767"/>
      <c r="C1278" s="764"/>
      <c r="D1278" s="767"/>
      <c r="E1278" s="767"/>
      <c r="F1278" s="806"/>
      <c r="G1278" s="778"/>
      <c r="H1278" s="788"/>
      <c r="I1278" s="788"/>
      <c r="J1278" s="788"/>
      <c r="K1278" s="788"/>
      <c r="L1278" s="788"/>
      <c r="M1278" s="788"/>
      <c r="N1278" s="788"/>
      <c r="O1278" s="788"/>
      <c r="P1278" s="772"/>
      <c r="R1278" s="774"/>
    </row>
    <row r="1279" spans="1:22" hidden="1">
      <c r="A1279" s="786">
        <v>1279</v>
      </c>
      <c r="B1279" s="767"/>
      <c r="C1279" s="764" t="s">
        <v>1322</v>
      </c>
      <c r="D1279" s="767" t="s">
        <v>1319</v>
      </c>
      <c r="E1279" s="767"/>
      <c r="F1279" s="806" t="s">
        <v>1437</v>
      </c>
      <c r="G1279" s="778"/>
      <c r="H1279" s="815">
        <v>76999.222083333007</v>
      </c>
      <c r="I1279" s="815">
        <v>35870.982735965124</v>
      </c>
      <c r="J1279" s="815">
        <v>10997.269963528595</v>
      </c>
      <c r="K1279" s="815">
        <v>15240.487146223302</v>
      </c>
      <c r="L1279" s="815">
        <v>6101.4204465938274</v>
      </c>
      <c r="M1279" s="815">
        <v>5091.3350566717727</v>
      </c>
      <c r="N1279" s="815">
        <v>3357.9524744530477</v>
      </c>
      <c r="O1279" s="815">
        <v>339.7742598973299</v>
      </c>
      <c r="P1279" s="772">
        <v>0</v>
      </c>
      <c r="Q1279" s="774"/>
      <c r="R1279" s="774">
        <v>2015</v>
      </c>
      <c r="U1279" s="774"/>
      <c r="V1279" s="774"/>
    </row>
    <row r="1280" spans="1:22" hidden="1">
      <c r="A1280" s="786">
        <v>1280</v>
      </c>
      <c r="B1280" s="767"/>
      <c r="C1280" s="764"/>
      <c r="D1280" s="767"/>
      <c r="E1280" s="767" t="s">
        <v>1017</v>
      </c>
      <c r="F1280" s="806" t="s">
        <v>1437</v>
      </c>
      <c r="G1280" s="778"/>
      <c r="H1280" s="815">
        <v>-160157.77932930388</v>
      </c>
      <c r="I1280" s="815">
        <v>-66984.502030060059</v>
      </c>
      <c r="J1280" s="815">
        <v>-21402.639049046869</v>
      </c>
      <c r="K1280" s="815">
        <v>-36322.0508827874</v>
      </c>
      <c r="L1280" s="815">
        <v>-14806.906602122799</v>
      </c>
      <c r="M1280" s="815">
        <v>-14003.618677872309</v>
      </c>
      <c r="N1280" s="815">
        <v>-6380.4154655154034</v>
      </c>
      <c r="O1280" s="815">
        <v>-257.64662189900332</v>
      </c>
      <c r="P1280" s="772">
        <v>0</v>
      </c>
      <c r="Q1280" s="774"/>
      <c r="R1280" s="774">
        <v>2016</v>
      </c>
      <c r="U1280" s="774"/>
      <c r="V1280" s="774"/>
    </row>
    <row r="1281" spans="1:22" hidden="1">
      <c r="A1281" s="786">
        <v>1281</v>
      </c>
      <c r="B1281" s="767"/>
      <c r="C1281" s="764"/>
      <c r="D1281" s="767"/>
      <c r="E1281" s="767" t="s">
        <v>738</v>
      </c>
      <c r="F1281" s="806" t="s">
        <v>1437</v>
      </c>
      <c r="G1281" s="778"/>
      <c r="H1281" s="815">
        <v>-373.40374725936078</v>
      </c>
      <c r="I1281" s="815">
        <v>-156.17264531932867</v>
      </c>
      <c r="J1281" s="815">
        <v>-49.899703003008412</v>
      </c>
      <c r="K1281" s="815">
        <v>-84.683928339760769</v>
      </c>
      <c r="L1281" s="815">
        <v>-34.521922280052465</v>
      </c>
      <c r="M1281" s="815">
        <v>-32.649077125109407</v>
      </c>
      <c r="N1281" s="815">
        <v>-14.875774713361753</v>
      </c>
      <c r="O1281" s="815">
        <v>-0.60069647873920529</v>
      </c>
      <c r="P1281" s="772">
        <v>0</v>
      </c>
      <c r="Q1281" s="774"/>
      <c r="R1281" s="774">
        <v>2017</v>
      </c>
      <c r="U1281" s="774"/>
      <c r="V1281" s="774"/>
    </row>
    <row r="1282" spans="1:22" hidden="1">
      <c r="A1282" s="786">
        <v>1282</v>
      </c>
      <c r="B1282" s="767"/>
      <c r="C1282" s="764"/>
      <c r="D1282" s="767"/>
      <c r="E1282" s="767" t="s">
        <v>1005</v>
      </c>
      <c r="F1282" s="806" t="s">
        <v>1412</v>
      </c>
      <c r="G1282" s="778"/>
      <c r="H1282" s="815">
        <v>-63198.615737185115</v>
      </c>
      <c r="I1282" s="815">
        <v>-32203.283170152186</v>
      </c>
      <c r="J1282" s="815">
        <v>-8689.2333576161</v>
      </c>
      <c r="K1282" s="815">
        <v>-11328.316745322005</v>
      </c>
      <c r="L1282" s="815">
        <v>-4584.0950448987414</v>
      </c>
      <c r="M1282" s="815">
        <v>-3530.0368676885746</v>
      </c>
      <c r="N1282" s="815">
        <v>-2408.7922668498882</v>
      </c>
      <c r="O1282" s="815">
        <v>-454.85828465761529</v>
      </c>
      <c r="P1282" s="772">
        <v>0</v>
      </c>
      <c r="R1282" s="774">
        <v>2018</v>
      </c>
    </row>
    <row r="1283" spans="1:22" hidden="1">
      <c r="A1283" s="786">
        <v>1283</v>
      </c>
      <c r="B1283" s="767"/>
      <c r="C1283" s="764"/>
      <c r="D1283" s="767"/>
      <c r="E1283" s="767" t="s">
        <v>1273</v>
      </c>
      <c r="F1283" s="806" t="s">
        <v>1437</v>
      </c>
      <c r="G1283" s="778"/>
      <c r="H1283" s="815">
        <v>-230854.38068992412</v>
      </c>
      <c r="I1283" s="815">
        <v>-107546.19696401659</v>
      </c>
      <c r="J1283" s="815">
        <v>-32971.345398304111</v>
      </c>
      <c r="K1283" s="815">
        <v>-45693.100869855371</v>
      </c>
      <c r="L1283" s="815">
        <v>-18292.907388114327</v>
      </c>
      <c r="M1283" s="815">
        <v>-15264.530856179594</v>
      </c>
      <c r="N1283" s="815">
        <v>-10067.608709567123</v>
      </c>
      <c r="O1283" s="815">
        <v>-1018.6905038869726</v>
      </c>
      <c r="P1283" s="772">
        <v>0</v>
      </c>
      <c r="R1283" s="774">
        <v>2019</v>
      </c>
    </row>
    <row r="1284" spans="1:22" hidden="1">
      <c r="A1284" s="786">
        <v>1284</v>
      </c>
      <c r="B1284" s="767"/>
      <c r="C1284" s="764"/>
      <c r="D1284" s="767"/>
      <c r="E1284" s="767" t="s">
        <v>1314</v>
      </c>
      <c r="F1284" s="806" t="s">
        <v>1437</v>
      </c>
      <c r="G1284" s="778"/>
      <c r="H1284" s="815">
        <v>-68194.589608705544</v>
      </c>
      <c r="I1284" s="815">
        <v>-31825.385459441091</v>
      </c>
      <c r="J1284" s="815">
        <v>-9819.3280093170797</v>
      </c>
      <c r="K1284" s="815">
        <v>-13438.211545431437</v>
      </c>
      <c r="L1284" s="815">
        <v>-5370.6758406840981</v>
      </c>
      <c r="M1284" s="815">
        <v>-4387.2644955509204</v>
      </c>
      <c r="N1284" s="815">
        <v>-3035.431259643542</v>
      </c>
      <c r="O1284" s="815">
        <v>-318.29299863736981</v>
      </c>
      <c r="P1284" s="772">
        <v>0</v>
      </c>
      <c r="R1284" s="774">
        <v>2020</v>
      </c>
    </row>
    <row r="1285" spans="1:22" hidden="1">
      <c r="A1285" s="786">
        <v>1285</v>
      </c>
      <c r="B1285" s="767"/>
      <c r="C1285" s="764"/>
      <c r="D1285" s="767"/>
      <c r="E1285" s="767" t="s">
        <v>1323</v>
      </c>
      <c r="F1285" s="806" t="s">
        <v>1437</v>
      </c>
      <c r="G1285" s="778"/>
      <c r="H1285" s="815">
        <v>0</v>
      </c>
      <c r="I1285" s="815">
        <v>0</v>
      </c>
      <c r="J1285" s="815">
        <v>0</v>
      </c>
      <c r="K1285" s="815">
        <v>0</v>
      </c>
      <c r="L1285" s="815">
        <v>0</v>
      </c>
      <c r="M1285" s="815">
        <v>0</v>
      </c>
      <c r="N1285" s="815">
        <v>0</v>
      </c>
      <c r="O1285" s="815">
        <v>0</v>
      </c>
      <c r="P1285" s="772">
        <v>0</v>
      </c>
      <c r="R1285" s="774">
        <v>2021</v>
      </c>
    </row>
    <row r="1286" spans="1:22" hidden="1">
      <c r="A1286" s="786">
        <v>1286</v>
      </c>
      <c r="B1286" s="767"/>
      <c r="C1286" s="764"/>
      <c r="D1286" s="767"/>
      <c r="E1286" s="767" t="s">
        <v>1315</v>
      </c>
      <c r="F1286" s="806" t="s">
        <v>1437</v>
      </c>
      <c r="G1286" s="778"/>
      <c r="H1286" s="815">
        <v>0</v>
      </c>
      <c r="I1286" s="815">
        <v>0</v>
      </c>
      <c r="J1286" s="815">
        <v>0</v>
      </c>
      <c r="K1286" s="815">
        <v>0</v>
      </c>
      <c r="L1286" s="815">
        <v>0</v>
      </c>
      <c r="M1286" s="815">
        <v>0</v>
      </c>
      <c r="N1286" s="815">
        <v>0</v>
      </c>
      <c r="O1286" s="815">
        <v>0</v>
      </c>
      <c r="P1286" s="772">
        <v>0</v>
      </c>
      <c r="R1286" s="774">
        <v>2022</v>
      </c>
    </row>
    <row r="1287" spans="1:22" hidden="1">
      <c r="A1287" s="786">
        <v>1287</v>
      </c>
      <c r="B1287" s="767"/>
      <c r="C1287" s="764"/>
      <c r="D1287" s="767"/>
      <c r="E1287" s="767" t="s">
        <v>723</v>
      </c>
      <c r="F1287" s="806" t="s">
        <v>1437</v>
      </c>
      <c r="G1287" s="778"/>
      <c r="H1287" s="815">
        <v>-5069.2951108237385</v>
      </c>
      <c r="I1287" s="815">
        <v>-2120.185544929172</v>
      </c>
      <c r="J1287" s="815">
        <v>-677.4338027438364</v>
      </c>
      <c r="K1287" s="815">
        <v>-1149.6612635756974</v>
      </c>
      <c r="L1287" s="815">
        <v>-468.66645853169052</v>
      </c>
      <c r="M1287" s="815">
        <v>-443.24088405107778</v>
      </c>
      <c r="N1287" s="815">
        <v>-201.9521565534308</v>
      </c>
      <c r="O1287" s="815">
        <v>-8.1550004388322375</v>
      </c>
      <c r="P1287" s="772">
        <v>0</v>
      </c>
      <c r="R1287" s="774">
        <v>2023</v>
      </c>
    </row>
    <row r="1288" spans="1:22" hidden="1">
      <c r="A1288" s="786">
        <v>1288</v>
      </c>
      <c r="B1288" s="767"/>
      <c r="C1288" s="764"/>
      <c r="D1288" s="767"/>
      <c r="E1288" s="767" t="s">
        <v>1321</v>
      </c>
      <c r="F1288" s="806"/>
      <c r="G1288" s="778"/>
      <c r="H1288" s="815">
        <v>-450848.84213986865</v>
      </c>
      <c r="I1288" s="815">
        <v>-204964.74307795335</v>
      </c>
      <c r="J1288" s="815">
        <v>-62612.609356502398</v>
      </c>
      <c r="K1288" s="815">
        <v>-92775.538089088353</v>
      </c>
      <c r="L1288" s="815">
        <v>-37456.352810037883</v>
      </c>
      <c r="M1288" s="815">
        <v>-32570.005801795814</v>
      </c>
      <c r="N1288" s="815">
        <v>-18751.123158389699</v>
      </c>
      <c r="O1288" s="815">
        <v>-1718.4698461012024</v>
      </c>
      <c r="P1288" s="772">
        <v>0</v>
      </c>
      <c r="R1288" s="774"/>
    </row>
    <row r="1289" spans="1:22" hidden="1">
      <c r="A1289" s="786">
        <v>1289</v>
      </c>
      <c r="B1289" s="767"/>
      <c r="C1289" s="764"/>
      <c r="D1289" s="767"/>
      <c r="E1289" s="767"/>
      <c r="F1289" s="806"/>
      <c r="G1289" s="778"/>
      <c r="H1289" s="788"/>
      <c r="I1289" s="788"/>
      <c r="J1289" s="788"/>
      <c r="K1289" s="788"/>
      <c r="L1289" s="788"/>
      <c r="M1289" s="788"/>
      <c r="N1289" s="788"/>
      <c r="O1289" s="788"/>
      <c r="P1289" s="772"/>
      <c r="R1289" s="774"/>
    </row>
    <row r="1290" spans="1:22" hidden="1">
      <c r="A1290" s="786">
        <v>1290</v>
      </c>
      <c r="B1290" s="767"/>
      <c r="C1290" s="764" t="s">
        <v>1324</v>
      </c>
      <c r="D1290" s="767" t="s">
        <v>1325</v>
      </c>
      <c r="E1290" s="767"/>
      <c r="F1290" s="806" t="s">
        <v>1437</v>
      </c>
      <c r="G1290" s="778"/>
      <c r="H1290" s="828">
        <v>-19597.460327859611</v>
      </c>
      <c r="I1290" s="828">
        <v>-9145.8388786992164</v>
      </c>
      <c r="J1290" s="828">
        <v>-2821.8351662939917</v>
      </c>
      <c r="K1290" s="828">
        <v>-3861.8139525449733</v>
      </c>
      <c r="L1290" s="828">
        <v>-1543.401130874531</v>
      </c>
      <c r="M1290" s="828">
        <v>-1260.7927167349692</v>
      </c>
      <c r="N1290" s="828">
        <v>-872.3088448825464</v>
      </c>
      <c r="O1290" s="828">
        <v>-91.46963782937749</v>
      </c>
      <c r="P1290" s="772">
        <v>0</v>
      </c>
      <c r="Q1290" s="774"/>
      <c r="R1290" s="774">
        <v>2037</v>
      </c>
      <c r="U1290" s="774"/>
      <c r="V1290" s="774"/>
    </row>
    <row r="1291" spans="1:22" hidden="1">
      <c r="A1291" s="786">
        <v>1291</v>
      </c>
      <c r="B1291" s="767"/>
      <c r="C1291" s="767" t="s">
        <v>1326</v>
      </c>
      <c r="D1291" s="767"/>
      <c r="E1291" s="767"/>
      <c r="F1291" s="806"/>
      <c r="G1291" s="778"/>
      <c r="H1291" s="788">
        <v>-293283130.70543867</v>
      </c>
      <c r="I1291" s="788">
        <v>-135291362.13523263</v>
      </c>
      <c r="J1291" s="788">
        <v>-42483404.678655438</v>
      </c>
      <c r="K1291" s="788">
        <v>-58464998.276100412</v>
      </c>
      <c r="L1291" s="788">
        <v>-23417416.07727487</v>
      </c>
      <c r="M1291" s="788">
        <v>-19911521.606491193</v>
      </c>
      <c r="N1291" s="788">
        <v>-12559873.920120992</v>
      </c>
      <c r="O1291" s="788">
        <v>-1154554.0115631239</v>
      </c>
      <c r="P1291" s="772">
        <v>0</v>
      </c>
      <c r="Q1291" s="774"/>
      <c r="R1291" s="774"/>
      <c r="U1291" s="774"/>
      <c r="V1291" s="774"/>
    </row>
    <row r="1292" spans="1:22" hidden="1">
      <c r="A1292" s="786">
        <v>1292</v>
      </c>
      <c r="B1292" s="767"/>
      <c r="C1292" s="767"/>
      <c r="D1292" s="767"/>
      <c r="E1292" s="767"/>
      <c r="F1292" s="806"/>
      <c r="G1292" s="778"/>
      <c r="H1292" s="788"/>
      <c r="I1292" s="788"/>
      <c r="J1292" s="788"/>
      <c r="K1292" s="788"/>
      <c r="L1292" s="788"/>
      <c r="M1292" s="788"/>
      <c r="N1292" s="788"/>
      <c r="O1292" s="788"/>
      <c r="P1292" s="772"/>
      <c r="Q1292" s="774"/>
      <c r="R1292" s="774"/>
      <c r="U1292" s="774"/>
      <c r="V1292" s="774"/>
    </row>
    <row r="1293" spans="1:22" hidden="1">
      <c r="A1293" s="786">
        <v>1293</v>
      </c>
      <c r="B1293" s="767"/>
      <c r="C1293" s="767"/>
      <c r="D1293" s="767"/>
      <c r="E1293" s="767"/>
      <c r="F1293" s="806"/>
      <c r="H1293" s="817" t="s">
        <v>1327</v>
      </c>
      <c r="I1293" s="817"/>
      <c r="J1293" s="817"/>
      <c r="K1293" s="817"/>
      <c r="L1293" s="817"/>
      <c r="M1293" s="817"/>
      <c r="N1293" s="817"/>
      <c r="O1293" s="817"/>
      <c r="P1293" s="772"/>
      <c r="R1293" s="774"/>
    </row>
    <row r="1294" spans="1:22" hidden="1">
      <c r="A1294" s="786">
        <v>1294</v>
      </c>
      <c r="C1294" s="795"/>
      <c r="D1294" s="795"/>
      <c r="E1294" s="795"/>
      <c r="F1294" s="806"/>
      <c r="H1294" s="817" t="s">
        <v>1328</v>
      </c>
      <c r="I1294" s="817"/>
      <c r="J1294" s="817"/>
      <c r="K1294" s="817"/>
      <c r="L1294" s="817"/>
      <c r="M1294" s="817"/>
      <c r="N1294" s="817"/>
      <c r="O1294" s="817"/>
      <c r="P1294" s="772"/>
      <c r="R1294" s="774"/>
    </row>
    <row r="1295" spans="1:22" hidden="1">
      <c r="A1295" s="786">
        <v>1295</v>
      </c>
      <c r="B1295" s="767"/>
      <c r="C1295" s="767"/>
      <c r="D1295" s="767"/>
      <c r="E1295" s="767"/>
      <c r="F1295" s="806"/>
      <c r="H1295" s="817"/>
      <c r="I1295" s="817"/>
      <c r="J1295" s="817"/>
      <c r="K1295" s="817"/>
      <c r="L1295" s="817"/>
      <c r="M1295" s="817"/>
      <c r="N1295" s="817"/>
      <c r="O1295" s="817"/>
      <c r="P1295" s="772"/>
      <c r="R1295" s="774"/>
    </row>
    <row r="1296" spans="1:22" hidden="1">
      <c r="A1296" s="786">
        <v>1296</v>
      </c>
      <c r="B1296" s="767"/>
      <c r="C1296" s="767" t="s">
        <v>1329</v>
      </c>
      <c r="D1296" s="767" t="s">
        <v>1330</v>
      </c>
      <c r="E1296" s="767"/>
      <c r="F1296" s="806" t="s">
        <v>1392</v>
      </c>
      <c r="G1296" s="778"/>
      <c r="H1296" s="815">
        <v>-168212192.80217132</v>
      </c>
      <c r="I1296" s="815">
        <v>-70354703.475412056</v>
      </c>
      <c r="J1296" s="815">
        <v>-22479307.250657003</v>
      </c>
      <c r="K1296" s="815">
        <v>-38147784.898748428</v>
      </c>
      <c r="L1296" s="815">
        <v>-15551128.738651257</v>
      </c>
      <c r="M1296" s="815">
        <v>-14707132.252909617</v>
      </c>
      <c r="N1296" s="815">
        <v>-6701438.7410004074</v>
      </c>
      <c r="O1296" s="815">
        <v>-270697.44479257043</v>
      </c>
      <c r="P1296" s="772">
        <v>0</v>
      </c>
      <c r="Q1296" s="774"/>
      <c r="R1296" s="774">
        <v>2048</v>
      </c>
      <c r="U1296" s="774"/>
      <c r="V1296" s="774"/>
    </row>
    <row r="1297" spans="1:22" hidden="1">
      <c r="A1297" s="786">
        <v>1297</v>
      </c>
      <c r="B1297" s="767"/>
      <c r="C1297" s="767"/>
      <c r="D1297" s="767"/>
      <c r="E1297" s="767"/>
      <c r="F1297" s="806"/>
      <c r="G1297" s="778"/>
      <c r="H1297" s="788"/>
      <c r="I1297" s="788"/>
      <c r="J1297" s="788"/>
      <c r="K1297" s="788"/>
      <c r="L1297" s="788"/>
      <c r="M1297" s="788"/>
      <c r="N1297" s="788"/>
      <c r="O1297" s="788"/>
      <c r="P1297" s="772"/>
      <c r="R1297" s="774"/>
    </row>
    <row r="1298" spans="1:22" hidden="1">
      <c r="A1298" s="786">
        <v>1298</v>
      </c>
      <c r="B1298" s="767"/>
      <c r="C1298" s="767" t="s">
        <v>1331</v>
      </c>
      <c r="D1298" s="767" t="s">
        <v>1332</v>
      </c>
      <c r="E1298" s="767"/>
      <c r="F1298" s="806" t="s">
        <v>1392</v>
      </c>
      <c r="G1298" s="778"/>
      <c r="H1298" s="815">
        <v>0</v>
      </c>
      <c r="I1298" s="815">
        <v>0</v>
      </c>
      <c r="J1298" s="815">
        <v>0</v>
      </c>
      <c r="K1298" s="815">
        <v>0</v>
      </c>
      <c r="L1298" s="815">
        <v>0</v>
      </c>
      <c r="M1298" s="815">
        <v>0</v>
      </c>
      <c r="N1298" s="815">
        <v>0</v>
      </c>
      <c r="O1298" s="815">
        <v>0</v>
      </c>
      <c r="P1298" s="772">
        <v>0</v>
      </c>
      <c r="Q1298" s="774"/>
      <c r="R1298" s="774">
        <v>2054</v>
      </c>
      <c r="S1298" s="774"/>
      <c r="T1298" s="774"/>
      <c r="U1298" s="774"/>
      <c r="V1298" s="774"/>
    </row>
    <row r="1299" spans="1:22" hidden="1">
      <c r="A1299" s="786">
        <v>1299</v>
      </c>
      <c r="B1299" s="767"/>
      <c r="C1299" s="767"/>
      <c r="D1299" s="767"/>
      <c r="E1299" s="767"/>
      <c r="F1299" s="806"/>
      <c r="G1299" s="778"/>
      <c r="H1299" s="788"/>
      <c r="I1299" s="788"/>
      <c r="J1299" s="788"/>
      <c r="K1299" s="788"/>
      <c r="L1299" s="788"/>
      <c r="M1299" s="788"/>
      <c r="N1299" s="788"/>
      <c r="O1299" s="788"/>
      <c r="P1299" s="772"/>
      <c r="R1299" s="774"/>
    </row>
    <row r="1300" spans="1:22" hidden="1">
      <c r="A1300" s="786">
        <v>1300</v>
      </c>
      <c r="B1300" s="767"/>
      <c r="C1300" s="767" t="s">
        <v>1333</v>
      </c>
      <c r="D1300" s="767" t="s">
        <v>1334</v>
      </c>
      <c r="E1300" s="767"/>
      <c r="F1300" s="806" t="s">
        <v>1392</v>
      </c>
      <c r="G1300" s="778"/>
      <c r="H1300" s="815">
        <v>-51260552.262449294</v>
      </c>
      <c r="I1300" s="815">
        <v>-21439711.915841158</v>
      </c>
      <c r="J1300" s="815">
        <v>-6850286.4444620954</v>
      </c>
      <c r="K1300" s="815">
        <v>-11625058.141883552</v>
      </c>
      <c r="L1300" s="815">
        <v>-4739011.0916943001</v>
      </c>
      <c r="M1300" s="815">
        <v>-4481813.767017819</v>
      </c>
      <c r="N1300" s="815">
        <v>-2042179.2564148749</v>
      </c>
      <c r="O1300" s="815">
        <v>-82491.64513550009</v>
      </c>
      <c r="P1300" s="772">
        <v>0</v>
      </c>
      <c r="Q1300" s="774"/>
      <c r="R1300" s="774">
        <v>2062</v>
      </c>
      <c r="S1300" s="774"/>
      <c r="T1300" s="774"/>
      <c r="U1300" s="774"/>
      <c r="V1300" s="774"/>
    </row>
    <row r="1301" spans="1:22" hidden="1">
      <c r="A1301" s="786">
        <v>1301</v>
      </c>
      <c r="B1301" s="767"/>
      <c r="C1301" s="767"/>
      <c r="D1301" s="767"/>
      <c r="E1301" s="767"/>
      <c r="F1301" s="806"/>
      <c r="G1301" s="778"/>
      <c r="H1301" s="788"/>
      <c r="I1301" s="788"/>
      <c r="J1301" s="788"/>
      <c r="K1301" s="788"/>
      <c r="L1301" s="788"/>
      <c r="M1301" s="788"/>
      <c r="N1301" s="788"/>
      <c r="O1301" s="788"/>
      <c r="P1301" s="772"/>
      <c r="R1301" s="774"/>
    </row>
    <row r="1302" spans="1:22" hidden="1">
      <c r="A1302" s="786">
        <v>1302</v>
      </c>
      <c r="B1302" s="767"/>
      <c r="C1302" s="767" t="s">
        <v>1335</v>
      </c>
      <c r="D1302" s="767" t="s">
        <v>1336</v>
      </c>
      <c r="E1302" s="767"/>
      <c r="F1302" s="806" t="s">
        <v>1392</v>
      </c>
      <c r="G1302" s="778"/>
      <c r="H1302" s="815">
        <v>0</v>
      </c>
      <c r="I1302" s="815">
        <v>0</v>
      </c>
      <c r="J1302" s="815">
        <v>0</v>
      </c>
      <c r="K1302" s="815">
        <v>0</v>
      </c>
      <c r="L1302" s="815">
        <v>0</v>
      </c>
      <c r="M1302" s="815">
        <v>0</v>
      </c>
      <c r="N1302" s="815">
        <v>0</v>
      </c>
      <c r="O1302" s="815">
        <v>0</v>
      </c>
      <c r="P1302" s="772">
        <v>0</v>
      </c>
      <c r="Q1302" s="774"/>
      <c r="R1302" s="774">
        <v>2065</v>
      </c>
      <c r="S1302" s="774"/>
      <c r="T1302" s="774"/>
      <c r="U1302" s="774"/>
      <c r="V1302" s="774"/>
    </row>
    <row r="1303" spans="1:22" hidden="1">
      <c r="A1303" s="786">
        <v>1303</v>
      </c>
      <c r="B1303" s="767"/>
      <c r="C1303" s="767"/>
      <c r="D1303" s="767"/>
      <c r="E1303" s="767" t="s">
        <v>1187</v>
      </c>
      <c r="F1303" s="806" t="s">
        <v>1392</v>
      </c>
      <c r="G1303" s="778"/>
      <c r="H1303" s="815">
        <v>0</v>
      </c>
      <c r="I1303" s="815">
        <v>0</v>
      </c>
      <c r="J1303" s="815">
        <v>0</v>
      </c>
      <c r="K1303" s="815">
        <v>0</v>
      </c>
      <c r="L1303" s="815">
        <v>0</v>
      </c>
      <c r="M1303" s="815">
        <v>0</v>
      </c>
      <c r="N1303" s="815">
        <v>0</v>
      </c>
      <c r="O1303" s="815">
        <v>0</v>
      </c>
      <c r="P1303" s="772">
        <v>0</v>
      </c>
      <c r="Q1303" s="774"/>
      <c r="R1303" s="774">
        <v>2066</v>
      </c>
      <c r="S1303" s="774"/>
      <c r="T1303" s="774"/>
      <c r="U1303" s="774"/>
      <c r="V1303" s="774"/>
    </row>
    <row r="1304" spans="1:22" hidden="1">
      <c r="A1304" s="786">
        <v>1304</v>
      </c>
      <c r="B1304" s="767"/>
      <c r="C1304" s="767"/>
      <c r="D1304" s="767"/>
      <c r="E1304" s="820" t="s">
        <v>1196</v>
      </c>
      <c r="F1304" s="806" t="s">
        <v>1392</v>
      </c>
      <c r="G1304" s="778"/>
      <c r="H1304" s="815">
        <v>0</v>
      </c>
      <c r="I1304" s="815">
        <v>0</v>
      </c>
      <c r="J1304" s="815">
        <v>0</v>
      </c>
      <c r="K1304" s="815">
        <v>0</v>
      </c>
      <c r="L1304" s="815">
        <v>0</v>
      </c>
      <c r="M1304" s="815">
        <v>0</v>
      </c>
      <c r="N1304" s="815">
        <v>0</v>
      </c>
      <c r="O1304" s="815">
        <v>0</v>
      </c>
      <c r="P1304" s="772">
        <v>0</v>
      </c>
      <c r="Q1304" s="774"/>
      <c r="R1304" s="774">
        <v>2067</v>
      </c>
      <c r="S1304" s="774"/>
      <c r="T1304" s="774"/>
      <c r="U1304" s="774"/>
      <c r="V1304" s="774"/>
    </row>
    <row r="1305" spans="1:22" hidden="1">
      <c r="A1305" s="786">
        <v>1305</v>
      </c>
      <c r="B1305" s="767"/>
      <c r="C1305" s="767"/>
      <c r="D1305" s="767"/>
      <c r="E1305" s="820" t="s">
        <v>788</v>
      </c>
      <c r="F1305" s="806" t="s">
        <v>1392</v>
      </c>
      <c r="G1305" s="778"/>
      <c r="H1305" s="815">
        <v>25935761.323484868</v>
      </c>
      <c r="I1305" s="815">
        <v>10847625.055746164</v>
      </c>
      <c r="J1305" s="815">
        <v>3465967.2278096429</v>
      </c>
      <c r="K1305" s="815">
        <v>5881808.1357346661</v>
      </c>
      <c r="L1305" s="815">
        <v>2397747.4911749619</v>
      </c>
      <c r="M1305" s="815">
        <v>2267616.0717611569</v>
      </c>
      <c r="N1305" s="815">
        <v>1033259.9130608204</v>
      </c>
      <c r="O1305" s="815">
        <v>41737.428197456466</v>
      </c>
      <c r="P1305" s="772">
        <v>0</v>
      </c>
      <c r="Q1305" s="774"/>
      <c r="R1305" s="774">
        <v>2068</v>
      </c>
      <c r="S1305" s="774"/>
      <c r="T1305" s="774"/>
      <c r="U1305" s="774"/>
      <c r="V1305" s="774"/>
    </row>
    <row r="1306" spans="1:22" hidden="1">
      <c r="A1306" s="786">
        <v>1306</v>
      </c>
      <c r="B1306" s="767"/>
      <c r="C1306" s="767"/>
      <c r="D1306" s="767"/>
      <c r="E1306" s="820" t="s">
        <v>728</v>
      </c>
      <c r="F1306" s="806" t="s">
        <v>1392</v>
      </c>
      <c r="G1306" s="778"/>
      <c r="H1306" s="815">
        <v>-46978665.272633523</v>
      </c>
      <c r="I1306" s="815">
        <v>-19648813.857470296</v>
      </c>
      <c r="J1306" s="815">
        <v>-6278069.58162231</v>
      </c>
      <c r="K1306" s="815">
        <v>-10653995.930951284</v>
      </c>
      <c r="L1306" s="815">
        <v>-4343152.8919186564</v>
      </c>
      <c r="M1306" s="815">
        <v>-4107439.7266930752</v>
      </c>
      <c r="N1306" s="815">
        <v>-1871592.3157173952</v>
      </c>
      <c r="O1306" s="815">
        <v>-75600.968260507725</v>
      </c>
      <c r="P1306" s="772">
        <v>0</v>
      </c>
      <c r="Q1306" s="774"/>
      <c r="R1306" s="774">
        <v>2069</v>
      </c>
      <c r="S1306" s="774"/>
      <c r="T1306" s="774"/>
      <c r="U1306" s="774"/>
      <c r="V1306" s="774"/>
    </row>
    <row r="1307" spans="1:22" hidden="1">
      <c r="A1307" s="786">
        <v>1307</v>
      </c>
      <c r="B1307" s="767"/>
      <c r="C1307" s="767"/>
      <c r="D1307" s="767"/>
      <c r="E1307" s="820" t="s">
        <v>1192</v>
      </c>
      <c r="F1307" s="806" t="s">
        <v>1392</v>
      </c>
      <c r="G1307" s="778"/>
      <c r="H1307" s="815">
        <v>0</v>
      </c>
      <c r="I1307" s="815">
        <v>0</v>
      </c>
      <c r="J1307" s="815">
        <v>0</v>
      </c>
      <c r="K1307" s="815">
        <v>0</v>
      </c>
      <c r="L1307" s="815">
        <v>0</v>
      </c>
      <c r="M1307" s="815">
        <v>0</v>
      </c>
      <c r="N1307" s="815">
        <v>0</v>
      </c>
      <c r="O1307" s="815">
        <v>0</v>
      </c>
      <c r="P1307" s="772">
        <v>0</v>
      </c>
      <c r="Q1307" s="774"/>
      <c r="R1307" s="774">
        <v>2070</v>
      </c>
      <c r="S1307" s="774"/>
      <c r="T1307" s="774"/>
      <c r="U1307" s="774"/>
      <c r="V1307" s="774"/>
    </row>
    <row r="1308" spans="1:22" hidden="1">
      <c r="A1308" s="786">
        <v>1308</v>
      </c>
      <c r="B1308" s="767"/>
      <c r="C1308" s="767"/>
      <c r="D1308" s="767"/>
      <c r="E1308" s="767" t="s">
        <v>1337</v>
      </c>
      <c r="F1308" s="806"/>
      <c r="G1308" s="778"/>
      <c r="H1308" s="815">
        <v>-21042903.949148651</v>
      </c>
      <c r="I1308" s="815">
        <v>-8801188.8017241322</v>
      </c>
      <c r="J1308" s="815">
        <v>-2812102.3538126671</v>
      </c>
      <c r="K1308" s="815">
        <v>-4772187.7952166181</v>
      </c>
      <c r="L1308" s="815">
        <v>-1945405.4007436945</v>
      </c>
      <c r="M1308" s="815">
        <v>-1839823.6549319183</v>
      </c>
      <c r="N1308" s="815">
        <v>-838332.40265657473</v>
      </c>
      <c r="O1308" s="815">
        <v>-33863.540063051259</v>
      </c>
      <c r="P1308" s="772">
        <v>0</v>
      </c>
      <c r="Q1308" s="774"/>
      <c r="R1308" s="774"/>
      <c r="S1308" s="774"/>
      <c r="T1308" s="774"/>
      <c r="U1308" s="774"/>
      <c r="V1308" s="774"/>
    </row>
    <row r="1309" spans="1:22" hidden="1">
      <c r="A1309" s="786">
        <v>1309</v>
      </c>
      <c r="B1309" s="767"/>
      <c r="C1309" s="767"/>
      <c r="D1309" s="767"/>
      <c r="E1309" s="767"/>
      <c r="F1309" s="806"/>
      <c r="G1309" s="778"/>
      <c r="H1309" s="788"/>
      <c r="I1309" s="788"/>
      <c r="J1309" s="788"/>
      <c r="K1309" s="788"/>
      <c r="L1309" s="788"/>
      <c r="M1309" s="788"/>
      <c r="N1309" s="788"/>
      <c r="O1309" s="788"/>
      <c r="P1309" s="772"/>
      <c r="R1309" s="774"/>
    </row>
    <row r="1310" spans="1:22" hidden="1">
      <c r="A1310" s="786">
        <v>1310</v>
      </c>
      <c r="B1310" s="767"/>
      <c r="C1310" s="767" t="s">
        <v>1338</v>
      </c>
      <c r="D1310" s="767" t="s">
        <v>1339</v>
      </c>
      <c r="E1310" s="767"/>
      <c r="F1310" s="806" t="s">
        <v>1392</v>
      </c>
      <c r="G1310" s="778"/>
      <c r="H1310" s="815">
        <v>0</v>
      </c>
      <c r="I1310" s="815">
        <v>0</v>
      </c>
      <c r="J1310" s="815">
        <v>0</v>
      </c>
      <c r="K1310" s="815">
        <v>0</v>
      </c>
      <c r="L1310" s="815">
        <v>0</v>
      </c>
      <c r="M1310" s="815">
        <v>0</v>
      </c>
      <c r="N1310" s="815">
        <v>0</v>
      </c>
      <c r="O1310" s="815">
        <v>0</v>
      </c>
      <c r="P1310" s="772">
        <v>0</v>
      </c>
      <c r="Q1310" s="774"/>
      <c r="R1310" s="774">
        <v>2076</v>
      </c>
      <c r="S1310" s="774"/>
      <c r="T1310" s="774"/>
      <c r="U1310" s="774"/>
      <c r="V1310" s="774"/>
    </row>
    <row r="1311" spans="1:22" hidden="1">
      <c r="A1311" s="786">
        <v>1311</v>
      </c>
      <c r="B1311" s="767"/>
      <c r="C1311" s="767"/>
      <c r="D1311" s="767"/>
      <c r="E1311" s="767"/>
      <c r="F1311" s="806"/>
      <c r="G1311" s="778"/>
      <c r="H1311" s="788"/>
      <c r="I1311" s="788"/>
      <c r="J1311" s="788"/>
      <c r="K1311" s="788"/>
      <c r="L1311" s="788"/>
      <c r="M1311" s="788"/>
      <c r="N1311" s="788"/>
      <c r="O1311" s="788"/>
      <c r="P1311" s="772"/>
      <c r="R1311" s="774"/>
    </row>
    <row r="1312" spans="1:22" hidden="1">
      <c r="A1312" s="786">
        <v>1312</v>
      </c>
      <c r="B1312" s="767"/>
      <c r="C1312" s="767"/>
      <c r="D1312" s="767"/>
      <c r="E1312" s="767"/>
      <c r="F1312" s="806"/>
      <c r="G1312" s="778"/>
      <c r="H1312" s="827"/>
      <c r="I1312" s="827"/>
      <c r="J1312" s="827"/>
      <c r="K1312" s="827"/>
      <c r="L1312" s="827"/>
      <c r="M1312" s="827"/>
      <c r="N1312" s="827"/>
      <c r="O1312" s="827"/>
      <c r="P1312" s="772"/>
      <c r="R1312" s="774"/>
    </row>
    <row r="1313" spans="1:22" hidden="1">
      <c r="A1313" s="786">
        <v>1313</v>
      </c>
      <c r="B1313" s="767"/>
      <c r="C1313" s="767"/>
      <c r="D1313" s="767"/>
      <c r="E1313" s="767"/>
      <c r="F1313" s="806"/>
      <c r="G1313" s="778"/>
      <c r="H1313" s="788"/>
      <c r="I1313" s="788"/>
      <c r="J1313" s="788"/>
      <c r="K1313" s="788"/>
      <c r="L1313" s="788"/>
      <c r="M1313" s="788"/>
      <c r="N1313" s="788"/>
      <c r="O1313" s="788"/>
      <c r="P1313" s="772"/>
      <c r="R1313" s="774"/>
    </row>
    <row r="1314" spans="1:22">
      <c r="A1314" s="786">
        <v>1314</v>
      </c>
      <c r="B1314" s="767"/>
      <c r="C1314" s="767" t="s">
        <v>1340</v>
      </c>
      <c r="D1314" s="767"/>
      <c r="E1314" s="767"/>
      <c r="F1314" s="806"/>
      <c r="G1314" s="778"/>
      <c r="H1314" s="815">
        <v>-240515649.01376927</v>
      </c>
      <c r="I1314" s="815">
        <v>-100595604.19297735</v>
      </c>
      <c r="J1314" s="815">
        <v>-32141696.048931766</v>
      </c>
      <c r="K1314" s="815">
        <v>-54545030.8358486</v>
      </c>
      <c r="L1314" s="815">
        <v>-22235545.231089249</v>
      </c>
      <c r="M1314" s="815">
        <v>-21028769.674859352</v>
      </c>
      <c r="N1314" s="815">
        <v>-9581950.4000718556</v>
      </c>
      <c r="O1314" s="815">
        <v>-387052.62999112182</v>
      </c>
      <c r="P1314" s="772">
        <v>0</v>
      </c>
      <c r="Q1314" s="774"/>
      <c r="R1314" s="774"/>
      <c r="S1314" s="774"/>
      <c r="T1314" s="774"/>
      <c r="U1314" s="774"/>
      <c r="V1314" s="774"/>
    </row>
    <row r="1315" spans="1:22" hidden="1">
      <c r="A1315" s="786">
        <v>1315</v>
      </c>
      <c r="B1315" s="767"/>
      <c r="C1315" s="767"/>
      <c r="D1315" s="767"/>
      <c r="E1315" s="767"/>
      <c r="F1315" s="806"/>
      <c r="G1315" s="778"/>
      <c r="H1315" s="810"/>
      <c r="I1315" s="810"/>
      <c r="J1315" s="810"/>
      <c r="K1315" s="810"/>
      <c r="L1315" s="810"/>
      <c r="M1315" s="810"/>
      <c r="N1315" s="810"/>
      <c r="O1315" s="810"/>
      <c r="P1315" s="772"/>
      <c r="R1315" s="774"/>
    </row>
    <row r="1316" spans="1:22" hidden="1">
      <c r="A1316" s="786">
        <v>1316</v>
      </c>
      <c r="B1316" s="767"/>
      <c r="C1316" s="767"/>
      <c r="D1316" s="767"/>
      <c r="E1316" s="767"/>
      <c r="F1316" s="806"/>
      <c r="G1316" s="778"/>
      <c r="H1316" s="788"/>
      <c r="I1316" s="788"/>
      <c r="J1316" s="788"/>
      <c r="K1316" s="788"/>
      <c r="L1316" s="788"/>
      <c r="M1316" s="788"/>
      <c r="N1316" s="788"/>
      <c r="O1316" s="788"/>
      <c r="P1316" s="772"/>
      <c r="R1316" s="774"/>
    </row>
    <row r="1317" spans="1:22" hidden="1">
      <c r="A1317" s="786">
        <v>1317</v>
      </c>
      <c r="C1317" s="795"/>
      <c r="D1317" s="795"/>
      <c r="E1317" s="795"/>
      <c r="F1317" s="806"/>
      <c r="H1317" s="817" t="s">
        <v>1129</v>
      </c>
      <c r="I1317" s="817"/>
      <c r="J1317" s="817"/>
      <c r="K1317" s="817"/>
      <c r="L1317" s="817"/>
      <c r="M1317" s="817"/>
      <c r="N1317" s="817"/>
      <c r="O1317" s="817"/>
      <c r="P1317" s="772"/>
      <c r="R1317" s="774"/>
    </row>
    <row r="1318" spans="1:22" hidden="1">
      <c r="A1318" s="786">
        <v>1318</v>
      </c>
      <c r="B1318" s="767"/>
      <c r="F1318" s="806"/>
      <c r="G1318" s="778"/>
      <c r="H1318" s="788"/>
      <c r="I1318" s="788"/>
      <c r="J1318" s="788"/>
      <c r="K1318" s="788"/>
      <c r="L1318" s="788"/>
      <c r="M1318" s="788"/>
      <c r="N1318" s="788"/>
      <c r="O1318" s="788"/>
      <c r="P1318" s="772"/>
      <c r="R1318" s="774"/>
    </row>
    <row r="1319" spans="1:22">
      <c r="A1319" s="786">
        <v>1319</v>
      </c>
      <c r="B1319" s="767"/>
      <c r="C1319" s="767" t="s">
        <v>1341</v>
      </c>
      <c r="D1319" s="775" t="s">
        <v>1342</v>
      </c>
      <c r="E1319" s="767"/>
      <c r="F1319" s="806" t="s">
        <v>1416</v>
      </c>
      <c r="G1319" s="778"/>
      <c r="H1319" s="815">
        <v>-154058324.84538019</v>
      </c>
      <c r="I1319" s="815">
        <v>-68747168.760128945</v>
      </c>
      <c r="J1319" s="815">
        <v>-20448544.926134709</v>
      </c>
      <c r="K1319" s="815">
        <v>-32739253.029750396</v>
      </c>
      <c r="L1319" s="815">
        <v>-13256734.579773119</v>
      </c>
      <c r="M1319" s="815">
        <v>-13007085.511893436</v>
      </c>
      <c r="N1319" s="815">
        <v>-5680339.7127010329</v>
      </c>
      <c r="O1319" s="815">
        <v>-179198.3249985126</v>
      </c>
      <c r="P1319" s="772">
        <v>0</v>
      </c>
      <c r="Q1319" s="774"/>
      <c r="R1319" s="774">
        <v>2087</v>
      </c>
      <c r="S1319" s="774"/>
      <c r="T1319" s="774"/>
      <c r="U1319" s="774"/>
      <c r="V1319" s="774"/>
    </row>
    <row r="1320" spans="1:22" hidden="1">
      <c r="A1320" s="786">
        <v>1320</v>
      </c>
      <c r="B1320" s="767"/>
      <c r="C1320" s="767"/>
      <c r="D1320" s="767"/>
      <c r="E1320" s="767"/>
      <c r="F1320" s="806"/>
      <c r="G1320" s="778"/>
      <c r="H1320" s="810"/>
      <c r="I1320" s="810"/>
      <c r="J1320" s="810"/>
      <c r="K1320" s="810"/>
      <c r="L1320" s="810"/>
      <c r="M1320" s="810"/>
      <c r="N1320" s="810"/>
      <c r="O1320" s="810"/>
      <c r="P1320" s="772"/>
      <c r="R1320" s="774"/>
    </row>
    <row r="1321" spans="1:22" hidden="1">
      <c r="A1321" s="786">
        <v>1321</v>
      </c>
      <c r="B1321" s="767"/>
      <c r="C1321" s="767"/>
      <c r="D1321" s="767"/>
      <c r="E1321" s="767"/>
      <c r="F1321" s="806"/>
      <c r="G1321" s="778"/>
      <c r="H1321" s="788"/>
      <c r="I1321" s="788"/>
      <c r="J1321" s="788"/>
      <c r="K1321" s="788"/>
      <c r="L1321" s="788"/>
      <c r="M1321" s="788"/>
      <c r="N1321" s="788"/>
      <c r="O1321" s="788"/>
      <c r="P1321" s="772"/>
      <c r="R1321" s="774"/>
    </row>
    <row r="1322" spans="1:22" hidden="1">
      <c r="A1322" s="786">
        <v>1322</v>
      </c>
      <c r="C1322" s="768"/>
      <c r="D1322" s="795"/>
      <c r="E1322" s="795"/>
      <c r="F1322" s="806"/>
      <c r="H1322" s="817" t="s">
        <v>1152</v>
      </c>
      <c r="I1322" s="817"/>
      <c r="J1322" s="817"/>
      <c r="K1322" s="817"/>
      <c r="L1322" s="817"/>
      <c r="M1322" s="817"/>
      <c r="N1322" s="817"/>
      <c r="O1322" s="817"/>
      <c r="P1322" s="772"/>
      <c r="R1322" s="774"/>
    </row>
    <row r="1323" spans="1:22" hidden="1">
      <c r="A1323" s="786">
        <v>1323</v>
      </c>
      <c r="B1323" s="767"/>
      <c r="C1323" s="767"/>
      <c r="D1323" s="767"/>
      <c r="E1323" s="767"/>
      <c r="F1323" s="806"/>
      <c r="G1323" s="778"/>
      <c r="H1323" s="788"/>
      <c r="I1323" s="788"/>
      <c r="J1323" s="788"/>
      <c r="K1323" s="788"/>
      <c r="L1323" s="788"/>
      <c r="M1323" s="788"/>
      <c r="N1323" s="788"/>
      <c r="O1323" s="788"/>
      <c r="P1323" s="772"/>
      <c r="R1323" s="774"/>
    </row>
    <row r="1324" spans="1:22" hidden="1">
      <c r="A1324" s="786">
        <v>1324</v>
      </c>
      <c r="B1324" s="767"/>
      <c r="C1324" s="767" t="s">
        <v>1343</v>
      </c>
      <c r="D1324" s="775" t="s">
        <v>1060</v>
      </c>
      <c r="E1324" s="767"/>
      <c r="F1324" s="806" t="s">
        <v>1417</v>
      </c>
      <c r="G1324" s="778"/>
      <c r="H1324" s="815">
        <v>-340137.93776479212</v>
      </c>
      <c r="I1324" s="815">
        <v>-160211.69985845109</v>
      </c>
      <c r="J1324" s="815">
        <v>-48928.267714901333</v>
      </c>
      <c r="K1324" s="815">
        <v>-76992.759293798008</v>
      </c>
      <c r="L1324" s="815">
        <v>-32736.180531439484</v>
      </c>
      <c r="M1324" s="815">
        <v>0</v>
      </c>
      <c r="N1324" s="815">
        <v>-20597.205613785838</v>
      </c>
      <c r="O1324" s="815">
        <v>-671.82475241629174</v>
      </c>
      <c r="P1324" s="772">
        <v>0</v>
      </c>
      <c r="Q1324" s="774"/>
      <c r="R1324" s="774">
        <v>2091</v>
      </c>
      <c r="S1324" s="774"/>
      <c r="T1324" s="774"/>
      <c r="U1324" s="774"/>
      <c r="V1324" s="774"/>
    </row>
    <row r="1325" spans="1:22" hidden="1">
      <c r="A1325" s="786">
        <v>1325</v>
      </c>
      <c r="B1325" s="767"/>
      <c r="C1325" s="767"/>
      <c r="D1325" s="767"/>
      <c r="E1325" s="767"/>
      <c r="F1325" s="806"/>
      <c r="G1325" s="778"/>
      <c r="H1325" s="788"/>
      <c r="I1325" s="788"/>
      <c r="J1325" s="788"/>
      <c r="K1325" s="788"/>
      <c r="L1325" s="788"/>
      <c r="M1325" s="788"/>
      <c r="N1325" s="788"/>
      <c r="O1325" s="788"/>
      <c r="P1325" s="772"/>
      <c r="R1325" s="774"/>
    </row>
    <row r="1326" spans="1:22" hidden="1">
      <c r="A1326" s="786">
        <v>1326</v>
      </c>
      <c r="B1326" s="767"/>
      <c r="C1326" s="767" t="s">
        <v>1344</v>
      </c>
      <c r="D1326" s="775" t="s">
        <v>1063</v>
      </c>
      <c r="E1326" s="767"/>
      <c r="F1326" s="806" t="s">
        <v>1404</v>
      </c>
      <c r="G1326" s="778"/>
      <c r="H1326" s="815">
        <v>-1499292.0224534813</v>
      </c>
      <c r="I1326" s="815">
        <v>-641040.5303882336</v>
      </c>
      <c r="J1326" s="815">
        <v>-195772.23582702872</v>
      </c>
      <c r="K1326" s="815">
        <v>-308064.13824555895</v>
      </c>
      <c r="L1326" s="815">
        <v>-130984.30732149786</v>
      </c>
      <c r="M1326" s="815">
        <v>-138328.97030095352</v>
      </c>
      <c r="N1326" s="815">
        <v>-82413.728977611187</v>
      </c>
      <c r="O1326" s="815">
        <v>-2688.1113925973109</v>
      </c>
      <c r="P1326" s="772">
        <v>0</v>
      </c>
      <c r="Q1326" s="774"/>
      <c r="R1326" s="774">
        <v>2095</v>
      </c>
      <c r="S1326" s="774"/>
      <c r="T1326" s="774"/>
      <c r="U1326" s="774"/>
      <c r="V1326" s="774"/>
    </row>
    <row r="1327" spans="1:22" hidden="1">
      <c r="A1327" s="786">
        <v>1327</v>
      </c>
      <c r="B1327" s="767"/>
      <c r="C1327" s="767"/>
      <c r="D1327" s="767"/>
      <c r="E1327" s="767"/>
      <c r="F1327" s="806"/>
      <c r="G1327" s="778"/>
      <c r="H1327" s="788"/>
      <c r="I1327" s="788"/>
      <c r="J1327" s="788"/>
      <c r="K1327" s="788"/>
      <c r="L1327" s="788"/>
      <c r="M1327" s="788"/>
      <c r="N1327" s="788"/>
      <c r="O1327" s="788"/>
      <c r="P1327" s="772"/>
      <c r="R1327" s="774"/>
    </row>
    <row r="1328" spans="1:22" hidden="1">
      <c r="A1328" s="786">
        <v>1328</v>
      </c>
      <c r="B1328" s="767"/>
      <c r="C1328" s="767" t="s">
        <v>1345</v>
      </c>
      <c r="D1328" s="775" t="s">
        <v>1134</v>
      </c>
      <c r="E1328" s="767"/>
      <c r="F1328" s="806" t="s">
        <v>1399</v>
      </c>
      <c r="G1328" s="778"/>
      <c r="H1328" s="815">
        <v>-25511466.445360575</v>
      </c>
      <c r="I1328" s="815">
        <v>-11233068.4650093</v>
      </c>
      <c r="J1328" s="815">
        <v>-3430552.0857801368</v>
      </c>
      <c r="K1328" s="815">
        <v>-5398263.2805302758</v>
      </c>
      <c r="L1328" s="815">
        <v>-2295261.5665238933</v>
      </c>
      <c r="M1328" s="815">
        <v>-1663066.1984703948</v>
      </c>
      <c r="N1328" s="815">
        <v>-1444150.5898255128</v>
      </c>
      <c r="O1328" s="815">
        <v>-47104.259221066146</v>
      </c>
      <c r="P1328" s="772">
        <v>0</v>
      </c>
      <c r="Q1328" s="774"/>
      <c r="R1328" s="774">
        <v>2099</v>
      </c>
      <c r="S1328" s="774"/>
      <c r="T1328" s="774"/>
      <c r="U1328" s="774"/>
      <c r="V1328" s="774"/>
    </row>
    <row r="1329" spans="1:22" hidden="1">
      <c r="A1329" s="786">
        <v>1329</v>
      </c>
      <c r="B1329" s="767"/>
      <c r="C1329" s="767"/>
      <c r="D1329" s="775"/>
      <c r="E1329" s="767"/>
      <c r="F1329" s="806"/>
      <c r="G1329" s="778"/>
      <c r="H1329" s="815"/>
      <c r="I1329" s="815"/>
      <c r="J1329" s="815"/>
      <c r="K1329" s="815"/>
      <c r="L1329" s="815"/>
      <c r="M1329" s="815"/>
      <c r="N1329" s="815"/>
      <c r="O1329" s="815"/>
      <c r="P1329" s="772"/>
      <c r="Q1329" s="774"/>
      <c r="R1329" s="774"/>
      <c r="S1329" s="774"/>
      <c r="T1329" s="774"/>
      <c r="U1329" s="774"/>
      <c r="V1329" s="774"/>
    </row>
    <row r="1330" spans="1:22" hidden="1">
      <c r="A1330" s="786">
        <v>1330</v>
      </c>
      <c r="B1330" s="767"/>
      <c r="C1330" s="781" t="s">
        <v>714</v>
      </c>
      <c r="D1330" s="767"/>
      <c r="E1330" s="767"/>
      <c r="F1330" s="806"/>
      <c r="G1330" s="778"/>
      <c r="H1330" s="788"/>
      <c r="I1330" s="788"/>
      <c r="J1330" s="788"/>
      <c r="K1330" s="788"/>
      <c r="L1330" s="788"/>
      <c r="M1330" s="788"/>
      <c r="N1330" s="788"/>
      <c r="O1330" s="788"/>
      <c r="P1330" s="772"/>
      <c r="R1330" s="774"/>
    </row>
    <row r="1331" spans="1:22" hidden="1">
      <c r="A1331" s="786">
        <v>1331</v>
      </c>
      <c r="B1331" s="767"/>
      <c r="C1331" s="767"/>
      <c r="D1331" s="767"/>
      <c r="E1331" s="767"/>
      <c r="F1331" s="806"/>
      <c r="G1331" s="778"/>
      <c r="H1331" s="810"/>
      <c r="I1331" s="810"/>
      <c r="J1331" s="810"/>
      <c r="K1331" s="810"/>
      <c r="L1331" s="810"/>
      <c r="M1331" s="810"/>
      <c r="N1331" s="810"/>
      <c r="O1331" s="810"/>
      <c r="P1331" s="772"/>
      <c r="R1331" s="774"/>
    </row>
    <row r="1332" spans="1:22" hidden="1">
      <c r="A1332" s="786">
        <v>1332</v>
      </c>
      <c r="B1332" s="767"/>
      <c r="C1332" s="777" t="s">
        <v>575</v>
      </c>
      <c r="D1332" s="767"/>
      <c r="E1332" s="777" t="s">
        <v>576</v>
      </c>
      <c r="F1332" s="806" t="s">
        <v>577</v>
      </c>
      <c r="G1332" s="778"/>
      <c r="H1332" s="777" t="s">
        <v>578</v>
      </c>
      <c r="I1332" s="777" t="s">
        <v>579</v>
      </c>
      <c r="J1332" s="777" t="s">
        <v>580</v>
      </c>
      <c r="K1332" s="777" t="s">
        <v>581</v>
      </c>
      <c r="L1332" s="777" t="s">
        <v>582</v>
      </c>
      <c r="M1332" s="777" t="s">
        <v>583</v>
      </c>
      <c r="N1332" s="777" t="s">
        <v>584</v>
      </c>
      <c r="O1332" s="777" t="s">
        <v>585</v>
      </c>
      <c r="P1332" s="772"/>
      <c r="R1332" s="774"/>
    </row>
    <row r="1333" spans="1:22" ht="38.25" hidden="1">
      <c r="A1333" s="786">
        <v>1333</v>
      </c>
      <c r="B1333" s="767"/>
      <c r="C1333" s="797" t="s">
        <v>656</v>
      </c>
      <c r="D1333" s="781"/>
      <c r="E1333" s="782" t="s">
        <v>587</v>
      </c>
      <c r="F1333" s="806" t="s">
        <v>1391</v>
      </c>
      <c r="G1333" s="783"/>
      <c r="H1333" s="784" t="s">
        <v>588</v>
      </c>
      <c r="I1333" s="784" t="s">
        <v>589</v>
      </c>
      <c r="J1333" s="784" t="s">
        <v>590</v>
      </c>
      <c r="K1333" s="784" t="s">
        <v>591</v>
      </c>
      <c r="L1333" s="784" t="s">
        <v>592</v>
      </c>
      <c r="M1333" s="784" t="s">
        <v>593</v>
      </c>
      <c r="N1333" s="784" t="s">
        <v>594</v>
      </c>
      <c r="O1333" s="784" t="s">
        <v>595</v>
      </c>
      <c r="P1333" s="772"/>
      <c r="R1333" s="774"/>
    </row>
    <row r="1334" spans="1:22" hidden="1">
      <c r="A1334" s="786">
        <v>1334</v>
      </c>
      <c r="B1334" s="767"/>
      <c r="C1334" s="767"/>
      <c r="D1334" s="767"/>
      <c r="E1334" s="767"/>
      <c r="F1334" s="806"/>
      <c r="G1334" s="778"/>
      <c r="H1334" s="788"/>
      <c r="I1334" s="788"/>
      <c r="J1334" s="788"/>
      <c r="K1334" s="788"/>
      <c r="L1334" s="788"/>
      <c r="M1334" s="788"/>
      <c r="N1334" s="788"/>
      <c r="O1334" s="788"/>
      <c r="P1334" s="772"/>
      <c r="R1334" s="774"/>
    </row>
    <row r="1335" spans="1:22" hidden="1">
      <c r="A1335" s="786">
        <v>1335</v>
      </c>
      <c r="B1335" s="767"/>
      <c r="C1335" s="767" t="s">
        <v>1346</v>
      </c>
      <c r="D1335" s="775" t="s">
        <v>1159</v>
      </c>
      <c r="E1335" s="767"/>
      <c r="F1335" s="806" t="s">
        <v>1418</v>
      </c>
      <c r="G1335" s="778"/>
      <c r="H1335" s="815">
        <v>-74342788.67411077</v>
      </c>
      <c r="I1335" s="815">
        <v>-35154066.464850865</v>
      </c>
      <c r="J1335" s="815">
        <v>-10690830.458624698</v>
      </c>
      <c r="K1335" s="815">
        <v>-16748812.080118643</v>
      </c>
      <c r="L1335" s="815">
        <v>-7121346.7470321581</v>
      </c>
      <c r="M1335" s="815">
        <v>0</v>
      </c>
      <c r="N1335" s="815">
        <v>-4480664.5373554341</v>
      </c>
      <c r="O1335" s="815">
        <v>-147068.38612895549</v>
      </c>
      <c r="P1335" s="772">
        <v>0</v>
      </c>
      <c r="Q1335" s="774"/>
      <c r="R1335" s="774">
        <v>2103</v>
      </c>
      <c r="S1335" s="774"/>
      <c r="T1335" s="774"/>
      <c r="U1335" s="774"/>
      <c r="V1335" s="774"/>
    </row>
    <row r="1336" spans="1:22" hidden="1">
      <c r="A1336" s="786">
        <v>1336</v>
      </c>
      <c r="B1336" s="767"/>
      <c r="C1336" s="767"/>
      <c r="D1336" s="767"/>
      <c r="E1336" s="767"/>
      <c r="F1336" s="806"/>
      <c r="G1336" s="778"/>
      <c r="H1336" s="788"/>
      <c r="I1336" s="788"/>
      <c r="J1336" s="788"/>
      <c r="K1336" s="788"/>
      <c r="L1336" s="788"/>
      <c r="M1336" s="788"/>
      <c r="N1336" s="788"/>
      <c r="O1336" s="788"/>
      <c r="P1336" s="772"/>
      <c r="R1336" s="774"/>
    </row>
    <row r="1337" spans="1:22" hidden="1">
      <c r="A1337" s="786">
        <v>1337</v>
      </c>
      <c r="B1337" s="767"/>
      <c r="C1337" s="767" t="s">
        <v>1347</v>
      </c>
      <c r="D1337" s="775" t="s">
        <v>1140</v>
      </c>
      <c r="E1337" s="767"/>
      <c r="F1337" s="806" t="s">
        <v>1419</v>
      </c>
      <c r="G1337" s="778"/>
      <c r="H1337" s="815">
        <v>-36334315.766321488</v>
      </c>
      <c r="I1337" s="815">
        <v>-21642587.605950139</v>
      </c>
      <c r="J1337" s="815">
        <v>-5119180.0488259103</v>
      </c>
      <c r="K1337" s="815">
        <v>-5608290.3303204998</v>
      </c>
      <c r="L1337" s="815">
        <v>-2384561.9563460331</v>
      </c>
      <c r="M1337" s="815">
        <v>0</v>
      </c>
      <c r="N1337" s="815">
        <v>-1500337.3061955357</v>
      </c>
      <c r="O1337" s="815">
        <v>-79358.518683375791</v>
      </c>
      <c r="P1337" s="772">
        <v>0</v>
      </c>
      <c r="Q1337" s="774"/>
      <c r="R1337" s="774">
        <v>2107</v>
      </c>
      <c r="S1337" s="774"/>
      <c r="T1337" s="774"/>
      <c r="U1337" s="774"/>
      <c r="V1337" s="774"/>
    </row>
    <row r="1338" spans="1:22" hidden="1">
      <c r="A1338" s="786">
        <v>1338</v>
      </c>
      <c r="B1338" s="767"/>
      <c r="C1338" s="767"/>
      <c r="D1338" s="767"/>
      <c r="E1338" s="767"/>
      <c r="F1338" s="806"/>
      <c r="G1338" s="778"/>
      <c r="H1338" s="788"/>
      <c r="I1338" s="788"/>
      <c r="J1338" s="788"/>
      <c r="K1338" s="788"/>
      <c r="L1338" s="788"/>
      <c r="M1338" s="788"/>
      <c r="N1338" s="788"/>
      <c r="O1338" s="788"/>
      <c r="P1338" s="772"/>
      <c r="R1338" s="774"/>
    </row>
    <row r="1339" spans="1:22" hidden="1">
      <c r="A1339" s="786">
        <v>1339</v>
      </c>
      <c r="B1339" s="767"/>
      <c r="C1339" s="767" t="s">
        <v>1348</v>
      </c>
      <c r="D1339" s="775" t="s">
        <v>1142</v>
      </c>
      <c r="E1339" s="767"/>
      <c r="F1339" s="806" t="s">
        <v>1420</v>
      </c>
      <c r="G1339" s="778"/>
      <c r="H1339" s="815">
        <v>-12252024.424455926</v>
      </c>
      <c r="I1339" s="815">
        <v>-8151857.9067341806</v>
      </c>
      <c r="J1339" s="815">
        <v>-1705938.8010019637</v>
      </c>
      <c r="K1339" s="815">
        <v>-1397782.8105016623</v>
      </c>
      <c r="L1339" s="815">
        <v>-594316.54155576194</v>
      </c>
      <c r="M1339" s="815">
        <v>0</v>
      </c>
      <c r="N1339" s="815">
        <v>-373936.72100328706</v>
      </c>
      <c r="O1339" s="815">
        <v>-28191.643659069483</v>
      </c>
      <c r="P1339" s="772">
        <v>0</v>
      </c>
      <c r="Q1339" s="774"/>
      <c r="R1339" s="774">
        <v>2111</v>
      </c>
      <c r="S1339" s="774"/>
      <c r="T1339" s="774"/>
      <c r="U1339" s="774"/>
      <c r="V1339" s="774"/>
    </row>
    <row r="1340" spans="1:22" hidden="1">
      <c r="A1340" s="786">
        <v>1340</v>
      </c>
      <c r="B1340" s="767"/>
      <c r="C1340" s="767"/>
      <c r="D1340" s="767"/>
      <c r="E1340" s="767"/>
      <c r="F1340" s="806"/>
      <c r="G1340" s="778"/>
      <c r="H1340" s="788"/>
      <c r="I1340" s="788"/>
      <c r="J1340" s="788"/>
      <c r="K1340" s="788"/>
      <c r="L1340" s="788"/>
      <c r="M1340" s="788"/>
      <c r="N1340" s="788"/>
      <c r="O1340" s="788"/>
      <c r="P1340" s="772"/>
      <c r="R1340" s="774"/>
    </row>
    <row r="1341" spans="1:22" hidden="1">
      <c r="A1341" s="786">
        <v>1341</v>
      </c>
      <c r="B1341" s="767"/>
      <c r="C1341" s="767" t="s">
        <v>1349</v>
      </c>
      <c r="D1341" s="767" t="s">
        <v>1144</v>
      </c>
      <c r="E1341" s="767"/>
      <c r="F1341" s="806" t="s">
        <v>1421</v>
      </c>
      <c r="G1341" s="778"/>
      <c r="H1341" s="815">
        <v>-15899562.431960732</v>
      </c>
      <c r="I1341" s="815">
        <v>-10674299.338918103</v>
      </c>
      <c r="J1341" s="815">
        <v>-2211544.7017821376</v>
      </c>
      <c r="K1341" s="815">
        <v>-1758706.3015944418</v>
      </c>
      <c r="L1341" s="815">
        <v>-747775.86254677328</v>
      </c>
      <c r="M1341" s="815">
        <v>0</v>
      </c>
      <c r="N1341" s="815">
        <v>-470491.45452719921</v>
      </c>
      <c r="O1341" s="815">
        <v>-36744.772592076944</v>
      </c>
      <c r="P1341" s="772">
        <v>0</v>
      </c>
      <c r="Q1341" s="774"/>
      <c r="R1341" s="774">
        <v>2115</v>
      </c>
      <c r="S1341" s="774"/>
      <c r="T1341" s="774"/>
      <c r="U1341" s="774"/>
      <c r="V1341" s="774"/>
    </row>
    <row r="1342" spans="1:22" hidden="1">
      <c r="A1342" s="786">
        <v>1342</v>
      </c>
      <c r="B1342" s="767"/>
      <c r="C1342" s="767"/>
      <c r="D1342" s="767"/>
      <c r="E1342" s="767"/>
      <c r="F1342" s="806"/>
      <c r="G1342" s="778"/>
      <c r="H1342" s="788"/>
      <c r="I1342" s="788"/>
      <c r="J1342" s="788"/>
      <c r="K1342" s="788"/>
      <c r="L1342" s="788"/>
      <c r="M1342" s="788"/>
      <c r="N1342" s="788"/>
      <c r="O1342" s="788"/>
      <c r="P1342" s="772"/>
      <c r="R1342" s="774"/>
    </row>
    <row r="1343" spans="1:22" hidden="1">
      <c r="A1343" s="786">
        <v>1343</v>
      </c>
      <c r="B1343" s="767"/>
      <c r="C1343" s="767" t="s">
        <v>1350</v>
      </c>
      <c r="D1343" s="767" t="s">
        <v>1165</v>
      </c>
      <c r="E1343" s="767"/>
      <c r="F1343" s="806" t="s">
        <v>1407</v>
      </c>
      <c r="G1343" s="778"/>
      <c r="H1343" s="815">
        <v>-64568972.76185485</v>
      </c>
      <c r="I1343" s="815">
        <v>-34642433.590429001</v>
      </c>
      <c r="J1343" s="815">
        <v>-15470772.27338098</v>
      </c>
      <c r="K1343" s="815">
        <v>-5634862.7906275997</v>
      </c>
      <c r="L1343" s="815">
        <v>-686952.37176747608</v>
      </c>
      <c r="M1343" s="815">
        <v>0</v>
      </c>
      <c r="N1343" s="815">
        <v>-8000478.6522394167</v>
      </c>
      <c r="O1343" s="815">
        <v>-133473.08341037447</v>
      </c>
      <c r="P1343" s="772">
        <v>0</v>
      </c>
      <c r="Q1343" s="774"/>
      <c r="R1343" s="774">
        <v>2119</v>
      </c>
      <c r="S1343" s="774"/>
      <c r="T1343" s="774"/>
      <c r="U1343" s="774"/>
      <c r="V1343" s="774"/>
    </row>
    <row r="1344" spans="1:22" hidden="1">
      <c r="A1344" s="786">
        <v>1344</v>
      </c>
      <c r="B1344" s="767"/>
      <c r="C1344" s="767"/>
      <c r="D1344" s="767"/>
      <c r="E1344" s="767"/>
      <c r="F1344" s="806"/>
      <c r="G1344" s="778"/>
      <c r="H1344" s="788"/>
      <c r="I1344" s="788"/>
      <c r="J1344" s="788"/>
      <c r="K1344" s="788"/>
      <c r="L1344" s="788"/>
      <c r="M1344" s="788"/>
      <c r="N1344" s="788"/>
      <c r="O1344" s="788"/>
      <c r="P1344" s="772"/>
      <c r="R1344" s="774"/>
    </row>
    <row r="1345" spans="1:22" hidden="1">
      <c r="A1345" s="786">
        <v>1345</v>
      </c>
      <c r="B1345" s="767"/>
      <c r="C1345" s="767" t="s">
        <v>1351</v>
      </c>
      <c r="D1345" s="767" t="s">
        <v>994</v>
      </c>
      <c r="E1345" s="767"/>
      <c r="F1345" s="806" t="s">
        <v>1422</v>
      </c>
      <c r="G1345" s="778"/>
      <c r="H1345" s="815">
        <v>-31461451.897854395</v>
      </c>
      <c r="I1345" s="815">
        <v>-23003377.392187472</v>
      </c>
      <c r="J1345" s="815">
        <v>-6399916.8639543336</v>
      </c>
      <c r="K1345" s="815">
        <v>-1644582.2637705768</v>
      </c>
      <c r="L1345" s="815">
        <v>-413575.37794201594</v>
      </c>
      <c r="M1345" s="815">
        <v>0</v>
      </c>
      <c r="N1345" s="815">
        <v>0</v>
      </c>
      <c r="O1345" s="815">
        <v>0</v>
      </c>
      <c r="P1345" s="772">
        <v>0</v>
      </c>
      <c r="Q1345" s="774"/>
      <c r="R1345" s="774">
        <v>2123</v>
      </c>
      <c r="S1345" s="774"/>
      <c r="T1345" s="774"/>
      <c r="U1345" s="774"/>
      <c r="V1345" s="774"/>
    </row>
    <row r="1346" spans="1:22" hidden="1">
      <c r="A1346" s="786">
        <v>1346</v>
      </c>
      <c r="B1346" s="767"/>
      <c r="C1346" s="767"/>
      <c r="D1346" s="767"/>
      <c r="E1346" s="767"/>
      <c r="F1346" s="806"/>
      <c r="G1346" s="778"/>
      <c r="H1346" s="788"/>
      <c r="I1346" s="788"/>
      <c r="J1346" s="788"/>
      <c r="K1346" s="788"/>
      <c r="L1346" s="788"/>
      <c r="M1346" s="788"/>
      <c r="N1346" s="788"/>
      <c r="O1346" s="788"/>
      <c r="P1346" s="772"/>
      <c r="R1346" s="774"/>
    </row>
    <row r="1347" spans="1:22" hidden="1">
      <c r="A1347" s="786">
        <v>1347</v>
      </c>
      <c r="B1347" s="767"/>
      <c r="C1347" s="767" t="s">
        <v>1352</v>
      </c>
      <c r="D1347" s="767" t="s">
        <v>995</v>
      </c>
      <c r="E1347" s="767"/>
      <c r="F1347" s="806" t="s">
        <v>1403</v>
      </c>
      <c r="G1347" s="778"/>
      <c r="H1347" s="815">
        <v>-6004966.2802861473</v>
      </c>
      <c r="I1347" s="815">
        <v>-4044170.872264225</v>
      </c>
      <c r="J1347" s="815">
        <v>-1040332.6413245075</v>
      </c>
      <c r="K1347" s="815">
        <v>-454100.34374326712</v>
      </c>
      <c r="L1347" s="815">
        <v>-79706.515585591289</v>
      </c>
      <c r="M1347" s="815">
        <v>-46795.445977842232</v>
      </c>
      <c r="N1347" s="815">
        <v>-339860.46139071422</v>
      </c>
      <c r="O1347" s="815">
        <v>0</v>
      </c>
      <c r="P1347" s="772">
        <v>0</v>
      </c>
      <c r="Q1347" s="774"/>
      <c r="R1347" s="774">
        <v>2127</v>
      </c>
      <c r="S1347" s="774"/>
      <c r="T1347" s="774"/>
      <c r="U1347" s="774"/>
      <c r="V1347" s="774"/>
    </row>
    <row r="1348" spans="1:22" hidden="1">
      <c r="A1348" s="786">
        <v>1348</v>
      </c>
      <c r="B1348" s="767"/>
      <c r="C1348" s="767"/>
      <c r="D1348" s="767"/>
      <c r="E1348" s="767"/>
      <c r="F1348" s="806"/>
      <c r="G1348" s="778"/>
      <c r="H1348" s="788"/>
      <c r="I1348" s="788"/>
      <c r="J1348" s="788"/>
      <c r="K1348" s="788"/>
      <c r="L1348" s="788"/>
      <c r="M1348" s="788"/>
      <c r="N1348" s="788"/>
      <c r="O1348" s="788"/>
      <c r="P1348" s="772"/>
      <c r="R1348" s="774"/>
    </row>
    <row r="1349" spans="1:22" hidden="1">
      <c r="A1349" s="786">
        <v>1349</v>
      </c>
      <c r="B1349" s="767"/>
      <c r="C1349" s="767" t="s">
        <v>1353</v>
      </c>
      <c r="D1349" s="767" t="s">
        <v>1169</v>
      </c>
      <c r="E1349" s="767"/>
      <c r="F1349" s="806" t="s">
        <v>1423</v>
      </c>
      <c r="G1349" s="778"/>
      <c r="H1349" s="815">
        <v>-381179.30636343086</v>
      </c>
      <c r="I1349" s="815">
        <v>0</v>
      </c>
      <c r="J1349" s="815">
        <v>0</v>
      </c>
      <c r="K1349" s="815">
        <v>0</v>
      </c>
      <c r="L1349" s="815">
        <v>0</v>
      </c>
      <c r="M1349" s="815">
        <v>0</v>
      </c>
      <c r="N1349" s="815">
        <v>0</v>
      </c>
      <c r="O1349" s="815">
        <v>-381179.30636343086</v>
      </c>
      <c r="P1349" s="772">
        <v>0</v>
      </c>
      <c r="Q1349" s="774"/>
      <c r="R1349" s="774">
        <v>2131</v>
      </c>
      <c r="S1349" s="774"/>
      <c r="T1349" s="774"/>
      <c r="U1349" s="774"/>
      <c r="V1349" s="774"/>
    </row>
    <row r="1350" spans="1:22" hidden="1">
      <c r="A1350" s="786">
        <v>1350</v>
      </c>
      <c r="B1350" s="767"/>
      <c r="C1350" s="767"/>
      <c r="D1350" s="767"/>
      <c r="E1350" s="767"/>
      <c r="F1350" s="806"/>
      <c r="G1350" s="778"/>
      <c r="H1350" s="788"/>
      <c r="I1350" s="788"/>
      <c r="J1350" s="788"/>
      <c r="K1350" s="788"/>
      <c r="L1350" s="788"/>
      <c r="M1350" s="788"/>
      <c r="N1350" s="788"/>
      <c r="O1350" s="788"/>
      <c r="P1350" s="772"/>
      <c r="R1350" s="774"/>
    </row>
    <row r="1351" spans="1:22" hidden="1">
      <c r="A1351" s="786">
        <v>1351</v>
      </c>
      <c r="B1351" s="767"/>
      <c r="C1351" s="767" t="s">
        <v>1354</v>
      </c>
      <c r="D1351" s="767" t="s">
        <v>997</v>
      </c>
      <c r="E1351" s="767"/>
      <c r="F1351" s="806" t="s">
        <v>1424</v>
      </c>
      <c r="G1351" s="778"/>
      <c r="H1351" s="815">
        <v>0</v>
      </c>
      <c r="I1351" s="815">
        <v>0</v>
      </c>
      <c r="J1351" s="815">
        <v>0</v>
      </c>
      <c r="K1351" s="815">
        <v>0</v>
      </c>
      <c r="L1351" s="815">
        <v>0</v>
      </c>
      <c r="M1351" s="815">
        <v>0</v>
      </c>
      <c r="N1351" s="815">
        <v>0</v>
      </c>
      <c r="O1351" s="815">
        <v>0</v>
      </c>
      <c r="P1351" s="772">
        <v>0</v>
      </c>
      <c r="Q1351" s="774"/>
      <c r="R1351" s="774">
        <v>2135</v>
      </c>
      <c r="S1351" s="774"/>
      <c r="T1351" s="774"/>
      <c r="U1351" s="774"/>
      <c r="V1351" s="774"/>
    </row>
    <row r="1352" spans="1:22" hidden="1">
      <c r="A1352" s="786">
        <v>1352</v>
      </c>
      <c r="B1352" s="767"/>
      <c r="C1352" s="767"/>
      <c r="D1352" s="767"/>
      <c r="E1352" s="767"/>
      <c r="F1352" s="806"/>
      <c r="G1352" s="778"/>
      <c r="H1352" s="788"/>
      <c r="I1352" s="788"/>
      <c r="J1352" s="788"/>
      <c r="K1352" s="788"/>
      <c r="L1352" s="788"/>
      <c r="M1352" s="788"/>
      <c r="N1352" s="788"/>
      <c r="O1352" s="788"/>
      <c r="P1352" s="772"/>
      <c r="R1352" s="774"/>
    </row>
    <row r="1353" spans="1:22" hidden="1">
      <c r="A1353" s="786">
        <v>1353</v>
      </c>
      <c r="B1353" s="767"/>
      <c r="C1353" s="767" t="s">
        <v>1355</v>
      </c>
      <c r="D1353" s="767" t="s">
        <v>1172</v>
      </c>
      <c r="E1353" s="767"/>
      <c r="F1353" s="806" t="s">
        <v>1402</v>
      </c>
      <c r="G1353" s="778"/>
      <c r="H1353" s="815">
        <v>-2362957.0242237644</v>
      </c>
      <c r="I1353" s="815">
        <v>0</v>
      </c>
      <c r="J1353" s="815">
        <v>0</v>
      </c>
      <c r="K1353" s="815">
        <v>0</v>
      </c>
      <c r="L1353" s="815">
        <v>0</v>
      </c>
      <c r="M1353" s="815">
        <v>0</v>
      </c>
      <c r="N1353" s="815">
        <v>0</v>
      </c>
      <c r="O1353" s="815">
        <v>-2362957.0242237644</v>
      </c>
      <c r="P1353" s="772">
        <v>0</v>
      </c>
      <c r="Q1353" s="774"/>
      <c r="R1353" s="774">
        <v>2139</v>
      </c>
      <c r="S1353" s="774"/>
      <c r="T1353" s="774"/>
      <c r="U1353" s="774"/>
      <c r="V1353" s="774"/>
    </row>
    <row r="1354" spans="1:22" hidden="1">
      <c r="A1354" s="786">
        <v>1354</v>
      </c>
      <c r="B1354" s="767"/>
      <c r="C1354" s="767"/>
      <c r="D1354" s="767"/>
      <c r="E1354" s="767"/>
      <c r="F1354" s="806"/>
      <c r="G1354" s="778"/>
      <c r="H1354" s="788"/>
      <c r="I1354" s="788"/>
      <c r="J1354" s="788"/>
      <c r="K1354" s="788"/>
      <c r="L1354" s="788"/>
      <c r="M1354" s="788"/>
      <c r="N1354" s="788"/>
      <c r="O1354" s="788"/>
      <c r="P1354" s="772"/>
      <c r="R1354" s="774"/>
    </row>
    <row r="1355" spans="1:22" hidden="1">
      <c r="A1355" s="786">
        <v>1355</v>
      </c>
      <c r="B1355" s="767"/>
      <c r="C1355" s="767" t="s">
        <v>1356</v>
      </c>
      <c r="D1355" s="767" t="s">
        <v>1174</v>
      </c>
      <c r="E1355" s="767"/>
      <c r="F1355" s="806" t="s">
        <v>1418</v>
      </c>
      <c r="G1355" s="778"/>
      <c r="H1355" s="815">
        <v>0</v>
      </c>
      <c r="I1355" s="815">
        <v>0</v>
      </c>
      <c r="J1355" s="815">
        <v>0</v>
      </c>
      <c r="K1355" s="815">
        <v>0</v>
      </c>
      <c r="L1355" s="815">
        <v>0</v>
      </c>
      <c r="M1355" s="815">
        <v>0</v>
      </c>
      <c r="N1355" s="815">
        <v>0</v>
      </c>
      <c r="O1355" s="815">
        <v>0</v>
      </c>
      <c r="P1355" s="772">
        <v>0</v>
      </c>
      <c r="Q1355" s="774"/>
      <c r="R1355" s="774">
        <v>2143</v>
      </c>
      <c r="S1355" s="774"/>
      <c r="T1355" s="774"/>
      <c r="U1355" s="774"/>
      <c r="V1355" s="774"/>
    </row>
    <row r="1356" spans="1:22" hidden="1">
      <c r="A1356" s="786">
        <v>1356</v>
      </c>
      <c r="B1356" s="767"/>
      <c r="C1356" s="767"/>
      <c r="D1356" s="767"/>
      <c r="E1356" s="767"/>
      <c r="F1356" s="806"/>
      <c r="G1356" s="778"/>
      <c r="H1356" s="788"/>
      <c r="I1356" s="788"/>
      <c r="J1356" s="788"/>
      <c r="K1356" s="788"/>
      <c r="L1356" s="788"/>
      <c r="M1356" s="788"/>
      <c r="N1356" s="788"/>
      <c r="O1356" s="788"/>
      <c r="P1356" s="772"/>
      <c r="R1356" s="774"/>
    </row>
    <row r="1357" spans="1:22" hidden="1">
      <c r="A1357" s="786">
        <v>1357</v>
      </c>
      <c r="B1357" s="767"/>
      <c r="C1357" s="767" t="s">
        <v>1357</v>
      </c>
      <c r="D1357" s="767" t="s">
        <v>1358</v>
      </c>
      <c r="E1357" s="767"/>
      <c r="F1357" s="806" t="s">
        <v>1399</v>
      </c>
      <c r="G1357" s="778"/>
      <c r="H1357" s="815">
        <v>0</v>
      </c>
      <c r="I1357" s="815">
        <v>0</v>
      </c>
      <c r="J1357" s="815">
        <v>0</v>
      </c>
      <c r="K1357" s="815">
        <v>0</v>
      </c>
      <c r="L1357" s="815">
        <v>0</v>
      </c>
      <c r="M1357" s="815">
        <v>0</v>
      </c>
      <c r="N1357" s="815">
        <v>0</v>
      </c>
      <c r="O1357" s="815">
        <v>0</v>
      </c>
      <c r="P1357" s="772">
        <v>0</v>
      </c>
      <c r="Q1357" s="774"/>
      <c r="R1357" s="774">
        <v>2147</v>
      </c>
      <c r="S1357" s="774"/>
      <c r="T1357" s="774"/>
      <c r="U1357" s="774"/>
      <c r="V1357" s="774"/>
    </row>
    <row r="1358" spans="1:22" hidden="1">
      <c r="A1358" s="786">
        <v>1358</v>
      </c>
      <c r="B1358" s="767"/>
      <c r="C1358" s="767"/>
      <c r="D1358" s="767"/>
      <c r="E1358" s="767"/>
      <c r="F1358" s="806"/>
      <c r="G1358" s="778"/>
      <c r="H1358" s="788"/>
      <c r="I1358" s="788"/>
      <c r="J1358" s="788"/>
      <c r="K1358" s="788"/>
      <c r="L1358" s="788"/>
      <c r="M1358" s="788"/>
      <c r="N1358" s="788"/>
      <c r="O1358" s="788"/>
      <c r="P1358" s="772"/>
      <c r="R1358" s="774"/>
    </row>
    <row r="1359" spans="1:22" hidden="1">
      <c r="A1359" s="786">
        <v>1359</v>
      </c>
      <c r="B1359" s="767"/>
      <c r="C1359" s="767" t="s">
        <v>1359</v>
      </c>
      <c r="D1359" s="767" t="s">
        <v>1176</v>
      </c>
      <c r="E1359" s="767"/>
      <c r="F1359" s="806" t="s">
        <v>1411</v>
      </c>
      <c r="G1359" s="778"/>
      <c r="H1359" s="808">
        <v>352743</v>
      </c>
      <c r="I1359" s="808">
        <v>195526.23417417993</v>
      </c>
      <c r="J1359" s="808">
        <v>59723.155017986275</v>
      </c>
      <c r="K1359" s="808">
        <v>49992.426194433909</v>
      </c>
      <c r="L1359" s="808">
        <v>18622.766514776977</v>
      </c>
      <c r="M1359" s="808">
        <v>3813.3168886686753</v>
      </c>
      <c r="N1359" s="808">
        <v>20882.068150753508</v>
      </c>
      <c r="O1359" s="808">
        <v>4183.0330592006467</v>
      </c>
      <c r="P1359" s="772">
        <v>0</v>
      </c>
      <c r="Q1359" s="774"/>
      <c r="R1359" s="774">
        <v>2151</v>
      </c>
      <c r="S1359" s="774"/>
      <c r="T1359" s="774"/>
      <c r="U1359" s="774"/>
      <c r="V1359" s="774"/>
    </row>
    <row r="1360" spans="1:22" hidden="1">
      <c r="A1360" s="786">
        <v>1360</v>
      </c>
      <c r="B1360" s="767"/>
      <c r="C1360" s="767"/>
      <c r="D1360" s="767"/>
      <c r="E1360" s="767"/>
      <c r="F1360" s="806"/>
      <c r="G1360" s="778"/>
      <c r="H1360" s="788"/>
      <c r="I1360" s="788"/>
      <c r="J1360" s="788"/>
      <c r="K1360" s="788"/>
      <c r="L1360" s="788"/>
      <c r="M1360" s="788"/>
      <c r="N1360" s="788"/>
      <c r="O1360" s="788"/>
      <c r="P1360" s="772"/>
      <c r="R1360" s="774"/>
    </row>
    <row r="1361" spans="1:22" hidden="1">
      <c r="A1361" s="786">
        <v>1361</v>
      </c>
      <c r="B1361" s="767"/>
      <c r="C1361" s="767"/>
      <c r="D1361" s="767"/>
      <c r="E1361" s="767"/>
      <c r="F1361" s="806"/>
      <c r="G1361" s="778"/>
      <c r="H1361" s="788"/>
      <c r="I1361" s="788"/>
      <c r="J1361" s="788"/>
      <c r="K1361" s="788"/>
      <c r="L1361" s="788"/>
      <c r="M1361" s="788"/>
      <c r="N1361" s="788"/>
      <c r="O1361" s="788"/>
      <c r="P1361" s="772"/>
      <c r="R1361" s="774"/>
    </row>
    <row r="1362" spans="1:22" hidden="1">
      <c r="A1362" s="786">
        <v>1362</v>
      </c>
      <c r="B1362" s="767"/>
      <c r="C1362" s="767" t="s">
        <v>1360</v>
      </c>
      <c r="D1362" s="767"/>
      <c r="E1362" s="767"/>
      <c r="F1362" s="806"/>
      <c r="G1362" s="778"/>
      <c r="H1362" s="815">
        <v>-270606371.97301036</v>
      </c>
      <c r="I1362" s="815">
        <v>-149151587.6324158</v>
      </c>
      <c r="J1362" s="815">
        <v>-46254045.223198608</v>
      </c>
      <c r="K1362" s="815">
        <v>-38980464.672551885</v>
      </c>
      <c r="L1362" s="815">
        <v>-14468594.660637867</v>
      </c>
      <c r="M1362" s="815">
        <v>-1844377.2978605221</v>
      </c>
      <c r="N1362" s="815">
        <v>-16692048.588977745</v>
      </c>
      <c r="O1362" s="815">
        <v>-3215253.8973679268</v>
      </c>
      <c r="P1362" s="772">
        <v>0</v>
      </c>
      <c r="Q1362" s="774"/>
      <c r="R1362" s="774"/>
      <c r="S1362" s="774"/>
      <c r="T1362" s="774"/>
      <c r="U1362" s="774"/>
      <c r="V1362" s="774"/>
    </row>
    <row r="1363" spans="1:22" hidden="1">
      <c r="A1363" s="786">
        <v>1363</v>
      </c>
      <c r="B1363" s="767"/>
      <c r="C1363" s="767"/>
      <c r="D1363" s="767"/>
      <c r="E1363" s="767"/>
      <c r="F1363" s="806"/>
      <c r="G1363" s="778"/>
      <c r="H1363" s="788"/>
      <c r="I1363" s="788"/>
      <c r="J1363" s="788"/>
      <c r="K1363" s="788"/>
      <c r="L1363" s="788"/>
      <c r="M1363" s="788"/>
      <c r="N1363" s="788"/>
      <c r="O1363" s="788"/>
      <c r="P1363" s="772"/>
      <c r="Q1363" s="774"/>
      <c r="R1363" s="774"/>
      <c r="S1363" s="774"/>
      <c r="T1363" s="774"/>
      <c r="U1363" s="774"/>
      <c r="V1363" s="774"/>
    </row>
    <row r="1364" spans="1:22" hidden="1">
      <c r="A1364" s="786">
        <v>1364</v>
      </c>
      <c r="B1364" s="767"/>
      <c r="C1364" s="767"/>
      <c r="D1364" s="767"/>
      <c r="E1364" s="767"/>
      <c r="F1364" s="806"/>
      <c r="H1364" s="817" t="s">
        <v>1178</v>
      </c>
      <c r="I1364" s="817"/>
      <c r="J1364" s="817"/>
      <c r="K1364" s="817"/>
      <c r="L1364" s="817"/>
      <c r="M1364" s="817"/>
      <c r="N1364" s="817"/>
      <c r="O1364" s="817"/>
      <c r="P1364" s="772"/>
      <c r="R1364" s="774"/>
    </row>
    <row r="1365" spans="1:22" hidden="1">
      <c r="A1365" s="786">
        <v>1365</v>
      </c>
      <c r="B1365" s="767"/>
      <c r="C1365" s="767" t="s">
        <v>1361</v>
      </c>
      <c r="D1365" s="775" t="s">
        <v>1362</v>
      </c>
      <c r="E1365" s="767"/>
      <c r="F1365" s="806"/>
      <c r="G1365" s="778"/>
      <c r="H1365" s="788"/>
      <c r="I1365" s="788"/>
      <c r="J1365" s="788"/>
      <c r="K1365" s="788"/>
      <c r="L1365" s="788"/>
      <c r="M1365" s="788"/>
      <c r="N1365" s="788"/>
      <c r="O1365" s="788"/>
      <c r="P1365" s="772"/>
      <c r="R1365" s="774"/>
    </row>
    <row r="1366" spans="1:22" hidden="1">
      <c r="A1366" s="786">
        <v>1366</v>
      </c>
      <c r="B1366" s="767"/>
      <c r="C1366" s="767"/>
      <c r="D1366" s="767"/>
      <c r="E1366" s="767" t="s">
        <v>727</v>
      </c>
      <c r="F1366" s="806" t="s">
        <v>1425</v>
      </c>
      <c r="G1366" s="778"/>
      <c r="H1366" s="815">
        <v>-25429456.711387709</v>
      </c>
      <c r="I1366" s="815">
        <v>-13255171.324803438</v>
      </c>
      <c r="J1366" s="815">
        <v>-4020995.4919363079</v>
      </c>
      <c r="K1366" s="815">
        <v>-4154524.8932707673</v>
      </c>
      <c r="L1366" s="815">
        <v>-1601171.1815193594</v>
      </c>
      <c r="M1366" s="815">
        <v>-847469.47140964074</v>
      </c>
      <c r="N1366" s="815">
        <v>-1331749.3055267422</v>
      </c>
      <c r="O1366" s="815">
        <v>-218375.04292144999</v>
      </c>
      <c r="P1366" s="772">
        <v>0</v>
      </c>
      <c r="Q1366" s="774"/>
      <c r="R1366" s="774">
        <v>2157</v>
      </c>
      <c r="S1366" s="774"/>
      <c r="T1366" s="774"/>
      <c r="U1366" s="774"/>
      <c r="V1366" s="774"/>
    </row>
    <row r="1367" spans="1:22" hidden="1">
      <c r="A1367" s="786">
        <v>1367</v>
      </c>
      <c r="B1367" s="767"/>
      <c r="C1367" s="767"/>
      <c r="D1367" s="767"/>
      <c r="E1367" s="767" t="s">
        <v>1196</v>
      </c>
      <c r="F1367" s="806" t="s">
        <v>1426</v>
      </c>
      <c r="G1367" s="778"/>
      <c r="H1367" s="815">
        <v>1931.598069928471</v>
      </c>
      <c r="I1367" s="815">
        <v>839.50908180656472</v>
      </c>
      <c r="J1367" s="815">
        <v>257.11093704800089</v>
      </c>
      <c r="K1367" s="815">
        <v>421.933945679153</v>
      </c>
      <c r="L1367" s="815">
        <v>171.34659294825235</v>
      </c>
      <c r="M1367" s="815">
        <v>165.49205583930365</v>
      </c>
      <c r="N1367" s="815">
        <v>73.600891255676544</v>
      </c>
      <c r="O1367" s="815">
        <v>2.6045653515197129</v>
      </c>
      <c r="P1367" s="772">
        <v>0</v>
      </c>
      <c r="Q1367" s="774"/>
      <c r="R1367" s="774">
        <v>2158</v>
      </c>
      <c r="S1367" s="774"/>
      <c r="T1367" s="774"/>
      <c r="U1367" s="774"/>
      <c r="V1367" s="774"/>
    </row>
    <row r="1368" spans="1:22" hidden="1">
      <c r="A1368" s="786">
        <v>1368</v>
      </c>
      <c r="B1368" s="767"/>
      <c r="C1368" s="767"/>
      <c r="D1368" s="767"/>
      <c r="E1368" s="767" t="s">
        <v>1191</v>
      </c>
      <c r="F1368" s="806" t="s">
        <v>1426</v>
      </c>
      <c r="G1368" s="778"/>
      <c r="H1368" s="815">
        <v>0</v>
      </c>
      <c r="I1368" s="815">
        <v>0</v>
      </c>
      <c r="J1368" s="815">
        <v>0</v>
      </c>
      <c r="K1368" s="815">
        <v>0</v>
      </c>
      <c r="L1368" s="815">
        <v>0</v>
      </c>
      <c r="M1368" s="815">
        <v>0</v>
      </c>
      <c r="N1368" s="815">
        <v>0</v>
      </c>
      <c r="O1368" s="815">
        <v>0</v>
      </c>
      <c r="P1368" s="772">
        <v>0</v>
      </c>
      <c r="Q1368" s="774"/>
      <c r="R1368" s="774">
        <v>2159</v>
      </c>
      <c r="S1368" s="774"/>
      <c r="T1368" s="774"/>
      <c r="U1368" s="774"/>
      <c r="V1368" s="774"/>
    </row>
    <row r="1369" spans="1:22" hidden="1">
      <c r="A1369" s="786">
        <v>1369</v>
      </c>
      <c r="B1369" s="767"/>
      <c r="C1369" s="767"/>
      <c r="D1369" s="767"/>
      <c r="E1369" s="767" t="s">
        <v>719</v>
      </c>
      <c r="F1369" s="806" t="s">
        <v>1426</v>
      </c>
      <c r="G1369" s="778"/>
      <c r="H1369" s="815">
        <v>-7791522.7139448579</v>
      </c>
      <c r="I1369" s="815">
        <v>-3386343.2467092201</v>
      </c>
      <c r="J1369" s="815">
        <v>-1037113.122652545</v>
      </c>
      <c r="K1369" s="815">
        <v>-1701962.7285428154</v>
      </c>
      <c r="L1369" s="815">
        <v>-691163.90811200719</v>
      </c>
      <c r="M1369" s="815">
        <v>-667548.35393737699</v>
      </c>
      <c r="N1369" s="815">
        <v>-296885.270757402</v>
      </c>
      <c r="O1369" s="815">
        <v>-10506.083233491274</v>
      </c>
      <c r="P1369" s="772">
        <v>0</v>
      </c>
      <c r="Q1369" s="774"/>
      <c r="R1369" s="774">
        <v>2160</v>
      </c>
      <c r="S1369" s="774"/>
      <c r="T1369" s="774"/>
      <c r="U1369" s="774"/>
      <c r="V1369" s="774"/>
    </row>
    <row r="1370" spans="1:22" hidden="1">
      <c r="A1370" s="786">
        <v>1370</v>
      </c>
      <c r="B1370" s="767"/>
      <c r="C1370" s="767"/>
      <c r="D1370" s="767"/>
      <c r="E1370" s="767" t="s">
        <v>1003</v>
      </c>
      <c r="F1370" s="806" t="s">
        <v>1410</v>
      </c>
      <c r="G1370" s="778"/>
      <c r="H1370" s="815">
        <v>-332175.91108839225</v>
      </c>
      <c r="I1370" s="815">
        <v>-270849.93495784386</v>
      </c>
      <c r="J1370" s="815">
        <v>-47011.994350183748</v>
      </c>
      <c r="K1370" s="815">
        <v>-2736.2045414603836</v>
      </c>
      <c r="L1370" s="815">
        <v>-700.04713054831075</v>
      </c>
      <c r="M1370" s="815">
        <v>-10.857269560847959</v>
      </c>
      <c r="N1370" s="815">
        <v>-4601.092575952116</v>
      </c>
      <c r="O1370" s="815">
        <v>-6265.7802628429436</v>
      </c>
      <c r="P1370" s="772">
        <v>0</v>
      </c>
      <c r="Q1370" s="774"/>
      <c r="R1370" s="774">
        <v>2161</v>
      </c>
      <c r="S1370" s="774"/>
      <c r="T1370" s="774"/>
      <c r="U1370" s="774"/>
      <c r="V1370" s="774"/>
    </row>
    <row r="1371" spans="1:22" hidden="1">
      <c r="A1371" s="786">
        <v>1371</v>
      </c>
      <c r="B1371" s="767"/>
      <c r="C1371" s="767"/>
      <c r="D1371" s="767"/>
      <c r="E1371" s="767" t="s">
        <v>1005</v>
      </c>
      <c r="F1371" s="806" t="s">
        <v>1411</v>
      </c>
      <c r="G1371" s="778"/>
      <c r="H1371" s="815">
        <v>-7130526.3291732343</v>
      </c>
      <c r="I1371" s="815">
        <v>-3320712.7122686803</v>
      </c>
      <c r="J1371" s="815">
        <v>-1029666.6491555984</v>
      </c>
      <c r="K1371" s="815">
        <v>-1410222.1876356136</v>
      </c>
      <c r="L1371" s="815">
        <v>-563139.5623683139</v>
      </c>
      <c r="M1371" s="815">
        <v>-451382.69133439718</v>
      </c>
      <c r="N1371" s="815">
        <v>-322142.28207109659</v>
      </c>
      <c r="O1371" s="815">
        <v>-33260.244339533245</v>
      </c>
      <c r="P1371" s="772">
        <v>0</v>
      </c>
      <c r="Q1371" s="774"/>
      <c r="R1371" s="774">
        <v>2162</v>
      </c>
      <c r="S1371" s="774"/>
      <c r="T1371" s="774"/>
      <c r="U1371" s="774"/>
      <c r="V1371" s="774"/>
    </row>
    <row r="1372" spans="1:22" hidden="1">
      <c r="A1372" s="786">
        <v>1372</v>
      </c>
      <c r="B1372" s="767"/>
      <c r="C1372" s="767"/>
      <c r="D1372" s="767"/>
      <c r="E1372" s="767" t="s">
        <v>738</v>
      </c>
      <c r="F1372" s="806" t="s">
        <v>1392</v>
      </c>
      <c r="G1372" s="778"/>
      <c r="H1372" s="815">
        <v>0</v>
      </c>
      <c r="I1372" s="815">
        <v>0</v>
      </c>
      <c r="J1372" s="815">
        <v>0</v>
      </c>
      <c r="K1372" s="815">
        <v>0</v>
      </c>
      <c r="L1372" s="815">
        <v>0</v>
      </c>
      <c r="M1372" s="815">
        <v>0</v>
      </c>
      <c r="N1372" s="815">
        <v>0</v>
      </c>
      <c r="O1372" s="815">
        <v>0</v>
      </c>
      <c r="P1372" s="772">
        <v>0</v>
      </c>
      <c r="Q1372" s="774"/>
      <c r="R1372" s="774">
        <v>2163</v>
      </c>
      <c r="S1372" s="774"/>
      <c r="T1372" s="774"/>
      <c r="U1372" s="774"/>
      <c r="V1372" s="774"/>
    </row>
    <row r="1373" spans="1:22" hidden="1">
      <c r="A1373" s="786">
        <v>1373</v>
      </c>
      <c r="B1373" s="767"/>
      <c r="C1373" s="767"/>
      <c r="D1373" s="767"/>
      <c r="E1373" s="767" t="s">
        <v>718</v>
      </c>
      <c r="F1373" s="806" t="s">
        <v>1426</v>
      </c>
      <c r="G1373" s="778"/>
      <c r="H1373" s="815">
        <v>-1312646.2266117241</v>
      </c>
      <c r="I1373" s="815">
        <v>-570500.89539614622</v>
      </c>
      <c r="J1373" s="815">
        <v>-174723.56521310913</v>
      </c>
      <c r="K1373" s="815">
        <v>-286731.49466112588</v>
      </c>
      <c r="L1373" s="815">
        <v>-116441.12829571601</v>
      </c>
      <c r="M1373" s="815">
        <v>-112462.59043928483</v>
      </c>
      <c r="N1373" s="815">
        <v>-50016.581444193151</v>
      </c>
      <c r="O1373" s="815">
        <v>-1769.9711621489632</v>
      </c>
      <c r="P1373" s="772">
        <v>0</v>
      </c>
      <c r="Q1373" s="774"/>
      <c r="R1373" s="774">
        <v>2164</v>
      </c>
      <c r="S1373" s="774"/>
      <c r="T1373" s="774"/>
      <c r="U1373" s="774"/>
      <c r="V1373" s="774"/>
    </row>
    <row r="1374" spans="1:22" hidden="1">
      <c r="A1374" s="786">
        <v>1374</v>
      </c>
      <c r="B1374" s="767"/>
      <c r="C1374" s="767"/>
      <c r="D1374" s="767"/>
      <c r="E1374" s="767" t="s">
        <v>1192</v>
      </c>
      <c r="F1374" s="806" t="s">
        <v>1426</v>
      </c>
      <c r="G1374" s="778"/>
      <c r="H1374" s="815">
        <v>72.497943240430459</v>
      </c>
      <c r="I1374" s="815">
        <v>30.322244863999533</v>
      </c>
      <c r="J1374" s="815">
        <v>9.6883793855476785</v>
      </c>
      <c r="K1374" s="815">
        <v>16.441352426754133</v>
      </c>
      <c r="L1374" s="815">
        <v>6.7023967159461026</v>
      </c>
      <c r="M1374" s="815">
        <v>6.3386418162618599</v>
      </c>
      <c r="N1374" s="815">
        <v>2.8882598661896641</v>
      </c>
      <c r="O1374" s="815">
        <v>0.11666816573149152</v>
      </c>
      <c r="P1374" s="772">
        <v>0</v>
      </c>
      <c r="Q1374" s="774"/>
      <c r="R1374" s="774">
        <v>2165</v>
      </c>
      <c r="S1374" s="774"/>
      <c r="T1374" s="774"/>
      <c r="U1374" s="774"/>
      <c r="V1374" s="774"/>
    </row>
    <row r="1375" spans="1:22" hidden="1">
      <c r="A1375" s="786">
        <v>1375</v>
      </c>
      <c r="B1375" s="767"/>
      <c r="C1375" s="767"/>
      <c r="D1375" s="767"/>
      <c r="E1375" s="767" t="s">
        <v>1192</v>
      </c>
      <c r="F1375" s="806" t="s">
        <v>1426</v>
      </c>
      <c r="G1375" s="778"/>
      <c r="H1375" s="815">
        <v>0</v>
      </c>
      <c r="I1375" s="815">
        <v>0</v>
      </c>
      <c r="J1375" s="815">
        <v>0</v>
      </c>
      <c r="K1375" s="815">
        <v>0</v>
      </c>
      <c r="L1375" s="815">
        <v>0</v>
      </c>
      <c r="M1375" s="815">
        <v>0</v>
      </c>
      <c r="N1375" s="815">
        <v>0</v>
      </c>
      <c r="O1375" s="815">
        <v>0</v>
      </c>
      <c r="P1375" s="772">
        <v>0</v>
      </c>
      <c r="Q1375" s="774"/>
      <c r="R1375" s="774">
        <v>2166</v>
      </c>
      <c r="S1375" s="774"/>
      <c r="T1375" s="774"/>
      <c r="U1375" s="774"/>
      <c r="V1375" s="774"/>
    </row>
    <row r="1376" spans="1:22" hidden="1">
      <c r="A1376" s="786">
        <v>1376</v>
      </c>
      <c r="B1376" s="767"/>
      <c r="C1376" s="767"/>
      <c r="D1376" s="775" t="s">
        <v>1363</v>
      </c>
      <c r="E1376" s="767"/>
      <c r="F1376" s="806"/>
      <c r="G1376" s="778"/>
      <c r="H1376" s="815">
        <v>-41994323.796192743</v>
      </c>
      <c r="I1376" s="815">
        <v>-20802708.282808658</v>
      </c>
      <c r="J1376" s="815">
        <v>-6309244.023991311</v>
      </c>
      <c r="K1376" s="815">
        <v>-7555739.1333536776</v>
      </c>
      <c r="L1376" s="815">
        <v>-2972437.7784362808</v>
      </c>
      <c r="M1376" s="815">
        <v>-2078702.133692605</v>
      </c>
      <c r="N1376" s="815">
        <v>-2005318.0432242644</v>
      </c>
      <c r="O1376" s="815">
        <v>-270174.40068594919</v>
      </c>
      <c r="P1376" s="772">
        <v>0</v>
      </c>
      <c r="Q1376" s="774"/>
      <c r="R1376" s="774"/>
      <c r="S1376" s="774"/>
      <c r="T1376" s="774"/>
      <c r="U1376" s="774"/>
      <c r="V1376" s="774"/>
    </row>
    <row r="1377" spans="1:22" hidden="1">
      <c r="A1377" s="786">
        <v>1377</v>
      </c>
      <c r="B1377" s="767"/>
      <c r="C1377" s="767"/>
      <c r="D1377" s="767"/>
      <c r="E1377" s="767"/>
      <c r="F1377" s="806"/>
      <c r="G1377" s="778"/>
      <c r="H1377" s="788"/>
      <c r="I1377" s="788"/>
      <c r="J1377" s="788"/>
      <c r="K1377" s="788"/>
      <c r="L1377" s="788"/>
      <c r="M1377" s="788"/>
      <c r="N1377" s="788"/>
      <c r="O1377" s="788"/>
      <c r="P1377" s="772"/>
      <c r="R1377" s="774"/>
    </row>
    <row r="1378" spans="1:22" hidden="1">
      <c r="A1378" s="786">
        <v>1378</v>
      </c>
      <c r="B1378" s="767"/>
      <c r="C1378" s="767" t="s">
        <v>1364</v>
      </c>
      <c r="D1378" s="767" t="s">
        <v>1365</v>
      </c>
      <c r="E1378" s="767"/>
      <c r="F1378" s="806" t="s">
        <v>1392</v>
      </c>
      <c r="G1378" s="778"/>
      <c r="H1378" s="815">
        <v>-57337030.203123763</v>
      </c>
      <c r="I1378" s="815">
        <v>-23981197.146901745</v>
      </c>
      <c r="J1378" s="815">
        <v>-7662326.3587797554</v>
      </c>
      <c r="K1378" s="815">
        <v>-13003104.343893752</v>
      </c>
      <c r="L1378" s="815">
        <v>-5300778.2808548193</v>
      </c>
      <c r="M1378" s="815">
        <v>-5013092.5240249848</v>
      </c>
      <c r="N1378" s="815">
        <v>-2284261.260115766</v>
      </c>
      <c r="O1378" s="815">
        <v>-92270.288552945436</v>
      </c>
      <c r="P1378" s="772">
        <v>0</v>
      </c>
      <c r="Q1378" s="774"/>
      <c r="R1378" s="774">
        <v>2173</v>
      </c>
      <c r="S1378" s="774"/>
      <c r="T1378" s="774"/>
      <c r="U1378" s="774"/>
      <c r="V1378" s="774"/>
    </row>
    <row r="1379" spans="1:22" hidden="1">
      <c r="A1379" s="786">
        <v>1379</v>
      </c>
      <c r="B1379" s="767"/>
      <c r="C1379" s="767"/>
      <c r="D1379" s="767"/>
      <c r="E1379" s="767"/>
      <c r="F1379" s="806"/>
      <c r="G1379" s="778"/>
      <c r="H1379" s="788"/>
      <c r="I1379" s="788"/>
      <c r="J1379" s="788"/>
      <c r="K1379" s="788"/>
      <c r="L1379" s="788"/>
      <c r="M1379" s="788"/>
      <c r="N1379" s="788"/>
      <c r="O1379" s="788"/>
      <c r="P1379" s="772"/>
      <c r="R1379" s="774"/>
    </row>
    <row r="1380" spans="1:22" hidden="1">
      <c r="A1380" s="786">
        <v>1380</v>
      </c>
      <c r="B1380" s="767"/>
      <c r="C1380" s="767" t="s">
        <v>1366</v>
      </c>
      <c r="D1380" s="767" t="s">
        <v>1367</v>
      </c>
      <c r="E1380" s="767"/>
      <c r="F1380" s="806" t="s">
        <v>1392</v>
      </c>
      <c r="G1380" s="778"/>
      <c r="H1380" s="815">
        <v>0</v>
      </c>
      <c r="I1380" s="815">
        <v>0</v>
      </c>
      <c r="J1380" s="815">
        <v>0</v>
      </c>
      <c r="K1380" s="815">
        <v>0</v>
      </c>
      <c r="L1380" s="815">
        <v>0</v>
      </c>
      <c r="M1380" s="815">
        <v>0</v>
      </c>
      <c r="N1380" s="815">
        <v>0</v>
      </c>
      <c r="O1380" s="815">
        <v>0</v>
      </c>
      <c r="P1380" s="772">
        <v>0</v>
      </c>
      <c r="Q1380" s="774"/>
      <c r="R1380" s="774">
        <v>2180</v>
      </c>
      <c r="S1380" s="774"/>
      <c r="T1380" s="774"/>
      <c r="U1380" s="774"/>
      <c r="V1380" s="774"/>
    </row>
    <row r="1381" spans="1:22" hidden="1">
      <c r="A1381" s="786">
        <v>1381</v>
      </c>
      <c r="B1381" s="767"/>
      <c r="C1381" s="767"/>
      <c r="D1381" s="767" t="s">
        <v>1217</v>
      </c>
      <c r="E1381" s="767"/>
      <c r="F1381" s="806" t="s">
        <v>1392</v>
      </c>
      <c r="G1381" s="778"/>
      <c r="H1381" s="815">
        <v>0</v>
      </c>
      <c r="I1381" s="815">
        <v>0</v>
      </c>
      <c r="J1381" s="815">
        <v>0</v>
      </c>
      <c r="K1381" s="815">
        <v>0</v>
      </c>
      <c r="L1381" s="815">
        <v>0</v>
      </c>
      <c r="M1381" s="815">
        <v>0</v>
      </c>
      <c r="N1381" s="815">
        <v>0</v>
      </c>
      <c r="O1381" s="815">
        <v>0</v>
      </c>
      <c r="P1381" s="772">
        <v>0</v>
      </c>
      <c r="Q1381" s="774"/>
      <c r="R1381" s="774">
        <v>2183</v>
      </c>
      <c r="S1381" s="774"/>
      <c r="T1381" s="774"/>
      <c r="U1381" s="774"/>
      <c r="V1381" s="774"/>
    </row>
    <row r="1382" spans="1:22" hidden="1">
      <c r="A1382" s="786">
        <v>1382</v>
      </c>
      <c r="B1382" s="767"/>
      <c r="C1382" s="767"/>
      <c r="D1382" s="767"/>
      <c r="E1382" s="767"/>
      <c r="F1382" s="806"/>
      <c r="G1382" s="778"/>
      <c r="H1382" s="788"/>
      <c r="I1382" s="788"/>
      <c r="J1382" s="788"/>
      <c r="K1382" s="788"/>
      <c r="L1382" s="788"/>
      <c r="M1382" s="788"/>
      <c r="N1382" s="788"/>
      <c r="O1382" s="788"/>
      <c r="P1382" s="772"/>
      <c r="R1382" s="774"/>
    </row>
    <row r="1383" spans="1:22" hidden="1">
      <c r="A1383" s="786">
        <v>1383</v>
      </c>
      <c r="B1383" s="767"/>
      <c r="C1383" s="767" t="s">
        <v>1368</v>
      </c>
      <c r="D1383" s="767" t="s">
        <v>1369</v>
      </c>
      <c r="E1383" s="767"/>
      <c r="F1383" s="806" t="s">
        <v>1392</v>
      </c>
      <c r="G1383" s="778"/>
      <c r="H1383" s="815">
        <v>0</v>
      </c>
      <c r="I1383" s="815">
        <v>0</v>
      </c>
      <c r="J1383" s="815">
        <v>0</v>
      </c>
      <c r="K1383" s="815">
        <v>0</v>
      </c>
      <c r="L1383" s="815">
        <v>0</v>
      </c>
      <c r="M1383" s="815">
        <v>0</v>
      </c>
      <c r="N1383" s="815">
        <v>0</v>
      </c>
      <c r="O1383" s="815">
        <v>0</v>
      </c>
      <c r="P1383" s="772">
        <v>0</v>
      </c>
      <c r="Q1383" s="774"/>
      <c r="R1383" s="774">
        <v>2187</v>
      </c>
      <c r="S1383" s="774"/>
      <c r="T1383" s="774"/>
      <c r="U1383" s="774"/>
      <c r="V1383" s="774"/>
    </row>
    <row r="1384" spans="1:22" hidden="1">
      <c r="A1384" s="786">
        <v>1384</v>
      </c>
      <c r="B1384" s="767"/>
      <c r="C1384" s="767"/>
      <c r="D1384" s="767"/>
      <c r="E1384" s="767" t="s">
        <v>738</v>
      </c>
      <c r="F1384" s="806" t="s">
        <v>1392</v>
      </c>
      <c r="G1384" s="778"/>
      <c r="H1384" s="815">
        <v>0</v>
      </c>
      <c r="I1384" s="815">
        <v>0</v>
      </c>
      <c r="J1384" s="815">
        <v>0</v>
      </c>
      <c r="K1384" s="815">
        <v>0</v>
      </c>
      <c r="L1384" s="815">
        <v>0</v>
      </c>
      <c r="M1384" s="815">
        <v>0</v>
      </c>
      <c r="N1384" s="815">
        <v>0</v>
      </c>
      <c r="O1384" s="815">
        <v>0</v>
      </c>
      <c r="P1384" s="772">
        <v>0</v>
      </c>
      <c r="Q1384" s="774"/>
      <c r="R1384" s="774">
        <v>2188</v>
      </c>
      <c r="S1384" s="774"/>
      <c r="T1384" s="774"/>
      <c r="U1384" s="774"/>
      <c r="V1384" s="774"/>
    </row>
    <row r="1385" spans="1:22" hidden="1">
      <c r="A1385" s="786">
        <v>1385</v>
      </c>
      <c r="B1385" s="767"/>
      <c r="C1385" s="767"/>
      <c r="D1385" s="767" t="s">
        <v>1370</v>
      </c>
      <c r="E1385" s="767"/>
      <c r="F1385" s="806" t="s">
        <v>1392</v>
      </c>
      <c r="G1385" s="778"/>
      <c r="H1385" s="815">
        <v>0</v>
      </c>
      <c r="I1385" s="815">
        <v>0</v>
      </c>
      <c r="J1385" s="815">
        <v>0</v>
      </c>
      <c r="K1385" s="815">
        <v>0</v>
      </c>
      <c r="L1385" s="815">
        <v>0</v>
      </c>
      <c r="M1385" s="815">
        <v>0</v>
      </c>
      <c r="N1385" s="815">
        <v>0</v>
      </c>
      <c r="O1385" s="815">
        <v>0</v>
      </c>
      <c r="P1385" s="772">
        <v>0</v>
      </c>
      <c r="Q1385" s="774"/>
      <c r="R1385" s="774">
        <v>2191</v>
      </c>
      <c r="S1385" s="774"/>
      <c r="T1385" s="774"/>
      <c r="U1385" s="774"/>
      <c r="V1385" s="774"/>
    </row>
    <row r="1386" spans="1:22" hidden="1">
      <c r="A1386" s="786">
        <v>1386</v>
      </c>
      <c r="B1386" s="767"/>
      <c r="C1386" s="767"/>
      <c r="D1386" s="767"/>
      <c r="E1386" s="767"/>
      <c r="F1386" s="806"/>
      <c r="G1386" s="778"/>
      <c r="H1386" s="788"/>
      <c r="I1386" s="788"/>
      <c r="J1386" s="788"/>
      <c r="K1386" s="788"/>
      <c r="L1386" s="788"/>
      <c r="M1386" s="788"/>
      <c r="N1386" s="788"/>
      <c r="O1386" s="788"/>
      <c r="P1386" s="772"/>
      <c r="R1386" s="774"/>
    </row>
    <row r="1387" spans="1:22" hidden="1">
      <c r="A1387" s="786">
        <v>1387</v>
      </c>
      <c r="B1387" s="767"/>
      <c r="C1387" s="767" t="s">
        <v>1371</v>
      </c>
      <c r="D1387" s="767"/>
      <c r="E1387" s="767"/>
      <c r="F1387" s="806"/>
      <c r="G1387" s="778"/>
      <c r="H1387" s="827">
        <v>-99331353.999316528</v>
      </c>
      <c r="I1387" s="827">
        <v>-44783905.429710411</v>
      </c>
      <c r="J1387" s="827">
        <v>-13971570.382771065</v>
      </c>
      <c r="K1387" s="827">
        <v>-20558843.477247428</v>
      </c>
      <c r="L1387" s="827">
        <v>-8273216.0592911001</v>
      </c>
      <c r="M1387" s="827">
        <v>-7091794.6577175893</v>
      </c>
      <c r="N1387" s="827">
        <v>-4289579.3033400308</v>
      </c>
      <c r="O1387" s="827">
        <v>-362444.68923889461</v>
      </c>
      <c r="P1387" s="772">
        <v>0</v>
      </c>
      <c r="Q1387" s="774"/>
      <c r="R1387" s="774"/>
      <c r="S1387" s="774"/>
      <c r="T1387" s="774"/>
      <c r="U1387" s="774"/>
      <c r="V1387" s="774"/>
    </row>
    <row r="1388" spans="1:22" hidden="1">
      <c r="A1388" s="786">
        <v>1388</v>
      </c>
      <c r="B1388" s="767"/>
      <c r="C1388" s="767"/>
      <c r="D1388" s="767"/>
      <c r="E1388" s="767"/>
      <c r="F1388" s="806"/>
      <c r="G1388" s="778"/>
      <c r="H1388" s="788"/>
      <c r="I1388" s="788"/>
      <c r="J1388" s="788"/>
      <c r="K1388" s="788"/>
      <c r="L1388" s="788"/>
      <c r="M1388" s="788"/>
      <c r="N1388" s="788"/>
      <c r="O1388" s="788"/>
      <c r="P1388" s="772"/>
      <c r="R1388" s="774"/>
    </row>
    <row r="1389" spans="1:22" hidden="1">
      <c r="A1389" s="786">
        <v>1389</v>
      </c>
      <c r="B1389" s="767"/>
      <c r="C1389" s="767"/>
      <c r="D1389" s="767"/>
      <c r="E1389" s="767"/>
      <c r="F1389" s="806"/>
      <c r="G1389" s="778"/>
      <c r="H1389" s="788"/>
      <c r="I1389" s="788"/>
      <c r="J1389" s="788"/>
      <c r="K1389" s="788"/>
      <c r="L1389" s="788"/>
      <c r="M1389" s="788"/>
      <c r="N1389" s="788"/>
      <c r="O1389" s="788"/>
      <c r="P1389" s="772"/>
      <c r="R1389" s="774"/>
    </row>
    <row r="1390" spans="1:22" ht="13.5" hidden="1" thickBot="1">
      <c r="A1390" s="786">
        <v>1390</v>
      </c>
      <c r="B1390" s="767"/>
      <c r="C1390" s="767" t="s">
        <v>1372</v>
      </c>
      <c r="D1390" s="767"/>
      <c r="E1390" s="767"/>
      <c r="F1390" s="806"/>
      <c r="G1390" s="778"/>
      <c r="H1390" s="814">
        <v>-764511699.83147621</v>
      </c>
      <c r="I1390" s="814">
        <v>-363278266.01523256</v>
      </c>
      <c r="J1390" s="814">
        <v>-112815856.58103614</v>
      </c>
      <c r="K1390" s="814">
        <v>-146823592.01539832</v>
      </c>
      <c r="L1390" s="814">
        <v>-58234090.530791335</v>
      </c>
      <c r="M1390" s="814">
        <v>-42972027.1423309</v>
      </c>
      <c r="N1390" s="814">
        <v>-36243918.005090669</v>
      </c>
      <c r="O1390" s="814">
        <v>-4143949.5415964555</v>
      </c>
      <c r="P1390" s="772">
        <v>0</v>
      </c>
      <c r="Q1390" s="774"/>
      <c r="R1390" s="774"/>
      <c r="S1390" s="774"/>
      <c r="T1390" s="774"/>
      <c r="U1390" s="774"/>
      <c r="V1390" s="774"/>
    </row>
    <row r="1391" spans="1:22" ht="13.5" hidden="1" thickTop="1">
      <c r="A1391" s="786">
        <v>1391</v>
      </c>
      <c r="B1391" s="767"/>
      <c r="C1391" s="767"/>
      <c r="D1391" s="767"/>
      <c r="E1391" s="767"/>
      <c r="F1391" s="806"/>
      <c r="G1391" s="778"/>
      <c r="H1391" s="810"/>
      <c r="I1391" s="810"/>
      <c r="J1391" s="810"/>
      <c r="K1391" s="810"/>
      <c r="L1391" s="810"/>
      <c r="M1391" s="810"/>
      <c r="N1391" s="810"/>
      <c r="O1391" s="810"/>
      <c r="P1391" s="772"/>
      <c r="R1391" s="774"/>
    </row>
    <row r="1392" spans="1:22" hidden="1">
      <c r="A1392" s="786">
        <v>1392</v>
      </c>
      <c r="B1392" s="767"/>
      <c r="C1392" s="767"/>
      <c r="D1392" s="767"/>
      <c r="E1392" s="767"/>
      <c r="F1392" s="806"/>
      <c r="G1392" s="778"/>
      <c r="H1392" s="788"/>
      <c r="I1392" s="788"/>
      <c r="J1392" s="788"/>
      <c r="K1392" s="788"/>
      <c r="L1392" s="788"/>
      <c r="M1392" s="788"/>
      <c r="N1392" s="788"/>
      <c r="O1392" s="788"/>
      <c r="P1392" s="772"/>
      <c r="R1392" s="774"/>
    </row>
    <row r="1393" spans="1:22" hidden="1">
      <c r="A1393" s="786">
        <v>1393</v>
      </c>
      <c r="C1393" s="769"/>
      <c r="D1393" s="795"/>
      <c r="E1393" s="795"/>
      <c r="F1393" s="806"/>
      <c r="H1393" s="817" t="s">
        <v>1373</v>
      </c>
      <c r="I1393" s="817"/>
      <c r="J1393" s="817"/>
      <c r="K1393" s="817"/>
      <c r="L1393" s="817"/>
      <c r="M1393" s="817"/>
      <c r="N1393" s="817"/>
      <c r="O1393" s="817"/>
      <c r="P1393" s="772"/>
      <c r="R1393" s="774"/>
    </row>
    <row r="1394" spans="1:22" hidden="1">
      <c r="A1394" s="786">
        <v>1394</v>
      </c>
      <c r="B1394" s="767"/>
      <c r="C1394" s="767"/>
      <c r="D1394" s="767"/>
      <c r="E1394" s="767"/>
      <c r="F1394" s="806"/>
      <c r="G1394" s="778"/>
      <c r="H1394" s="788"/>
      <c r="I1394" s="788"/>
      <c r="J1394" s="788"/>
      <c r="K1394" s="788"/>
      <c r="L1394" s="788"/>
      <c r="M1394" s="788"/>
      <c r="N1394" s="788"/>
      <c r="O1394" s="788"/>
      <c r="P1394" s="772"/>
      <c r="R1394" s="774"/>
    </row>
    <row r="1395" spans="1:22" hidden="1">
      <c r="A1395" s="786">
        <v>1395</v>
      </c>
      <c r="B1395" s="767"/>
      <c r="C1395" s="767" t="s">
        <v>1374</v>
      </c>
      <c r="D1395" s="767" t="s">
        <v>1375</v>
      </c>
      <c r="E1395" s="767"/>
      <c r="F1395" s="806" t="s">
        <v>1392</v>
      </c>
      <c r="G1395" s="778"/>
      <c r="H1395" s="815">
        <v>0</v>
      </c>
      <c r="I1395" s="815">
        <v>0</v>
      </c>
      <c r="J1395" s="815">
        <v>0</v>
      </c>
      <c r="K1395" s="815">
        <v>0</v>
      </c>
      <c r="L1395" s="815">
        <v>0</v>
      </c>
      <c r="M1395" s="815">
        <v>0</v>
      </c>
      <c r="N1395" s="815">
        <v>0</v>
      </c>
      <c r="O1395" s="815">
        <v>0</v>
      </c>
      <c r="P1395" s="772">
        <v>0</v>
      </c>
      <c r="Q1395" s="774"/>
      <c r="R1395" s="774">
        <v>2204</v>
      </c>
      <c r="S1395" s="774"/>
      <c r="T1395" s="774"/>
      <c r="U1395" s="774"/>
      <c r="V1395" s="774"/>
    </row>
    <row r="1396" spans="1:22" hidden="1">
      <c r="A1396" s="786">
        <v>1396</v>
      </c>
      <c r="B1396" s="767"/>
      <c r="C1396" s="767"/>
      <c r="D1396" s="767"/>
      <c r="E1396" s="767"/>
      <c r="F1396" s="806"/>
      <c r="G1396" s="778"/>
      <c r="H1396" s="810"/>
      <c r="I1396" s="810"/>
      <c r="J1396" s="810"/>
      <c r="K1396" s="810"/>
      <c r="L1396" s="810"/>
      <c r="M1396" s="810"/>
      <c r="N1396" s="810"/>
      <c r="O1396" s="810"/>
      <c r="P1396" s="772"/>
      <c r="R1396" s="774"/>
    </row>
    <row r="1397" spans="1:22" hidden="1">
      <c r="A1397" s="786">
        <v>1397</v>
      </c>
      <c r="B1397" s="767"/>
      <c r="C1397" s="767" t="s">
        <v>1376</v>
      </c>
      <c r="D1397" s="767" t="s">
        <v>1377</v>
      </c>
      <c r="E1397" s="767"/>
      <c r="F1397" s="806"/>
      <c r="G1397" s="778"/>
      <c r="H1397" s="788"/>
      <c r="I1397" s="788"/>
      <c r="J1397" s="788"/>
      <c r="K1397" s="788"/>
      <c r="L1397" s="788"/>
      <c r="M1397" s="788"/>
      <c r="N1397" s="788"/>
      <c r="O1397" s="788"/>
      <c r="P1397" s="772"/>
      <c r="R1397" s="774"/>
    </row>
    <row r="1398" spans="1:22" hidden="1">
      <c r="A1398" s="786">
        <v>1398</v>
      </c>
      <c r="B1398" s="767"/>
      <c r="D1398" s="767"/>
      <c r="E1398" s="767" t="s">
        <v>727</v>
      </c>
      <c r="F1398" s="806" t="s">
        <v>1415</v>
      </c>
      <c r="G1398" s="778"/>
      <c r="H1398" s="815">
        <v>-1811790.4050000007</v>
      </c>
      <c r="I1398" s="815">
        <v>-834582.3945179499</v>
      </c>
      <c r="J1398" s="815">
        <v>-258260.00973425398</v>
      </c>
      <c r="K1398" s="815">
        <v>-364346.1301424632</v>
      </c>
      <c r="L1398" s="815">
        <v>-146021.72096724712</v>
      </c>
      <c r="M1398" s="815">
        <v>-121204.69473410642</v>
      </c>
      <c r="N1398" s="815">
        <v>-79721.505098642214</v>
      </c>
      <c r="O1398" s="815">
        <v>-7653.9498053376137</v>
      </c>
      <c r="P1398" s="772">
        <v>0</v>
      </c>
      <c r="Q1398" s="774"/>
      <c r="R1398" s="774">
        <v>2208</v>
      </c>
      <c r="S1398" s="774"/>
      <c r="T1398" s="774"/>
      <c r="U1398" s="774"/>
      <c r="V1398" s="774"/>
    </row>
    <row r="1399" spans="1:22" hidden="1">
      <c r="A1399" s="786">
        <v>1399</v>
      </c>
      <c r="B1399" s="767"/>
      <c r="C1399" s="767"/>
      <c r="D1399" s="767"/>
      <c r="E1399" s="767" t="s">
        <v>1003</v>
      </c>
      <c r="F1399" s="806" t="s">
        <v>1415</v>
      </c>
      <c r="G1399" s="778"/>
      <c r="H1399" s="815">
        <v>0</v>
      </c>
      <c r="I1399" s="815">
        <v>0</v>
      </c>
      <c r="J1399" s="815">
        <v>0</v>
      </c>
      <c r="K1399" s="815">
        <v>0</v>
      </c>
      <c r="L1399" s="815">
        <v>0</v>
      </c>
      <c r="M1399" s="815">
        <v>0</v>
      </c>
      <c r="N1399" s="815">
        <v>0</v>
      </c>
      <c r="O1399" s="815">
        <v>0</v>
      </c>
      <c r="P1399" s="772">
        <v>0</v>
      </c>
      <c r="Q1399" s="774"/>
      <c r="R1399" s="774">
        <v>2209</v>
      </c>
      <c r="S1399" s="774"/>
      <c r="T1399" s="774"/>
      <c r="U1399" s="774"/>
      <c r="V1399" s="774"/>
    </row>
    <row r="1400" spans="1:22" hidden="1">
      <c r="A1400" s="786">
        <v>1400</v>
      </c>
      <c r="B1400" s="767"/>
      <c r="D1400" s="767"/>
      <c r="E1400" s="767" t="s">
        <v>788</v>
      </c>
      <c r="F1400" s="806" t="s">
        <v>1415</v>
      </c>
      <c r="G1400" s="778"/>
      <c r="H1400" s="815">
        <v>0</v>
      </c>
      <c r="I1400" s="815">
        <v>0</v>
      </c>
      <c r="J1400" s="815">
        <v>0</v>
      </c>
      <c r="K1400" s="815">
        <v>0</v>
      </c>
      <c r="L1400" s="815">
        <v>0</v>
      </c>
      <c r="M1400" s="815">
        <v>0</v>
      </c>
      <c r="N1400" s="815">
        <v>0</v>
      </c>
      <c r="O1400" s="815">
        <v>0</v>
      </c>
      <c r="P1400" s="772">
        <v>0</v>
      </c>
      <c r="Q1400" s="774"/>
      <c r="R1400" s="774">
        <v>2210</v>
      </c>
      <c r="S1400" s="774"/>
      <c r="T1400" s="774"/>
      <c r="U1400" s="774"/>
      <c r="V1400" s="774"/>
    </row>
    <row r="1401" spans="1:22" hidden="1">
      <c r="A1401" s="786">
        <v>1401</v>
      </c>
      <c r="B1401" s="767"/>
      <c r="D1401" s="767"/>
      <c r="E1401" s="767" t="s">
        <v>1005</v>
      </c>
      <c r="F1401" s="806" t="s">
        <v>1415</v>
      </c>
      <c r="G1401" s="778"/>
      <c r="H1401" s="815">
        <v>-259306.78856897124</v>
      </c>
      <c r="I1401" s="815">
        <v>-119446.97351383296</v>
      </c>
      <c r="J1401" s="815">
        <v>-36962.649517939484</v>
      </c>
      <c r="K1401" s="815">
        <v>-52145.890978363226</v>
      </c>
      <c r="L1401" s="815">
        <v>-20898.898360890285</v>
      </c>
      <c r="M1401" s="815">
        <v>-17347.039737183964</v>
      </c>
      <c r="N1401" s="815">
        <v>-11409.889030190428</v>
      </c>
      <c r="O1401" s="815">
        <v>-1095.4474305708659</v>
      </c>
      <c r="P1401" s="772">
        <v>0</v>
      </c>
      <c r="Q1401" s="774"/>
      <c r="R1401" s="774">
        <v>2211</v>
      </c>
      <c r="S1401" s="774"/>
      <c r="T1401" s="774"/>
      <c r="U1401" s="774"/>
      <c r="V1401" s="774"/>
    </row>
    <row r="1402" spans="1:22" hidden="1">
      <c r="A1402" s="786">
        <v>1402</v>
      </c>
      <c r="B1402" s="767"/>
      <c r="D1402" s="767"/>
      <c r="E1402" s="767" t="s">
        <v>738</v>
      </c>
      <c r="F1402" s="806" t="s">
        <v>1415</v>
      </c>
      <c r="G1402" s="778"/>
      <c r="H1402" s="815">
        <v>0</v>
      </c>
      <c r="I1402" s="815">
        <v>0</v>
      </c>
      <c r="J1402" s="815">
        <v>0</v>
      </c>
      <c r="K1402" s="815">
        <v>0</v>
      </c>
      <c r="L1402" s="815">
        <v>0</v>
      </c>
      <c r="M1402" s="815">
        <v>0</v>
      </c>
      <c r="N1402" s="815">
        <v>0</v>
      </c>
      <c r="O1402" s="815">
        <v>0</v>
      </c>
      <c r="P1402" s="772">
        <v>0</v>
      </c>
      <c r="Q1402" s="774"/>
      <c r="R1402" s="774">
        <v>2212</v>
      </c>
      <c r="S1402" s="774"/>
      <c r="T1402" s="774"/>
      <c r="U1402" s="774"/>
      <c r="V1402" s="774"/>
    </row>
    <row r="1403" spans="1:22" hidden="1">
      <c r="A1403" s="786">
        <v>1403</v>
      </c>
      <c r="B1403" s="767"/>
      <c r="C1403" s="767"/>
      <c r="D1403" s="767" t="s">
        <v>1378</v>
      </c>
      <c r="E1403" s="767"/>
      <c r="F1403" s="806"/>
      <c r="G1403" s="778"/>
      <c r="H1403" s="815">
        <v>-2071097.1935689715</v>
      </c>
      <c r="I1403" s="815">
        <v>-954029.36803178291</v>
      </c>
      <c r="J1403" s="815">
        <v>-295222.65925219341</v>
      </c>
      <c r="K1403" s="815">
        <v>-416492.02112082642</v>
      </c>
      <c r="L1403" s="815">
        <v>-166920.6193281374</v>
      </c>
      <c r="M1403" s="815">
        <v>-138551.73447129037</v>
      </c>
      <c r="N1403" s="815">
        <v>-91131.394128832646</v>
      </c>
      <c r="O1403" s="815">
        <v>-8749.3972359084801</v>
      </c>
      <c r="P1403" s="772">
        <v>0</v>
      </c>
      <c r="Q1403" s="774"/>
      <c r="R1403" s="774">
        <v>2213</v>
      </c>
      <c r="S1403" s="774"/>
      <c r="T1403" s="774"/>
      <c r="U1403" s="774"/>
      <c r="V1403" s="774"/>
    </row>
    <row r="1404" spans="1:22" hidden="1">
      <c r="A1404" s="786">
        <v>1404</v>
      </c>
      <c r="B1404" s="767"/>
      <c r="C1404" s="767"/>
      <c r="D1404" s="767"/>
      <c r="E1404" s="767"/>
      <c r="F1404" s="806"/>
      <c r="G1404" s="778"/>
      <c r="H1404" s="788"/>
      <c r="I1404" s="788"/>
      <c r="J1404" s="788"/>
      <c r="K1404" s="788"/>
      <c r="L1404" s="788"/>
      <c r="M1404" s="788"/>
      <c r="N1404" s="788"/>
      <c r="O1404" s="788"/>
      <c r="P1404" s="772"/>
      <c r="R1404" s="774"/>
    </row>
    <row r="1405" spans="1:22" hidden="1">
      <c r="A1405" s="786">
        <v>1405</v>
      </c>
      <c r="B1405" s="767"/>
      <c r="C1405" s="767" t="s">
        <v>1379</v>
      </c>
      <c r="D1405" s="767" t="s">
        <v>1380</v>
      </c>
      <c r="E1405" s="767"/>
      <c r="F1405" s="806" t="s">
        <v>1392</v>
      </c>
      <c r="G1405" s="778"/>
      <c r="H1405" s="815">
        <v>-643731.16798202484</v>
      </c>
      <c r="I1405" s="815">
        <v>-269240.38434312248</v>
      </c>
      <c r="J1405" s="815">
        <v>-86026.051208491481</v>
      </c>
      <c r="K1405" s="815">
        <v>-145987.74155259324</v>
      </c>
      <c r="L1405" s="815">
        <v>-59512.607853249421</v>
      </c>
      <c r="M1405" s="815">
        <v>-56282.71806649564</v>
      </c>
      <c r="N1405" s="815">
        <v>-25645.73302351301</v>
      </c>
      <c r="O1405" s="815">
        <v>-1035.9319345596316</v>
      </c>
      <c r="P1405" s="772">
        <v>0</v>
      </c>
      <c r="Q1405" s="774"/>
      <c r="R1405" s="774">
        <v>2219</v>
      </c>
      <c r="S1405" s="774"/>
      <c r="T1405" s="774"/>
      <c r="U1405" s="774"/>
      <c r="V1405" s="774"/>
    </row>
    <row r="1406" spans="1:22" hidden="1">
      <c r="A1406" s="786">
        <v>1406</v>
      </c>
      <c r="B1406" s="767"/>
      <c r="C1406" s="767"/>
      <c r="D1406" s="767"/>
      <c r="E1406" s="767"/>
      <c r="F1406" s="806"/>
      <c r="G1406" s="778"/>
      <c r="H1406" s="788"/>
      <c r="I1406" s="788"/>
      <c r="J1406" s="788"/>
      <c r="K1406" s="788"/>
      <c r="L1406" s="788"/>
      <c r="M1406" s="788"/>
      <c r="N1406" s="788"/>
      <c r="O1406" s="788"/>
      <c r="P1406" s="772"/>
      <c r="R1406" s="774"/>
    </row>
    <row r="1407" spans="1:22" hidden="1">
      <c r="A1407" s="786">
        <v>1407</v>
      </c>
      <c r="B1407" s="767"/>
      <c r="C1407" s="767" t="s">
        <v>1381</v>
      </c>
      <c r="D1407" s="767" t="s">
        <v>1382</v>
      </c>
      <c r="E1407" s="767"/>
      <c r="F1407" s="806"/>
      <c r="G1407" s="778"/>
      <c r="H1407" s="788"/>
      <c r="I1407" s="788"/>
      <c r="J1407" s="788"/>
      <c r="K1407" s="788"/>
      <c r="L1407" s="788"/>
      <c r="M1407" s="788"/>
      <c r="N1407" s="788"/>
      <c r="O1407" s="788"/>
      <c r="P1407" s="772"/>
      <c r="R1407" s="774"/>
    </row>
    <row r="1408" spans="1:22" hidden="1">
      <c r="A1408" s="786">
        <v>1408</v>
      </c>
      <c r="B1408" s="767"/>
      <c r="D1408" s="767"/>
      <c r="E1408" s="767" t="s">
        <v>727</v>
      </c>
      <c r="F1408" s="806" t="s">
        <v>1425</v>
      </c>
      <c r="G1408" s="778"/>
      <c r="H1408" s="815">
        <v>-9070.8000000000084</v>
      </c>
      <c r="I1408" s="815">
        <v>-2370.7395771846495</v>
      </c>
      <c r="J1408" s="815">
        <v>-937.56276473000707</v>
      </c>
      <c r="K1408" s="815">
        <v>-2908.2483736715026</v>
      </c>
      <c r="L1408" s="815">
        <v>-1232.361890404989</v>
      </c>
      <c r="M1408" s="815">
        <v>-1442.0231675673035</v>
      </c>
      <c r="N1408" s="815">
        <v>-241.9420883535322</v>
      </c>
      <c r="O1408" s="815">
        <v>62.077861911966735</v>
      </c>
      <c r="P1408" s="772">
        <v>0</v>
      </c>
      <c r="Q1408" s="774"/>
      <c r="R1408" s="774">
        <v>2223</v>
      </c>
      <c r="S1408" s="774"/>
      <c r="T1408" s="774"/>
      <c r="U1408" s="774"/>
      <c r="V1408" s="774"/>
    </row>
    <row r="1409" spans="1:22" hidden="1">
      <c r="A1409" s="786">
        <v>1409</v>
      </c>
      <c r="B1409" s="767"/>
      <c r="C1409" s="767"/>
      <c r="D1409" s="767"/>
      <c r="E1409" s="767" t="s">
        <v>835</v>
      </c>
      <c r="F1409" s="806" t="s">
        <v>1426</v>
      </c>
      <c r="G1409" s="778"/>
      <c r="H1409" s="815">
        <v>0</v>
      </c>
      <c r="I1409" s="815">
        <v>0</v>
      </c>
      <c r="J1409" s="815">
        <v>0</v>
      </c>
      <c r="K1409" s="815">
        <v>0</v>
      </c>
      <c r="L1409" s="815">
        <v>0</v>
      </c>
      <c r="M1409" s="815">
        <v>0</v>
      </c>
      <c r="N1409" s="815">
        <v>0</v>
      </c>
      <c r="O1409" s="815">
        <v>0</v>
      </c>
      <c r="P1409" s="772">
        <v>0</v>
      </c>
      <c r="Q1409" s="774"/>
      <c r="R1409" s="774">
        <v>2224</v>
      </c>
      <c r="S1409" s="774"/>
      <c r="T1409" s="774"/>
      <c r="U1409" s="774"/>
      <c r="V1409" s="774"/>
    </row>
    <row r="1410" spans="1:22" hidden="1">
      <c r="A1410" s="786">
        <v>1410</v>
      </c>
      <c r="B1410" s="767"/>
      <c r="C1410" s="767"/>
      <c r="D1410" s="767"/>
      <c r="E1410" s="767" t="s">
        <v>1002</v>
      </c>
      <c r="F1410" s="806" t="s">
        <v>1426</v>
      </c>
      <c r="G1410" s="778"/>
      <c r="H1410" s="815">
        <v>0</v>
      </c>
      <c r="I1410" s="815">
        <v>0</v>
      </c>
      <c r="J1410" s="815">
        <v>0</v>
      </c>
      <c r="K1410" s="815">
        <v>0</v>
      </c>
      <c r="L1410" s="815">
        <v>0</v>
      </c>
      <c r="M1410" s="815">
        <v>0</v>
      </c>
      <c r="N1410" s="815">
        <v>0</v>
      </c>
      <c r="O1410" s="815">
        <v>0</v>
      </c>
      <c r="P1410" s="772">
        <v>0</v>
      </c>
      <c r="Q1410" s="774"/>
      <c r="R1410" s="774">
        <v>2225</v>
      </c>
      <c r="S1410" s="774"/>
      <c r="T1410" s="774"/>
      <c r="U1410" s="774"/>
      <c r="V1410" s="774"/>
    </row>
    <row r="1411" spans="1:22" hidden="1">
      <c r="A1411" s="786">
        <v>1411</v>
      </c>
      <c r="B1411" s="767"/>
      <c r="C1411" s="767"/>
      <c r="D1411" s="767"/>
      <c r="E1411" s="767" t="s">
        <v>738</v>
      </c>
      <c r="F1411" s="806" t="s">
        <v>1392</v>
      </c>
      <c r="G1411" s="778"/>
      <c r="H1411" s="815">
        <v>0</v>
      </c>
      <c r="I1411" s="815">
        <v>0</v>
      </c>
      <c r="J1411" s="815">
        <v>0</v>
      </c>
      <c r="K1411" s="815">
        <v>0</v>
      </c>
      <c r="L1411" s="815">
        <v>0</v>
      </c>
      <c r="M1411" s="815">
        <v>0</v>
      </c>
      <c r="N1411" s="815">
        <v>0</v>
      </c>
      <c r="O1411" s="815">
        <v>0</v>
      </c>
      <c r="P1411" s="772">
        <v>0</v>
      </c>
      <c r="Q1411" s="774"/>
      <c r="R1411" s="774">
        <v>2226</v>
      </c>
      <c r="S1411" s="774"/>
      <c r="T1411" s="774"/>
      <c r="U1411" s="774"/>
      <c r="V1411" s="774"/>
    </row>
    <row r="1412" spans="1:22" hidden="1">
      <c r="A1412" s="786">
        <v>1412</v>
      </c>
      <c r="B1412" s="767"/>
      <c r="C1412" s="767"/>
      <c r="D1412" s="767"/>
      <c r="E1412" s="767" t="s">
        <v>788</v>
      </c>
      <c r="F1412" s="806" t="s">
        <v>1426</v>
      </c>
      <c r="G1412" s="778"/>
      <c r="H1412" s="815">
        <v>-5677951.4320653491</v>
      </c>
      <c r="I1412" s="815">
        <v>-2401276.0498973234</v>
      </c>
      <c r="J1412" s="815">
        <v>-757927.0614877179</v>
      </c>
      <c r="K1412" s="815">
        <v>-1274168.7110090908</v>
      </c>
      <c r="L1412" s="815">
        <v>-518871.07349078864</v>
      </c>
      <c r="M1412" s="815">
        <v>-493595.0928163132</v>
      </c>
      <c r="N1412" s="815">
        <v>-223398.03447598507</v>
      </c>
      <c r="O1412" s="815">
        <v>-8715.4088881307307</v>
      </c>
      <c r="P1412" s="772">
        <v>0</v>
      </c>
      <c r="Q1412" s="774"/>
      <c r="R1412" s="774">
        <v>2227</v>
      </c>
      <c r="S1412" s="774"/>
      <c r="T1412" s="774"/>
      <c r="U1412" s="774"/>
      <c r="V1412" s="774"/>
    </row>
    <row r="1413" spans="1:22" hidden="1">
      <c r="A1413" s="786">
        <v>1413</v>
      </c>
      <c r="B1413" s="767"/>
      <c r="C1413" s="767"/>
      <c r="D1413" s="767"/>
      <c r="E1413" s="767" t="s">
        <v>1003</v>
      </c>
      <c r="F1413" s="806" t="s">
        <v>1410</v>
      </c>
      <c r="G1413" s="778"/>
      <c r="H1413" s="815">
        <v>-10574359.873286717</v>
      </c>
      <c r="I1413" s="815">
        <v>-8622132.3952007219</v>
      </c>
      <c r="J1413" s="815">
        <v>-1496561.7012712292</v>
      </c>
      <c r="K1413" s="815">
        <v>-87103.280347816384</v>
      </c>
      <c r="L1413" s="815">
        <v>-22285.030429884908</v>
      </c>
      <c r="M1413" s="815">
        <v>-345.62613285686837</v>
      </c>
      <c r="N1413" s="815">
        <v>-146469.40697478424</v>
      </c>
      <c r="O1413" s="815">
        <v>-199462.43292942271</v>
      </c>
      <c r="P1413" s="772">
        <v>0</v>
      </c>
      <c r="Q1413" s="774"/>
      <c r="R1413" s="774">
        <v>2228</v>
      </c>
      <c r="S1413" s="774"/>
      <c r="T1413" s="774"/>
      <c r="U1413" s="774"/>
      <c r="V1413" s="774"/>
    </row>
    <row r="1414" spans="1:22" hidden="1">
      <c r="A1414" s="786">
        <v>1414</v>
      </c>
      <c r="B1414" s="767"/>
      <c r="C1414" s="767"/>
      <c r="D1414" s="767"/>
      <c r="E1414" s="767" t="s">
        <v>718</v>
      </c>
      <c r="F1414" s="806" t="s">
        <v>1426</v>
      </c>
      <c r="G1414" s="778"/>
      <c r="H1414" s="815">
        <v>-356466.20281539264</v>
      </c>
      <c r="I1414" s="815">
        <v>-150753.97626412674</v>
      </c>
      <c r="J1414" s="815">
        <v>-47583.249848489708</v>
      </c>
      <c r="K1414" s="815">
        <v>-79993.301738119975</v>
      </c>
      <c r="L1414" s="815">
        <v>-32575.129169558422</v>
      </c>
      <c r="M1414" s="815">
        <v>-30988.283462745443</v>
      </c>
      <c r="N1414" s="815">
        <v>-14025.102190264744</v>
      </c>
      <c r="O1414" s="815">
        <v>-547.16014208762044</v>
      </c>
      <c r="P1414" s="772">
        <v>0</v>
      </c>
      <c r="Q1414" s="774"/>
      <c r="R1414" s="774">
        <v>2229</v>
      </c>
      <c r="S1414" s="774"/>
      <c r="T1414" s="774"/>
      <c r="U1414" s="774"/>
      <c r="V1414" s="774"/>
    </row>
    <row r="1415" spans="1:22" hidden="1">
      <c r="A1415" s="786">
        <v>1415</v>
      </c>
      <c r="B1415" s="767"/>
      <c r="C1415" s="767"/>
      <c r="D1415" s="767"/>
      <c r="E1415" s="767" t="s">
        <v>1192</v>
      </c>
      <c r="F1415" s="806" t="s">
        <v>1426</v>
      </c>
      <c r="G1415" s="778"/>
      <c r="H1415" s="815">
        <v>-22784835.882376481</v>
      </c>
      <c r="I1415" s="815">
        <v>-9635989.5571156908</v>
      </c>
      <c r="J1415" s="815">
        <v>-3041456.749574177</v>
      </c>
      <c r="K1415" s="815">
        <v>-5113063.2789229508</v>
      </c>
      <c r="L1415" s="815">
        <v>-2082158.0450362784</v>
      </c>
      <c r="M1415" s="815">
        <v>-1980729.0211489508</v>
      </c>
      <c r="N1415" s="815">
        <v>-896465.49691061513</v>
      </c>
      <c r="O1415" s="815">
        <v>-34973.733667818815</v>
      </c>
      <c r="P1415" s="772">
        <v>0</v>
      </c>
      <c r="Q1415" s="774"/>
      <c r="R1415" s="774">
        <v>2230</v>
      </c>
      <c r="S1415" s="774"/>
      <c r="T1415" s="774"/>
      <c r="U1415" s="774"/>
      <c r="V1415" s="774"/>
    </row>
    <row r="1416" spans="1:22" hidden="1">
      <c r="A1416" s="786">
        <v>1416</v>
      </c>
      <c r="B1416" s="767"/>
      <c r="C1416" s="767"/>
      <c r="D1416" s="767"/>
      <c r="E1416" s="767" t="s">
        <v>1192</v>
      </c>
      <c r="F1416" s="806" t="s">
        <v>1426</v>
      </c>
      <c r="G1416" s="778"/>
      <c r="H1416" s="815">
        <v>0</v>
      </c>
      <c r="I1416" s="815">
        <v>0</v>
      </c>
      <c r="J1416" s="815">
        <v>0</v>
      </c>
      <c r="K1416" s="815">
        <v>0</v>
      </c>
      <c r="L1416" s="815">
        <v>0</v>
      </c>
      <c r="M1416" s="815">
        <v>0</v>
      </c>
      <c r="N1416" s="815">
        <v>0</v>
      </c>
      <c r="O1416" s="815">
        <v>0</v>
      </c>
      <c r="P1416" s="772">
        <v>0</v>
      </c>
      <c r="Q1416" s="774"/>
      <c r="R1416" s="774">
        <v>2231</v>
      </c>
      <c r="S1416" s="774"/>
      <c r="T1416" s="774"/>
      <c r="U1416" s="774"/>
      <c r="V1416" s="774"/>
    </row>
    <row r="1417" spans="1:22" hidden="1">
      <c r="A1417" s="786">
        <v>1417</v>
      </c>
      <c r="B1417" s="767"/>
      <c r="C1417" s="767"/>
      <c r="D1417" s="767"/>
      <c r="E1417" s="767" t="s">
        <v>1005</v>
      </c>
      <c r="F1417" s="806" t="s">
        <v>1411</v>
      </c>
      <c r="G1417" s="778"/>
      <c r="H1417" s="815">
        <v>-19756284.061505541</v>
      </c>
      <c r="I1417" s="815">
        <v>-9200575.1892145798</v>
      </c>
      <c r="J1417" s="815">
        <v>-2852859.083648487</v>
      </c>
      <c r="K1417" s="815">
        <v>-3907250.1583480341</v>
      </c>
      <c r="L1417" s="815">
        <v>-1560269.8379924926</v>
      </c>
      <c r="M1417" s="815">
        <v>-1250629.2325104144</v>
      </c>
      <c r="N1417" s="815">
        <v>-892547.63800250296</v>
      </c>
      <c r="O1417" s="815">
        <v>-92152.921789027227</v>
      </c>
      <c r="P1417" s="772">
        <v>0</v>
      </c>
      <c r="Q1417" s="774"/>
      <c r="R1417" s="774">
        <v>2232</v>
      </c>
      <c r="S1417" s="774"/>
      <c r="T1417" s="774"/>
      <c r="U1417" s="774"/>
      <c r="V1417" s="774"/>
    </row>
    <row r="1418" spans="1:22" hidden="1">
      <c r="A1418" s="786">
        <v>1418</v>
      </c>
      <c r="B1418" s="767"/>
      <c r="C1418" s="767"/>
      <c r="D1418" s="767" t="s">
        <v>1383</v>
      </c>
      <c r="E1418" s="767"/>
      <c r="F1418" s="806"/>
      <c r="G1418" s="778"/>
      <c r="H1418" s="815">
        <v>-59158968.252049476</v>
      </c>
      <c r="I1418" s="815">
        <v>-30013097.907269623</v>
      </c>
      <c r="J1418" s="815">
        <v>-8197325.4085948309</v>
      </c>
      <c r="K1418" s="815">
        <v>-10464486.978739684</v>
      </c>
      <c r="L1418" s="815">
        <v>-4217391.4780094074</v>
      </c>
      <c r="M1418" s="815">
        <v>-3757729.2792388485</v>
      </c>
      <c r="N1418" s="815">
        <v>-2173147.6206425056</v>
      </c>
      <c r="O1418" s="815">
        <v>-335789.57955457515</v>
      </c>
      <c r="P1418" s="772">
        <v>0</v>
      </c>
      <c r="Q1418" s="774"/>
      <c r="R1418" s="774"/>
      <c r="S1418" s="774"/>
      <c r="T1418" s="774"/>
      <c r="U1418" s="774"/>
      <c r="V1418" s="774"/>
    </row>
    <row r="1419" spans="1:22" hidden="1">
      <c r="A1419" s="786">
        <v>1419</v>
      </c>
      <c r="B1419" s="767"/>
      <c r="C1419" s="767"/>
      <c r="D1419" s="767"/>
      <c r="E1419" s="767"/>
      <c r="F1419" s="806"/>
      <c r="G1419" s="778"/>
      <c r="H1419" s="788"/>
      <c r="I1419" s="788"/>
      <c r="J1419" s="788"/>
      <c r="K1419" s="788"/>
      <c r="L1419" s="788"/>
      <c r="M1419" s="788"/>
      <c r="N1419" s="788"/>
      <c r="O1419" s="788"/>
      <c r="P1419" s="772"/>
      <c r="R1419" s="774"/>
    </row>
    <row r="1420" spans="1:22" hidden="1">
      <c r="A1420" s="786">
        <v>1420</v>
      </c>
      <c r="B1420" s="767"/>
      <c r="C1420" s="821" t="s">
        <v>1384</v>
      </c>
      <c r="D1420" s="767" t="s">
        <v>1385</v>
      </c>
      <c r="E1420" s="767"/>
      <c r="F1420" s="806" t="s">
        <v>1392</v>
      </c>
      <c r="G1420" s="778"/>
      <c r="H1420" s="815">
        <v>0</v>
      </c>
      <c r="I1420" s="815">
        <v>0</v>
      </c>
      <c r="J1420" s="815">
        <v>0</v>
      </c>
      <c r="K1420" s="815">
        <v>0</v>
      </c>
      <c r="L1420" s="815">
        <v>0</v>
      </c>
      <c r="M1420" s="815">
        <v>0</v>
      </c>
      <c r="N1420" s="815">
        <v>0</v>
      </c>
      <c r="O1420" s="815">
        <v>0</v>
      </c>
      <c r="P1420" s="772">
        <v>0</v>
      </c>
      <c r="Q1420" s="774"/>
      <c r="R1420" s="774">
        <v>2243</v>
      </c>
      <c r="S1420" s="774"/>
      <c r="T1420" s="774"/>
      <c r="U1420" s="774"/>
      <c r="V1420" s="774"/>
    </row>
    <row r="1421" spans="1:22" hidden="1">
      <c r="A1421" s="786">
        <v>1421</v>
      </c>
      <c r="B1421" s="767"/>
      <c r="C1421" s="767"/>
      <c r="D1421" s="767"/>
      <c r="E1421" s="767"/>
      <c r="F1421" s="806"/>
      <c r="G1421" s="778"/>
      <c r="H1421" s="788"/>
      <c r="I1421" s="788"/>
      <c r="J1421" s="788"/>
      <c r="K1421" s="788"/>
      <c r="L1421" s="788"/>
      <c r="M1421" s="788"/>
      <c r="N1421" s="788"/>
      <c r="O1421" s="788"/>
      <c r="P1421" s="772"/>
    </row>
    <row r="1422" spans="1:22" hidden="1">
      <c r="A1422" s="786">
        <v>1422</v>
      </c>
      <c r="B1422" s="767"/>
      <c r="C1422" s="767"/>
      <c r="D1422" s="767"/>
      <c r="E1422" s="767"/>
      <c r="F1422" s="806"/>
      <c r="G1422" s="778"/>
      <c r="H1422" s="788"/>
      <c r="I1422" s="788"/>
      <c r="J1422" s="788"/>
      <c r="K1422" s="788"/>
      <c r="L1422" s="788"/>
      <c r="M1422" s="788"/>
      <c r="N1422" s="788"/>
      <c r="O1422" s="788"/>
      <c r="P1422" s="772"/>
    </row>
    <row r="1423" spans="1:22" hidden="1">
      <c r="A1423" s="786">
        <v>1423</v>
      </c>
      <c r="B1423" s="767"/>
      <c r="C1423" s="767" t="s">
        <v>1386</v>
      </c>
      <c r="D1423" s="767"/>
      <c r="E1423" s="767"/>
      <c r="F1423" s="838"/>
      <c r="G1423" s="778"/>
      <c r="H1423" s="815">
        <v>-61873796.613600478</v>
      </c>
      <c r="I1423" s="815">
        <v>-31236367.659644533</v>
      </c>
      <c r="J1423" s="815">
        <v>-8578574.1190555152</v>
      </c>
      <c r="K1423" s="815">
        <v>-11026966.741413103</v>
      </c>
      <c r="L1423" s="815">
        <v>-4443824.7051907945</v>
      </c>
      <c r="M1423" s="815">
        <v>-3952563.7317766347</v>
      </c>
      <c r="N1423" s="815">
        <v>-2289924.7477948512</v>
      </c>
      <c r="O1423" s="815">
        <v>-345574.90872504323</v>
      </c>
      <c r="P1423" s="772">
        <v>0</v>
      </c>
      <c r="Q1423" s="774"/>
      <c r="R1423" s="774"/>
      <c r="S1423" s="774"/>
      <c r="T1423" s="774"/>
      <c r="U1423" s="774"/>
      <c r="V1423" s="774"/>
    </row>
    <row r="1424" spans="1:22">
      <c r="A1424" s="786"/>
      <c r="G1424" s="763"/>
    </row>
    <row r="1425" spans="1:16">
      <c r="A1425" s="786"/>
      <c r="I1425" s="765"/>
    </row>
    <row r="1426" spans="1:16">
      <c r="A1426" s="786"/>
      <c r="H1426" s="774">
        <f>H855+H898+H1314+H1319</f>
        <v>989959246.23517525</v>
      </c>
      <c r="I1426" s="774">
        <f t="shared" ref="I1426:O1426" si="0">I855+I898+I1314+I1319</f>
        <v>426319670.92760909</v>
      </c>
      <c r="J1426" s="774">
        <f t="shared" si="0"/>
        <v>131898494.75658381</v>
      </c>
      <c r="K1426" s="774">
        <f t="shared" si="0"/>
        <v>218250943.81700936</v>
      </c>
      <c r="L1426" s="774">
        <f t="shared" si="0"/>
        <v>88716176.395047694</v>
      </c>
      <c r="M1426" s="774">
        <f t="shared" si="0"/>
        <v>85238095.911648139</v>
      </c>
      <c r="N1426" s="774">
        <f t="shared" si="0"/>
        <v>38138289.626005955</v>
      </c>
      <c r="O1426" s="774">
        <f t="shared" si="0"/>
        <v>1397574.8012710705</v>
      </c>
    </row>
    <row r="1427" spans="1:16">
      <c r="A1427" s="786"/>
    </row>
    <row r="1428" spans="1:16">
      <c r="A1428" s="786"/>
    </row>
    <row r="1429" spans="1:16">
      <c r="A1429" s="786"/>
    </row>
    <row r="1430" spans="1:16">
      <c r="A1430" s="786"/>
    </row>
    <row r="1431" spans="1:16">
      <c r="A1431" s="786"/>
    </row>
    <row r="1432" spans="1:16">
      <c r="A1432" s="786"/>
    </row>
    <row r="1433" spans="1:16">
      <c r="A1433" s="786"/>
    </row>
    <row r="1434" spans="1:16">
      <c r="A1434" s="786"/>
    </row>
    <row r="1435" spans="1:16">
      <c r="A1435" s="786"/>
    </row>
    <row r="1436" spans="1:16">
      <c r="A1436" s="786"/>
    </row>
    <row r="1437" spans="1:16">
      <c r="A1437" s="786"/>
      <c r="G1437" s="763"/>
      <c r="P1437" s="763"/>
    </row>
    <row r="1438" spans="1:16">
      <c r="A1438" s="786"/>
      <c r="G1438" s="763"/>
      <c r="P1438" s="763"/>
    </row>
    <row r="1439" spans="1:16">
      <c r="A1439" s="786"/>
      <c r="G1439" s="763"/>
      <c r="P1439" s="763"/>
    </row>
    <row r="1440" spans="1:16">
      <c r="A1440" s="786"/>
      <c r="G1440" s="763"/>
      <c r="P1440" s="763"/>
    </row>
    <row r="1441" spans="1:16">
      <c r="A1441" s="786"/>
      <c r="G1441" s="763"/>
      <c r="P1441" s="763"/>
    </row>
    <row r="1442" spans="1:16">
      <c r="A1442" s="786"/>
      <c r="G1442" s="763"/>
      <c r="P1442" s="763"/>
    </row>
    <row r="1443" spans="1:16">
      <c r="A1443" s="786"/>
      <c r="G1443" s="763"/>
      <c r="P1443" s="763"/>
    </row>
    <row r="1444" spans="1:16">
      <c r="A1444" s="786"/>
      <c r="G1444" s="763"/>
      <c r="P1444" s="763"/>
    </row>
    <row r="1445" spans="1:16">
      <c r="A1445" s="786"/>
      <c r="G1445" s="763"/>
      <c r="P1445" s="763"/>
    </row>
    <row r="1446" spans="1:16">
      <c r="A1446" s="786"/>
      <c r="G1446" s="763"/>
      <c r="P1446" s="763"/>
    </row>
    <row r="1447" spans="1:16">
      <c r="D1447" s="839"/>
      <c r="E1447" s="839"/>
      <c r="G1447" s="763"/>
      <c r="P1447" s="763"/>
    </row>
    <row r="1448" spans="1:16">
      <c r="D1448" s="839"/>
      <c r="E1448" s="839"/>
      <c r="G1448" s="763"/>
      <c r="P1448" s="763"/>
    </row>
    <row r="1449" spans="1:16">
      <c r="D1449" s="839"/>
      <c r="E1449" s="839"/>
      <c r="G1449" s="763"/>
      <c r="P1449" s="763"/>
    </row>
    <row r="1450" spans="1:16">
      <c r="D1450" s="839"/>
      <c r="E1450" s="839"/>
      <c r="G1450" s="763"/>
      <c r="P1450" s="763"/>
    </row>
    <row r="1451" spans="1:16">
      <c r="D1451" s="839"/>
      <c r="E1451" s="839"/>
      <c r="G1451" s="763"/>
      <c r="P1451" s="763"/>
    </row>
    <row r="1452" spans="1:16">
      <c r="D1452" s="839"/>
      <c r="E1452" s="839"/>
      <c r="G1452" s="763"/>
      <c r="P1452" s="763"/>
    </row>
    <row r="1453" spans="1:16">
      <c r="D1453" s="839"/>
      <c r="E1453" s="839"/>
      <c r="G1453" s="763"/>
      <c r="P1453" s="763"/>
    </row>
  </sheetData>
  <pageMargins left="0.7" right="0.7" top="0.75" bottom="0.75" header="0.3" footer="0.3"/>
  <pageSetup scale="33" orientation="portrait" r:id="rId1"/>
  <rowBreaks count="11" manualBreakCount="11">
    <brk id="114" max="14" man="1"/>
    <brk id="200" max="14" man="1"/>
    <brk id="300" max="14" man="1"/>
    <brk id="405" max="14" man="1"/>
    <brk id="545" max="14" man="1"/>
    <brk id="704" max="14" man="1"/>
    <brk id="856" max="14" man="1"/>
    <brk id="964" max="14" man="1"/>
    <brk id="1102" max="14" man="1"/>
    <brk id="1226" max="14" man="1"/>
    <brk id="133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transitionEvaluation="1" transitionEntry="1"/>
  <dimension ref="A1:AK69"/>
  <sheetViews>
    <sheetView workbookViewId="0">
      <selection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33" bestFit="1" customWidth="1"/>
    <col min="17" max="18" width="16.25" style="33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870" t="s">
        <v>73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11"/>
      <c r="P1" s="38"/>
      <c r="Q1" s="38"/>
      <c r="R1" s="38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</row>
    <row r="2" spans="1:37" ht="18">
      <c r="A2" s="870" t="s">
        <v>150</v>
      </c>
      <c r="B2" s="870"/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0"/>
      <c r="O2" s="11"/>
      <c r="P2" s="38"/>
      <c r="Q2" s="38"/>
      <c r="R2" s="38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7" ht="18">
      <c r="A3" s="871" t="s">
        <v>494</v>
      </c>
      <c r="B3" s="870"/>
      <c r="C3" s="870"/>
      <c r="D3" s="870"/>
      <c r="E3" s="870"/>
      <c r="F3" s="870"/>
      <c r="G3" s="870"/>
      <c r="H3" s="870"/>
      <c r="I3" s="870"/>
      <c r="J3" s="870"/>
      <c r="K3" s="870"/>
      <c r="L3" s="870"/>
      <c r="M3" s="870"/>
      <c r="N3" s="870"/>
      <c r="O3" s="11"/>
      <c r="P3" s="38"/>
      <c r="Q3" s="38"/>
      <c r="R3" s="38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</row>
    <row r="4" spans="1:37" ht="18">
      <c r="A4" s="870"/>
      <c r="B4" s="870"/>
      <c r="C4" s="870"/>
      <c r="D4" s="870"/>
      <c r="E4" s="870"/>
      <c r="F4" s="870"/>
      <c r="G4" s="870"/>
      <c r="H4" s="870"/>
      <c r="I4" s="870"/>
      <c r="J4" s="870"/>
      <c r="K4" s="870"/>
      <c r="L4" s="870"/>
      <c r="M4" s="870"/>
      <c r="N4" s="870"/>
      <c r="O4" s="11"/>
      <c r="P4" s="38"/>
      <c r="Q4" s="38"/>
      <c r="R4" s="38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7">
      <c r="A5" s="115"/>
      <c r="B5" s="113"/>
      <c r="C5" s="113"/>
      <c r="D5" s="114"/>
      <c r="E5" s="114"/>
      <c r="F5" s="113"/>
      <c r="G5" s="114"/>
      <c r="H5" s="114"/>
      <c r="I5" s="113"/>
      <c r="J5" s="113"/>
      <c r="K5" s="113"/>
      <c r="L5" s="113"/>
      <c r="M5" s="113"/>
      <c r="N5" s="113"/>
      <c r="O5" s="11"/>
      <c r="P5" s="38"/>
      <c r="Q5" s="38"/>
      <c r="R5" s="38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</row>
    <row r="6" spans="1:37" hidden="1">
      <c r="A6" s="115"/>
      <c r="B6" s="113"/>
      <c r="C6" s="113"/>
      <c r="D6" s="114"/>
      <c r="E6" s="114"/>
      <c r="F6" s="113"/>
      <c r="G6" s="114"/>
      <c r="H6" s="114"/>
      <c r="I6" s="113"/>
      <c r="J6" s="113"/>
      <c r="K6" s="113"/>
      <c r="L6" s="113"/>
      <c r="M6" s="113"/>
      <c r="N6" s="113"/>
      <c r="O6" s="11"/>
      <c r="P6" s="38"/>
      <c r="Q6" s="38"/>
      <c r="R6" s="38"/>
      <c r="S6" s="38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7" hidden="1">
      <c r="A7" s="113"/>
      <c r="B7" s="113"/>
      <c r="C7" s="113"/>
      <c r="D7" s="114"/>
      <c r="E7" s="114"/>
      <c r="F7" s="113"/>
      <c r="G7" s="114"/>
      <c r="H7" s="114"/>
      <c r="I7" s="113"/>
      <c r="J7" s="113"/>
      <c r="K7" s="113"/>
      <c r="L7" s="113"/>
      <c r="M7" s="113"/>
      <c r="N7" s="113"/>
      <c r="O7" s="11"/>
      <c r="P7" s="38"/>
      <c r="Q7" s="38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7">
      <c r="A8" s="116"/>
      <c r="B8" s="116"/>
      <c r="C8" s="117"/>
      <c r="D8" s="118"/>
      <c r="E8" s="118"/>
      <c r="F8" s="119" t="s">
        <v>379</v>
      </c>
      <c r="G8" s="118"/>
      <c r="H8" s="118"/>
      <c r="I8" s="492" t="s">
        <v>85</v>
      </c>
      <c r="J8" s="492"/>
      <c r="K8" s="492"/>
      <c r="L8" s="492"/>
      <c r="M8" s="492"/>
      <c r="N8" s="492"/>
      <c r="O8" s="11"/>
      <c r="P8" s="38"/>
      <c r="Q8" s="38"/>
      <c r="R8" s="38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7">
      <c r="A9" s="116"/>
      <c r="B9" s="116"/>
      <c r="C9" s="117" t="s">
        <v>152</v>
      </c>
      <c r="D9" s="119" t="s">
        <v>416</v>
      </c>
      <c r="E9" s="118"/>
      <c r="F9" s="121" t="s">
        <v>153</v>
      </c>
      <c r="G9" s="119" t="s">
        <v>85</v>
      </c>
      <c r="H9" s="119"/>
      <c r="I9" s="492" t="s">
        <v>153</v>
      </c>
      <c r="J9" s="492"/>
      <c r="K9" s="492"/>
      <c r="L9" s="492"/>
      <c r="M9" s="492"/>
      <c r="N9" s="492"/>
      <c r="O9" s="11"/>
      <c r="P9" s="38"/>
      <c r="Q9" s="38"/>
      <c r="R9" s="38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</row>
    <row r="10" spans="1:37">
      <c r="A10" s="116"/>
      <c r="B10" s="116"/>
      <c r="C10" s="122" t="s">
        <v>119</v>
      </c>
      <c r="D10" s="123" t="s">
        <v>4</v>
      </c>
      <c r="E10" s="124"/>
      <c r="F10" s="123" t="s">
        <v>119</v>
      </c>
      <c r="G10" s="123" t="s">
        <v>4</v>
      </c>
      <c r="H10" s="121"/>
      <c r="I10" s="119" t="s">
        <v>119</v>
      </c>
      <c r="J10" s="119"/>
      <c r="K10" s="119"/>
      <c r="L10" s="119"/>
      <c r="M10" s="119"/>
      <c r="N10" s="119"/>
      <c r="O10" s="11"/>
      <c r="P10" s="38"/>
      <c r="Q10" s="38"/>
      <c r="R10" s="38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</row>
    <row r="11" spans="1:37">
      <c r="A11" s="125"/>
      <c r="F11" s="126"/>
      <c r="I11" s="126"/>
      <c r="J11" s="126"/>
      <c r="K11" s="126"/>
      <c r="L11" s="126"/>
      <c r="M11" s="126"/>
      <c r="N11" s="126"/>
      <c r="O11" s="11"/>
      <c r="P11" s="38"/>
      <c r="Q11" s="38"/>
      <c r="R11" s="38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</row>
    <row r="12" spans="1:37">
      <c r="A12" s="634" t="s">
        <v>498</v>
      </c>
      <c r="B12" s="1"/>
      <c r="C12" s="1" t="s">
        <v>13</v>
      </c>
      <c r="D12" s="12"/>
      <c r="E12" s="12"/>
      <c r="F12" s="1"/>
      <c r="G12" s="12"/>
      <c r="H12" s="1"/>
      <c r="I12" s="1"/>
      <c r="J12" s="1"/>
      <c r="K12" s="1"/>
      <c r="L12" s="1"/>
      <c r="M12" s="1"/>
      <c r="N12" s="1"/>
      <c r="O12" s="2" t="s">
        <v>13</v>
      </c>
      <c r="P12" s="2" t="s">
        <v>13</v>
      </c>
      <c r="Q12" s="2" t="s">
        <v>13</v>
      </c>
      <c r="T12" s="2"/>
      <c r="U12" s="1" t="s">
        <v>13</v>
      </c>
      <c r="V12" s="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K12" s="42"/>
    </row>
    <row r="13" spans="1:37">
      <c r="A13" s="1" t="s">
        <v>135</v>
      </c>
      <c r="B13" s="1"/>
      <c r="C13" s="1" t="s">
        <v>13</v>
      </c>
      <c r="D13" s="12"/>
      <c r="E13" s="12"/>
      <c r="F13" s="1"/>
      <c r="G13" s="12"/>
      <c r="H13" s="1"/>
      <c r="I13" s="1"/>
      <c r="J13" s="1"/>
      <c r="K13" s="1"/>
      <c r="L13" s="1"/>
      <c r="M13" s="1"/>
      <c r="N13" s="1"/>
      <c r="O13" s="11"/>
      <c r="P13" s="38"/>
      <c r="Q13" s="38"/>
      <c r="R13" s="38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K13" s="42"/>
    </row>
    <row r="14" spans="1:37">
      <c r="A14" s="211" t="s">
        <v>497</v>
      </c>
      <c r="B14" s="1"/>
      <c r="C14" s="1"/>
      <c r="D14" s="12"/>
      <c r="E14" s="12"/>
      <c r="F14" s="1"/>
      <c r="G14" s="12"/>
      <c r="H14" s="1"/>
      <c r="I14" s="1"/>
      <c r="J14" s="1"/>
      <c r="K14" s="1"/>
      <c r="L14" s="1"/>
      <c r="M14" s="1"/>
      <c r="N14" s="1"/>
      <c r="O14" s="11"/>
      <c r="P14" s="38"/>
      <c r="Q14" s="38"/>
      <c r="R14" s="38"/>
      <c r="S14" s="6" t="s">
        <v>13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K14" s="42"/>
    </row>
    <row r="15" spans="1:37">
      <c r="A15" s="1" t="s">
        <v>174</v>
      </c>
      <c r="B15" s="1"/>
      <c r="C15" s="12" t="e">
        <f>#REF!-C28</f>
        <v>#REF!</v>
      </c>
      <c r="D15" s="161">
        <v>6</v>
      </c>
      <c r="E15" s="1"/>
      <c r="F15" s="2">
        <v>7578622</v>
      </c>
      <c r="G15" s="161">
        <v>7.75</v>
      </c>
      <c r="H15" s="1"/>
      <c r="I15" s="2" t="e">
        <f>ROUND(G15*C15,0)</f>
        <v>#REF!</v>
      </c>
      <c r="J15" s="2"/>
      <c r="K15" s="2"/>
      <c r="L15" s="2"/>
      <c r="M15" s="2"/>
      <c r="N15" s="2"/>
      <c r="O15" s="11"/>
      <c r="P15" s="38"/>
      <c r="Q15" s="38"/>
      <c r="R15" s="3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K15" s="42"/>
    </row>
    <row r="16" spans="1:37">
      <c r="A16" s="1" t="s">
        <v>177</v>
      </c>
      <c r="B16" s="1"/>
      <c r="C16" s="12" t="e">
        <f>#REF!-C29</f>
        <v>#REF!</v>
      </c>
      <c r="D16" s="162">
        <v>5.9489999999999998</v>
      </c>
      <c r="E16" s="1" t="s">
        <v>178</v>
      </c>
      <c r="F16" s="2">
        <v>42058950</v>
      </c>
      <c r="G16" s="162">
        <v>6.4249999999999998</v>
      </c>
      <c r="H16" s="1" t="s">
        <v>178</v>
      </c>
      <c r="I16" s="2" t="e">
        <f>ROUND(C16*G16/100,0)</f>
        <v>#REF!</v>
      </c>
      <c r="J16" s="2"/>
      <c r="K16" s="2"/>
      <c r="L16" s="2"/>
      <c r="M16" s="2"/>
      <c r="N16" s="2"/>
      <c r="O16" s="11"/>
      <c r="P16" s="38"/>
      <c r="Q16" s="38"/>
      <c r="R16" s="38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K16" s="42"/>
    </row>
    <row r="17" spans="1:37">
      <c r="A17" s="1" t="s">
        <v>179</v>
      </c>
      <c r="B17" s="12"/>
      <c r="C17" s="12" t="e">
        <f>#REF!-C30</f>
        <v>#REF!</v>
      </c>
      <c r="D17" s="162">
        <v>9.4159999999999986</v>
      </c>
      <c r="E17" s="1" t="s">
        <v>178</v>
      </c>
      <c r="F17" s="2">
        <v>79398076</v>
      </c>
      <c r="G17" s="162">
        <v>10.166</v>
      </c>
      <c r="H17" s="1" t="s">
        <v>178</v>
      </c>
      <c r="I17" s="2" t="e">
        <f>ROUND(C17*G17/100,0)</f>
        <v>#REF!</v>
      </c>
      <c r="J17" s="2"/>
      <c r="K17" s="2"/>
      <c r="L17" s="2"/>
      <c r="M17" s="2"/>
      <c r="N17" s="2"/>
      <c r="O17" s="11"/>
      <c r="P17" s="38"/>
      <c r="Q17" s="38"/>
      <c r="R17" s="38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K17" s="42"/>
    </row>
    <row r="18" spans="1:37">
      <c r="A18" s="1" t="s">
        <v>181</v>
      </c>
      <c r="B18" s="1"/>
      <c r="C18" s="12" t="e">
        <f>#REF!-C31</f>
        <v>#REF!</v>
      </c>
      <c r="D18" s="164">
        <v>1.65</v>
      </c>
      <c r="E18" s="1"/>
      <c r="F18" s="2">
        <v>8755</v>
      </c>
      <c r="G18" s="164">
        <v>1.71</v>
      </c>
      <c r="H18" s="1"/>
      <c r="I18" s="2" t="e">
        <f>ROUND(C18*G18,0)</f>
        <v>#REF!</v>
      </c>
      <c r="J18" s="2"/>
      <c r="K18" s="2"/>
      <c r="L18" s="2"/>
      <c r="M18" s="2"/>
      <c r="N18" s="2"/>
      <c r="O18" s="11"/>
      <c r="P18" s="38"/>
      <c r="Q18" s="38"/>
      <c r="R18" s="38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K18" s="42"/>
    </row>
    <row r="19" spans="1:37">
      <c r="A19" s="166" t="s">
        <v>183</v>
      </c>
      <c r="B19" s="166"/>
      <c r="C19" s="12" t="e">
        <f>#REF!-C32</f>
        <v>#REF!</v>
      </c>
      <c r="D19" s="164">
        <v>3.2</v>
      </c>
      <c r="E19" s="166"/>
      <c r="F19" s="2">
        <v>2250</v>
      </c>
      <c r="G19" s="164">
        <v>3.3</v>
      </c>
      <c r="H19" s="166"/>
      <c r="I19" s="2" t="e">
        <f>ROUND(C19*G19,0)</f>
        <v>#REF!</v>
      </c>
      <c r="J19" s="2"/>
      <c r="K19" s="2"/>
      <c r="L19" s="2"/>
      <c r="M19" s="2"/>
      <c r="N19" s="2"/>
      <c r="O19" s="11"/>
      <c r="P19" s="38"/>
      <c r="Q19" s="38"/>
      <c r="R19" s="38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K19" s="42"/>
    </row>
    <row r="20" spans="1:37" s="545" customFormat="1">
      <c r="A20" s="524" t="s">
        <v>184</v>
      </c>
      <c r="C20" s="547" t="e">
        <f>#REF!-C33</f>
        <v>#REF!</v>
      </c>
      <c r="D20" s="132">
        <v>-1.65</v>
      </c>
      <c r="E20" s="546"/>
      <c r="F20" s="548">
        <v>-117</v>
      </c>
      <c r="G20" s="132">
        <v>-1.71</v>
      </c>
      <c r="H20" s="546"/>
      <c r="I20" s="2" t="e">
        <f>ROUND(C20*G20,0)</f>
        <v>#REF!</v>
      </c>
      <c r="J20" s="2"/>
      <c r="K20" s="2"/>
      <c r="L20" s="2"/>
      <c r="M20" s="2"/>
      <c r="N20" s="2"/>
      <c r="P20" s="508"/>
      <c r="S20" s="550"/>
      <c r="T20" s="550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K20" s="549"/>
    </row>
    <row r="21" spans="1:37">
      <c r="A21" s="1" t="s">
        <v>185</v>
      </c>
      <c r="B21" s="1"/>
      <c r="C21" s="213" t="e">
        <f>SUM(C16:C17)</f>
        <v>#REF!</v>
      </c>
      <c r="D21" s="20"/>
      <c r="E21" s="20"/>
      <c r="F21" s="20">
        <v>129046536</v>
      </c>
      <c r="G21" s="20"/>
      <c r="H21" s="20"/>
      <c r="I21" s="2" t="e">
        <f>SUM(I15:I20)</f>
        <v>#REF!</v>
      </c>
      <c r="J21" s="2"/>
      <c r="K21" s="2"/>
      <c r="L21" s="2"/>
      <c r="M21" s="2"/>
      <c r="N21" s="2"/>
      <c r="O21" s="274"/>
      <c r="P21" s="333"/>
      <c r="Q21" s="38"/>
      <c r="R21" s="38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K21" s="42"/>
    </row>
    <row r="22" spans="1:37">
      <c r="A22" s="1" t="s">
        <v>167</v>
      </c>
      <c r="B22" s="1"/>
      <c r="C22" s="203">
        <f>V56</f>
        <v>-20556736.125963882</v>
      </c>
      <c r="D22" s="494"/>
      <c r="E22" s="494"/>
      <c r="F22" s="494">
        <v>1987055.0327333291</v>
      </c>
      <c r="G22" s="20"/>
      <c r="H22" s="20"/>
      <c r="I22" s="636" t="e">
        <f>#REF!*I21/(I21+I34)</f>
        <v>#REF!</v>
      </c>
      <c r="J22" s="637"/>
      <c r="K22" s="637"/>
      <c r="L22" s="637"/>
      <c r="M22" s="637"/>
      <c r="N22" s="637"/>
      <c r="O22" s="274"/>
      <c r="P22" s="333"/>
      <c r="Q22" s="38"/>
      <c r="R22" s="38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K22" s="42"/>
    </row>
    <row r="23" spans="1:37" ht="16.5" thickBot="1">
      <c r="A23" s="1" t="s">
        <v>186</v>
      </c>
      <c r="B23" s="1"/>
      <c r="C23" s="497" t="e">
        <f>SUM(C21:C22)</f>
        <v>#REF!</v>
      </c>
      <c r="D23" s="495"/>
      <c r="E23" s="495"/>
      <c r="F23" s="495">
        <v>131033591.03273334</v>
      </c>
      <c r="G23" s="496"/>
      <c r="H23" s="496"/>
      <c r="I23" s="495" t="e">
        <f>SUM(I21:I22)</f>
        <v>#REF!</v>
      </c>
      <c r="J23" s="20"/>
      <c r="K23" s="20"/>
      <c r="L23" s="20"/>
      <c r="M23" s="20"/>
      <c r="N23" s="20"/>
      <c r="O23" s="274"/>
      <c r="P23" s="333"/>
      <c r="Q23" s="38"/>
      <c r="R23" s="38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K23" s="42"/>
    </row>
    <row r="24" spans="1:37" ht="16.5" thickTop="1"/>
    <row r="25" spans="1:37">
      <c r="A25" s="634" t="s">
        <v>519</v>
      </c>
    </row>
    <row r="26" spans="1:37">
      <c r="A26" s="1" t="s">
        <v>135</v>
      </c>
    </row>
    <row r="27" spans="1:37">
      <c r="A27" s="211" t="s">
        <v>496</v>
      </c>
    </row>
    <row r="28" spans="1:37">
      <c r="A28" s="1" t="s">
        <v>174</v>
      </c>
      <c r="B28" s="1"/>
      <c r="C28" s="12">
        <v>2626.10193548387</v>
      </c>
      <c r="D28" s="161">
        <v>6</v>
      </c>
      <c r="E28" s="1"/>
      <c r="F28" s="2">
        <f>ROUND(D28*$C28,0)</f>
        <v>15757</v>
      </c>
      <c r="G28" s="161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11"/>
      <c r="P28" s="38"/>
      <c r="Q28" s="38"/>
      <c r="R28" s="3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K28" s="42"/>
    </row>
    <row r="29" spans="1:37">
      <c r="A29" s="1" t="s">
        <v>177</v>
      </c>
      <c r="B29" s="1"/>
      <c r="C29" s="12">
        <v>1055889</v>
      </c>
      <c r="D29" s="162">
        <v>5.9489999999999998</v>
      </c>
      <c r="E29" s="1" t="s">
        <v>178</v>
      </c>
      <c r="F29" s="2">
        <f>ROUND(D29*$C29/100,0)</f>
        <v>62815</v>
      </c>
      <c r="G29" s="162">
        <v>6.4249999999999998</v>
      </c>
      <c r="H29" s="1" t="s">
        <v>178</v>
      </c>
      <c r="I29" s="2">
        <f>ROUND(C29*G29/100,0)</f>
        <v>67841</v>
      </c>
      <c r="J29" s="2"/>
      <c r="K29" s="2"/>
      <c r="L29" s="2"/>
      <c r="M29" s="2"/>
      <c r="N29" s="2"/>
      <c r="O29" s="11"/>
      <c r="P29" s="38"/>
      <c r="Q29" s="38"/>
      <c r="R29" s="38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K29" s="42"/>
    </row>
    <row r="30" spans="1:37">
      <c r="A30" s="1" t="s">
        <v>179</v>
      </c>
      <c r="B30" s="12"/>
      <c r="C30" s="12">
        <v>1843001</v>
      </c>
      <c r="D30" s="162">
        <v>9.4159999999999986</v>
      </c>
      <c r="E30" s="1" t="s">
        <v>178</v>
      </c>
      <c r="F30" s="2">
        <f>ROUND(D30*$C30/100,0)</f>
        <v>173537</v>
      </c>
      <c r="G30" s="162">
        <v>10.166</v>
      </c>
      <c r="H30" s="1" t="s">
        <v>178</v>
      </c>
      <c r="I30" s="2">
        <f>ROUND(C30*G30/100,0)</f>
        <v>187359</v>
      </c>
      <c r="J30" s="2"/>
      <c r="K30" s="2"/>
      <c r="L30" s="2"/>
      <c r="M30" s="2"/>
      <c r="N30" s="2"/>
      <c r="O30" s="11"/>
      <c r="P30" s="38"/>
      <c r="Q30" s="38"/>
      <c r="R30" s="38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K30" s="42"/>
    </row>
    <row r="31" spans="1:37">
      <c r="A31" s="1" t="s">
        <v>181</v>
      </c>
      <c r="B31" s="1"/>
      <c r="C31" s="12">
        <v>0</v>
      </c>
      <c r="D31" s="164">
        <v>1.65</v>
      </c>
      <c r="E31" s="1"/>
      <c r="F31" s="2">
        <f>ROUND(D31*$C31,0)</f>
        <v>0</v>
      </c>
      <c r="G31" s="164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11"/>
      <c r="P31" s="38"/>
      <c r="Q31" s="38"/>
      <c r="R31" s="38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K31" s="42"/>
    </row>
    <row r="32" spans="1:37">
      <c r="A32" s="166" t="s">
        <v>183</v>
      </c>
      <c r="B32" s="166"/>
      <c r="C32" s="12">
        <v>0</v>
      </c>
      <c r="D32" s="164">
        <v>3.2</v>
      </c>
      <c r="E32" s="166"/>
      <c r="F32" s="2">
        <f>ROUND(D32*$C32,0)</f>
        <v>0</v>
      </c>
      <c r="G32" s="164">
        <v>3.3</v>
      </c>
      <c r="H32" s="166"/>
      <c r="I32" s="2">
        <f>ROUND(C32*G32,0)</f>
        <v>0</v>
      </c>
      <c r="J32" s="2"/>
      <c r="K32" s="2"/>
      <c r="L32" s="2"/>
      <c r="M32" s="2"/>
      <c r="N32" s="2"/>
      <c r="O32" s="11"/>
      <c r="P32" s="38"/>
      <c r="Q32" s="38"/>
      <c r="R32" s="38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K32" s="42"/>
    </row>
    <row r="33" spans="1:37">
      <c r="A33" s="166" t="s">
        <v>184</v>
      </c>
      <c r="B33" s="166"/>
      <c r="C33" s="12">
        <v>0</v>
      </c>
      <c r="D33" s="167">
        <v>-1.65</v>
      </c>
      <c r="E33" s="166"/>
      <c r="F33" s="2">
        <f>ROUND(D33*$C33,0)</f>
        <v>0</v>
      </c>
      <c r="G33" s="132">
        <v>-1.71</v>
      </c>
      <c r="H33" s="166"/>
      <c r="I33" s="2">
        <f>ROUND(C33*G33,0)</f>
        <v>0</v>
      </c>
      <c r="J33" s="2"/>
      <c r="K33" s="2"/>
      <c r="L33" s="2"/>
      <c r="M33" s="2"/>
      <c r="N33" s="2"/>
      <c r="O33" s="11"/>
      <c r="P33" s="38"/>
      <c r="Q33" s="38"/>
      <c r="R33" s="38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K33" s="42"/>
    </row>
    <row r="34" spans="1:37">
      <c r="A34" s="1" t="s">
        <v>185</v>
      </c>
      <c r="B34" s="168"/>
      <c r="C34" s="12">
        <f>SUM(C29:C30)</f>
        <v>2898890</v>
      </c>
      <c r="D34" s="518"/>
      <c r="E34" s="2"/>
      <c r="F34" s="2">
        <f>SUM(F28:F33)</f>
        <v>252109</v>
      </c>
      <c r="G34" s="518"/>
      <c r="H34" s="2"/>
      <c r="I34" s="2">
        <f>SUM(I28:I33)</f>
        <v>275552</v>
      </c>
      <c r="J34" s="2"/>
      <c r="K34" s="2"/>
      <c r="L34" s="2"/>
      <c r="M34" s="2"/>
      <c r="N34" s="2"/>
      <c r="O34" s="11"/>
      <c r="P34" s="20"/>
      <c r="Q34" s="38"/>
      <c r="R34" s="38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K34" s="42"/>
    </row>
    <row r="35" spans="1:37">
      <c r="A35" s="1" t="s">
        <v>167</v>
      </c>
      <c r="B35" s="170"/>
      <c r="C35" s="171">
        <f>V57</f>
        <v>-39521.476073420687</v>
      </c>
      <c r="D35" s="635"/>
      <c r="E35" s="635"/>
      <c r="F35" s="494" t="e">
        <f>I35</f>
        <v>#REF!</v>
      </c>
      <c r="G35" s="523"/>
      <c r="H35" s="523"/>
      <c r="I35" s="636" t="e">
        <f>#REF!*I34/(I21+I34)</f>
        <v>#REF!</v>
      </c>
      <c r="J35" s="637"/>
      <c r="K35" s="637"/>
      <c r="L35" s="637"/>
      <c r="M35" s="637"/>
      <c r="N35" s="637"/>
      <c r="O35" s="307"/>
      <c r="P35" s="150"/>
      <c r="Q35" s="38"/>
      <c r="R35" s="38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K35" s="42"/>
    </row>
    <row r="36" spans="1:37" ht="16.5" thickBot="1">
      <c r="A36" s="1" t="s">
        <v>186</v>
      </c>
      <c r="B36" s="1"/>
      <c r="C36" s="497">
        <f>C34+C35</f>
        <v>2859368.5239265794</v>
      </c>
      <c r="D36" s="495"/>
      <c r="E36" s="495"/>
      <c r="F36" s="495" t="e">
        <f>F34+F35</f>
        <v>#REF!</v>
      </c>
      <c r="G36" s="496"/>
      <c r="H36" s="496"/>
      <c r="I36" s="495" t="e">
        <f>SUM(I34:I35)</f>
        <v>#REF!</v>
      </c>
      <c r="J36" s="20"/>
      <c r="K36" s="20"/>
      <c r="L36" s="20"/>
      <c r="M36" s="20"/>
      <c r="N36" s="20"/>
      <c r="O36" s="274"/>
      <c r="P36" s="333"/>
      <c r="Q36" s="38"/>
      <c r="R36" s="38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K36" s="42"/>
    </row>
    <row r="37" spans="1:37" ht="16.5" thickTop="1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37" ht="16.5" thickBot="1">
      <c r="I38" s="643"/>
      <c r="J38" s="644" t="s">
        <v>501</v>
      </c>
      <c r="K38" s="644" t="s">
        <v>502</v>
      </c>
      <c r="L38" s="644" t="s">
        <v>503</v>
      </c>
      <c r="M38" s="644" t="s">
        <v>504</v>
      </c>
      <c r="N38" s="644" t="s">
        <v>505</v>
      </c>
      <c r="O38" s="644" t="s">
        <v>506</v>
      </c>
      <c r="P38" s="644" t="s">
        <v>507</v>
      </c>
      <c r="Q38" s="644" t="s">
        <v>508</v>
      </c>
      <c r="R38" s="644" t="s">
        <v>509</v>
      </c>
      <c r="S38" s="644" t="s">
        <v>510</v>
      </c>
      <c r="T38" s="644" t="s">
        <v>511</v>
      </c>
      <c r="U38" s="644" t="s">
        <v>512</v>
      </c>
      <c r="V38" s="644" t="s">
        <v>513</v>
      </c>
    </row>
    <row r="39" spans="1:37">
      <c r="I39" s="638" t="s">
        <v>500</v>
      </c>
    </row>
    <row r="40" spans="1:37">
      <c r="I40" s="639" t="s">
        <v>438</v>
      </c>
      <c r="J40" s="641">
        <v>109650975</v>
      </c>
      <c r="K40" s="641">
        <v>128089470</v>
      </c>
      <c r="L40" s="641">
        <v>101547178</v>
      </c>
      <c r="M40" s="641">
        <v>82427457</v>
      </c>
      <c r="N40" s="641">
        <v>109082077</v>
      </c>
      <c r="O40" s="641">
        <v>177998198</v>
      </c>
      <c r="P40" s="641">
        <v>178739087</v>
      </c>
      <c r="Q40" s="641">
        <v>142955147</v>
      </c>
      <c r="R40" s="641">
        <v>114199404</v>
      </c>
      <c r="S40" s="641">
        <v>93799885</v>
      </c>
      <c r="T40" s="641">
        <v>84179447</v>
      </c>
      <c r="U40" s="641">
        <v>96893759</v>
      </c>
      <c r="V40" s="9">
        <f>SUM(J40:U40)</f>
        <v>1419562084</v>
      </c>
    </row>
    <row r="41" spans="1:37">
      <c r="I41" s="639" t="s">
        <v>445</v>
      </c>
      <c r="J41" s="641">
        <v>5226995</v>
      </c>
      <c r="K41" s="641">
        <v>5896396</v>
      </c>
      <c r="L41" s="641">
        <v>5068062</v>
      </c>
      <c r="M41" s="641">
        <v>4397329</v>
      </c>
      <c r="N41" s="641">
        <v>6449256</v>
      </c>
      <c r="O41" s="641">
        <v>11403661</v>
      </c>
      <c r="P41" s="641">
        <v>11685152</v>
      </c>
      <c r="Q41" s="641">
        <v>9831706</v>
      </c>
      <c r="R41" s="641">
        <v>7959009</v>
      </c>
      <c r="S41" s="641">
        <v>6394456</v>
      </c>
      <c r="T41" s="641">
        <v>5594402</v>
      </c>
      <c r="U41" s="641">
        <v>5776692</v>
      </c>
      <c r="V41" s="9">
        <f t="shared" ref="V41:V49" si="0">SUM(J41:U41)</f>
        <v>85683116</v>
      </c>
    </row>
    <row r="42" spans="1:37">
      <c r="I42" s="639" t="s">
        <v>439</v>
      </c>
      <c r="J42" s="641">
        <v>185061</v>
      </c>
      <c r="K42" s="641">
        <v>215220</v>
      </c>
      <c r="L42" s="641">
        <v>175360</v>
      </c>
      <c r="M42" s="641">
        <v>143837</v>
      </c>
      <c r="N42" s="641">
        <v>168813</v>
      </c>
      <c r="O42" s="641">
        <v>236002</v>
      </c>
      <c r="P42" s="641">
        <v>246895</v>
      </c>
      <c r="Q42" s="641">
        <v>189085</v>
      </c>
      <c r="R42" s="641">
        <v>166114</v>
      </c>
      <c r="S42" s="641">
        <v>141925</v>
      </c>
      <c r="T42" s="641">
        <v>151170</v>
      </c>
      <c r="U42" s="641">
        <v>169508</v>
      </c>
      <c r="V42" s="9">
        <f t="shared" si="0"/>
        <v>2188990</v>
      </c>
    </row>
    <row r="43" spans="1:37">
      <c r="I43" s="639" t="s">
        <v>499</v>
      </c>
      <c r="J43" s="641">
        <v>45311</v>
      </c>
      <c r="K43" s="641">
        <v>46329</v>
      </c>
      <c r="L43" s="641">
        <v>32741</v>
      </c>
      <c r="M43" s="641">
        <v>25192</v>
      </c>
      <c r="N43" s="641">
        <v>29546</v>
      </c>
      <c r="O43" s="641">
        <v>41682</v>
      </c>
      <c r="P43" s="641">
        <v>41101</v>
      </c>
      <c r="Q43" s="641">
        <v>32283</v>
      </c>
      <c r="R43" s="641">
        <v>26274</v>
      </c>
      <c r="S43" s="641">
        <v>24052</v>
      </c>
      <c r="T43" s="641">
        <v>24250</v>
      </c>
      <c r="U43" s="641">
        <v>28302</v>
      </c>
      <c r="V43" s="9">
        <f t="shared" si="0"/>
        <v>397063</v>
      </c>
    </row>
    <row r="44" spans="1:37">
      <c r="I44" s="640" t="s">
        <v>185</v>
      </c>
      <c r="J44" s="476">
        <f>SUM(J40:J43)</f>
        <v>115108342</v>
      </c>
      <c r="K44" s="476">
        <f t="shared" ref="K44:U44" si="1">SUM(K40:K43)</f>
        <v>134247415</v>
      </c>
      <c r="L44" s="476">
        <f t="shared" si="1"/>
        <v>106823341</v>
      </c>
      <c r="M44" s="476">
        <f t="shared" si="1"/>
        <v>86993815</v>
      </c>
      <c r="N44" s="476">
        <f t="shared" si="1"/>
        <v>115729692</v>
      </c>
      <c r="O44" s="476">
        <f t="shared" si="1"/>
        <v>189679543</v>
      </c>
      <c r="P44" s="476">
        <f t="shared" si="1"/>
        <v>190712235</v>
      </c>
      <c r="Q44" s="476">
        <f t="shared" si="1"/>
        <v>153008221</v>
      </c>
      <c r="R44" s="476">
        <f t="shared" si="1"/>
        <v>122350801</v>
      </c>
      <c r="S44" s="476">
        <f t="shared" si="1"/>
        <v>100360318</v>
      </c>
      <c r="T44" s="476">
        <f t="shared" si="1"/>
        <v>89949269</v>
      </c>
      <c r="U44" s="476">
        <f t="shared" si="1"/>
        <v>102868261</v>
      </c>
      <c r="V44" s="642">
        <f t="shared" si="0"/>
        <v>1507831253</v>
      </c>
    </row>
    <row r="45" spans="1:37">
      <c r="I45" s="639" t="s">
        <v>520</v>
      </c>
      <c r="J45" s="641">
        <v>145402</v>
      </c>
      <c r="K45" s="641">
        <v>191012</v>
      </c>
      <c r="L45" s="641">
        <v>149617</v>
      </c>
      <c r="M45" s="641">
        <v>121857</v>
      </c>
      <c r="N45" s="641">
        <v>209989</v>
      </c>
      <c r="O45" s="641">
        <v>440726</v>
      </c>
      <c r="P45" s="641">
        <v>516637</v>
      </c>
      <c r="Q45" s="641">
        <v>412951</v>
      </c>
      <c r="R45" s="641">
        <v>244366</v>
      </c>
      <c r="S45" s="641">
        <v>173674</v>
      </c>
      <c r="T45" s="641">
        <v>127563</v>
      </c>
      <c r="U45" s="641">
        <v>165096</v>
      </c>
      <c r="V45" s="9">
        <f t="shared" si="0"/>
        <v>2898890</v>
      </c>
    </row>
    <row r="46" spans="1:37">
      <c r="I46" s="640" t="s">
        <v>515</v>
      </c>
      <c r="J46" s="476">
        <f>SUM(J44:J45)</f>
        <v>115253744</v>
      </c>
      <c r="K46" s="476">
        <f t="shared" ref="K46:T46" si="2">SUM(K44:K45)</f>
        <v>134438427</v>
      </c>
      <c r="L46" s="476">
        <f t="shared" si="2"/>
        <v>106972958</v>
      </c>
      <c r="M46" s="476">
        <f t="shared" si="2"/>
        <v>87115672</v>
      </c>
      <c r="N46" s="476">
        <f t="shared" si="2"/>
        <v>115939681</v>
      </c>
      <c r="O46" s="476">
        <f t="shared" si="2"/>
        <v>190120269</v>
      </c>
      <c r="P46" s="476">
        <f t="shared" si="2"/>
        <v>191228872</v>
      </c>
      <c r="Q46" s="476">
        <f t="shared" si="2"/>
        <v>153421172</v>
      </c>
      <c r="R46" s="476">
        <f t="shared" si="2"/>
        <v>122595167</v>
      </c>
      <c r="S46" s="476">
        <f t="shared" si="2"/>
        <v>100533992</v>
      </c>
      <c r="T46" s="476">
        <f t="shared" si="2"/>
        <v>90076832</v>
      </c>
      <c r="U46" s="476">
        <f>SUM(U44:U45)</f>
        <v>103033357</v>
      </c>
      <c r="V46" s="642">
        <f t="shared" si="0"/>
        <v>1510730143</v>
      </c>
    </row>
    <row r="47" spans="1:37">
      <c r="I47" s="645" t="s">
        <v>516</v>
      </c>
      <c r="J47" s="508">
        <v>79561.5</v>
      </c>
      <c r="K47" s="508">
        <v>79957</v>
      </c>
      <c r="L47" s="508">
        <v>80109</v>
      </c>
      <c r="M47" s="508">
        <v>80337</v>
      </c>
      <c r="N47" s="508">
        <v>79727</v>
      </c>
      <c r="O47" s="508">
        <v>79145</v>
      </c>
      <c r="P47" s="508">
        <v>79252</v>
      </c>
      <c r="Q47" s="508">
        <v>78773</v>
      </c>
      <c r="R47" s="508">
        <v>77809</v>
      </c>
      <c r="S47" s="508">
        <v>78235.5</v>
      </c>
      <c r="T47" s="508">
        <v>78358</v>
      </c>
      <c r="U47" s="508">
        <v>78277</v>
      </c>
      <c r="V47" s="7">
        <f t="shared" si="0"/>
        <v>949541</v>
      </c>
    </row>
    <row r="48" spans="1:37">
      <c r="I48" s="645" t="s">
        <v>517</v>
      </c>
      <c r="J48" s="508">
        <v>1746915</v>
      </c>
      <c r="K48" s="508">
        <v>1942419</v>
      </c>
      <c r="L48" s="508">
        <v>1666377</v>
      </c>
      <c r="M48" s="508">
        <v>1365198</v>
      </c>
      <c r="N48" s="508">
        <v>1415824</v>
      </c>
      <c r="O48" s="508">
        <v>2050100</v>
      </c>
      <c r="P48" s="508">
        <v>2085519</v>
      </c>
      <c r="Q48" s="508">
        <v>2166637</v>
      </c>
      <c r="R48" s="508">
        <v>2323029</v>
      </c>
      <c r="S48" s="508">
        <v>1438003</v>
      </c>
      <c r="T48" s="508">
        <v>1304153</v>
      </c>
      <c r="U48" s="508">
        <v>1532312</v>
      </c>
      <c r="V48" s="7">
        <f t="shared" si="0"/>
        <v>21036486</v>
      </c>
    </row>
    <row r="49" spans="9:22">
      <c r="I49" s="640" t="s">
        <v>518</v>
      </c>
      <c r="J49" s="476">
        <f>SUM(J46:J48)</f>
        <v>117080220.5</v>
      </c>
      <c r="K49" s="476">
        <f t="shared" ref="K49:U49" si="3">SUM(K46:K48)</f>
        <v>136460803</v>
      </c>
      <c r="L49" s="476">
        <f t="shared" si="3"/>
        <v>108719444</v>
      </c>
      <c r="M49" s="476">
        <f t="shared" si="3"/>
        <v>88561207</v>
      </c>
      <c r="N49" s="476">
        <f t="shared" si="3"/>
        <v>117435232</v>
      </c>
      <c r="O49" s="476">
        <f t="shared" si="3"/>
        <v>192249514</v>
      </c>
      <c r="P49" s="476">
        <f t="shared" si="3"/>
        <v>193393643</v>
      </c>
      <c r="Q49" s="476">
        <f t="shared" si="3"/>
        <v>155666582</v>
      </c>
      <c r="R49" s="476">
        <f t="shared" si="3"/>
        <v>124996005</v>
      </c>
      <c r="S49" s="476">
        <f t="shared" si="3"/>
        <v>102050230.5</v>
      </c>
      <c r="T49" s="476">
        <f t="shared" si="3"/>
        <v>91459343</v>
      </c>
      <c r="U49" s="476">
        <f t="shared" si="3"/>
        <v>104643946</v>
      </c>
      <c r="V49" s="642">
        <f t="shared" si="0"/>
        <v>1532716170</v>
      </c>
    </row>
    <row r="51" spans="9:22">
      <c r="I51" s="638" t="s">
        <v>514</v>
      </c>
      <c r="J51" s="647">
        <v>-20896000</v>
      </c>
    </row>
    <row r="52" spans="9:22">
      <c r="I52" s="639" t="s">
        <v>438</v>
      </c>
      <c r="J52" s="641">
        <f>$J$51*J40/$V$49</f>
        <v>-1494906.1140263171</v>
      </c>
      <c r="K52" s="641">
        <f t="shared" ref="K52:U52" si="4">$J$51*K40/$V$49</f>
        <v>-1746283.8962023868</v>
      </c>
      <c r="L52" s="641">
        <f t="shared" si="4"/>
        <v>-1384424.5092605762</v>
      </c>
      <c r="M52" s="641">
        <f t="shared" si="4"/>
        <v>-1123759.3594853247</v>
      </c>
      <c r="N52" s="641">
        <f t="shared" si="4"/>
        <v>-1487150.1492621428</v>
      </c>
      <c r="O52" s="641">
        <f t="shared" si="4"/>
        <v>-2426705.2297151661</v>
      </c>
      <c r="P52" s="641">
        <f t="shared" si="4"/>
        <v>-2436806.0016956693</v>
      </c>
      <c r="Q52" s="641">
        <f t="shared" si="4"/>
        <v>-1948952.330627529</v>
      </c>
      <c r="R52" s="641">
        <f t="shared" si="4"/>
        <v>-1556916.2723611118</v>
      </c>
      <c r="S52" s="641">
        <f t="shared" si="4"/>
        <v>-1278803.2352787144</v>
      </c>
      <c r="T52" s="641">
        <f t="shared" si="4"/>
        <v>-1147644.7883446026</v>
      </c>
      <c r="U52" s="641">
        <f t="shared" si="4"/>
        <v>-1320982.9893449876</v>
      </c>
      <c r="V52" s="9">
        <f>SUM(J52:U52)</f>
        <v>-19353334.875604529</v>
      </c>
    </row>
    <row r="53" spans="9:22">
      <c r="I53" s="639" t="s">
        <v>445</v>
      </c>
      <c r="J53" s="641">
        <f>$J$51*J41/$V$49</f>
        <v>-71261.261320156889</v>
      </c>
      <c r="K53" s="641">
        <f t="shared" ref="K53:U53" si="5">$J$51*K41/$V$49</f>
        <v>-80387.414987603348</v>
      </c>
      <c r="L53" s="641">
        <f t="shared" si="5"/>
        <v>-69094.477911066861</v>
      </c>
      <c r="M53" s="641">
        <f t="shared" si="5"/>
        <v>-59950.164670083701</v>
      </c>
      <c r="N53" s="641">
        <f t="shared" si="5"/>
        <v>-87924.728670409997</v>
      </c>
      <c r="O53" s="641">
        <f t="shared" si="5"/>
        <v>-155469.68507287296</v>
      </c>
      <c r="P53" s="641">
        <f t="shared" si="5"/>
        <v>-159307.34011372764</v>
      </c>
      <c r="Q53" s="641">
        <f t="shared" si="5"/>
        <v>-134038.72980344429</v>
      </c>
      <c r="R53" s="641">
        <f t="shared" si="5"/>
        <v>-108507.6645756272</v>
      </c>
      <c r="S53" s="641">
        <f t="shared" si="5"/>
        <v>-87177.623092473805</v>
      </c>
      <c r="T53" s="641">
        <f t="shared" si="5"/>
        <v>-76270.236120755479</v>
      </c>
      <c r="U53" s="641">
        <f t="shared" si="5"/>
        <v>-78755.452832470604</v>
      </c>
      <c r="V53" s="9">
        <f t="shared" ref="V53:V58" si="6">SUM(J53:U53)</f>
        <v>-1168144.7791706929</v>
      </c>
    </row>
    <row r="54" spans="9:22">
      <c r="I54" s="639" t="s">
        <v>439</v>
      </c>
      <c r="J54" s="641">
        <f>$J$51*J42/$V$49</f>
        <v>-2522.9946233293799</v>
      </c>
      <c r="K54" s="641">
        <f t="shared" ref="K54:U54" si="7">$J$51*K42/$V$49</f>
        <v>-2934.1617241501408</v>
      </c>
      <c r="L54" s="641">
        <f t="shared" si="7"/>
        <v>-2390.7378493958213</v>
      </c>
      <c r="M54" s="641">
        <f t="shared" si="7"/>
        <v>-1960.9749090074517</v>
      </c>
      <c r="N54" s="641">
        <f t="shared" si="7"/>
        <v>-2301.4805461339915</v>
      </c>
      <c r="O54" s="641">
        <f t="shared" si="7"/>
        <v>-3217.4892446003228</v>
      </c>
      <c r="P54" s="641">
        <f t="shared" si="7"/>
        <v>-3365.9969281853405</v>
      </c>
      <c r="Q54" s="641">
        <f t="shared" si="7"/>
        <v>-2577.8550767165198</v>
      </c>
      <c r="R54" s="641">
        <f t="shared" si="7"/>
        <v>-2264.6842330892873</v>
      </c>
      <c r="S54" s="641">
        <f t="shared" si="7"/>
        <v>-1934.9080136604809</v>
      </c>
      <c r="T54" s="641">
        <f t="shared" si="7"/>
        <v>-2060.9479966535487</v>
      </c>
      <c r="U54" s="641">
        <f t="shared" si="7"/>
        <v>-2310.9556989928542</v>
      </c>
      <c r="V54" s="9">
        <f t="shared" si="6"/>
        <v>-29843.186843915137</v>
      </c>
    </row>
    <row r="55" spans="9:22">
      <c r="I55" s="639" t="s">
        <v>499</v>
      </c>
      <c r="J55" s="641">
        <f>$J$51*J43/$V$49</f>
        <v>-617.73906645742511</v>
      </c>
      <c r="K55" s="641">
        <f t="shared" ref="K55:U55" si="8">$J$51*K43/$V$49</f>
        <v>-631.61777956580181</v>
      </c>
      <c r="L55" s="641">
        <f t="shared" si="8"/>
        <v>-446.36831618994404</v>
      </c>
      <c r="M55" s="641">
        <f t="shared" si="8"/>
        <v>-343.45043283519351</v>
      </c>
      <c r="N55" s="641">
        <f t="shared" si="8"/>
        <v>-402.80987966610934</v>
      </c>
      <c r="O55" s="641">
        <f t="shared" si="8"/>
        <v>-568.26377188935123</v>
      </c>
      <c r="P55" s="641">
        <f t="shared" si="8"/>
        <v>-560.34281676561159</v>
      </c>
      <c r="Q55" s="641">
        <f t="shared" si="8"/>
        <v>-440.1242586225211</v>
      </c>
      <c r="R55" s="641">
        <f t="shared" si="8"/>
        <v>-358.20167800539355</v>
      </c>
      <c r="S55" s="641">
        <f t="shared" si="8"/>
        <v>-327.90845548396607</v>
      </c>
      <c r="T55" s="641">
        <f t="shared" si="8"/>
        <v>-330.60785155023189</v>
      </c>
      <c r="U55" s="641">
        <f t="shared" si="8"/>
        <v>-385.8500377144191</v>
      </c>
      <c r="V55" s="9">
        <f t="shared" si="6"/>
        <v>-5413.2843447459691</v>
      </c>
    </row>
    <row r="56" spans="9:22">
      <c r="I56" s="640" t="s">
        <v>185</v>
      </c>
      <c r="J56" s="646">
        <f>SUM(J52:J55)</f>
        <v>-1569308.109036261</v>
      </c>
      <c r="K56" s="646">
        <f t="shared" ref="K56:U56" si="9">SUM(K52:K55)</f>
        <v>-1830237.0906937062</v>
      </c>
      <c r="L56" s="646">
        <f t="shared" si="9"/>
        <v>-1456356.0933372288</v>
      </c>
      <c r="M56" s="646">
        <f t="shared" si="9"/>
        <v>-1186013.9494972511</v>
      </c>
      <c r="N56" s="646">
        <f t="shared" si="9"/>
        <v>-1577779.168358353</v>
      </c>
      <c r="O56" s="646">
        <f t="shared" si="9"/>
        <v>-2585960.6678045285</v>
      </c>
      <c r="P56" s="646">
        <f t="shared" si="9"/>
        <v>-2600039.6815543477</v>
      </c>
      <c r="Q56" s="646">
        <f t="shared" si="9"/>
        <v>-2086009.0397663123</v>
      </c>
      <c r="R56" s="646">
        <f t="shared" si="9"/>
        <v>-1668046.8228478336</v>
      </c>
      <c r="S56" s="646">
        <f t="shared" si="9"/>
        <v>-1368243.6748403327</v>
      </c>
      <c r="T56" s="646">
        <f t="shared" si="9"/>
        <v>-1226306.5803135619</v>
      </c>
      <c r="U56" s="646">
        <f t="shared" si="9"/>
        <v>-1402435.2479141655</v>
      </c>
      <c r="V56" s="642">
        <f t="shared" si="6"/>
        <v>-20556736.125963882</v>
      </c>
    </row>
    <row r="57" spans="9:22">
      <c r="I57" s="639" t="s">
        <v>520</v>
      </c>
      <c r="J57" s="641">
        <f t="shared" ref="J57:U57" si="10">$J$51*J45/$V$49</f>
        <v>-1982.3110445817244</v>
      </c>
      <c r="K57" s="641">
        <f t="shared" si="10"/>
        <v>-2604.1264717654803</v>
      </c>
      <c r="L57" s="641">
        <f t="shared" si="10"/>
        <v>-2039.7754608408679</v>
      </c>
      <c r="M57" s="641">
        <f t="shared" si="10"/>
        <v>-1661.3146790250148</v>
      </c>
      <c r="N57" s="641">
        <f t="shared" si="10"/>
        <v>-2862.8458614095525</v>
      </c>
      <c r="O57" s="641">
        <f t="shared" si="10"/>
        <v>-6008.5557106114438</v>
      </c>
      <c r="P57" s="641">
        <f t="shared" si="10"/>
        <v>-7043.4741691281306</v>
      </c>
      <c r="Q57" s="641">
        <f t="shared" si="10"/>
        <v>-5629.8904290936007</v>
      </c>
      <c r="R57" s="641">
        <f t="shared" si="10"/>
        <v>-3331.5182784298545</v>
      </c>
      <c r="S57" s="641">
        <f t="shared" si="10"/>
        <v>-2367.7520828921638</v>
      </c>
      <c r="T57" s="641">
        <f t="shared" si="10"/>
        <v>-1739.1063656619476</v>
      </c>
      <c r="U57" s="641">
        <f t="shared" si="10"/>
        <v>-2250.805519980911</v>
      </c>
      <c r="V57" s="9">
        <f t="shared" si="6"/>
        <v>-39521.476073420687</v>
      </c>
    </row>
    <row r="58" spans="9:22">
      <c r="I58" s="640" t="s">
        <v>186</v>
      </c>
      <c r="J58" s="642">
        <f>SUM(J56:J57)</f>
        <v>-1571290.4200808427</v>
      </c>
      <c r="K58" s="642">
        <f>SUM(K56:K57)</f>
        <v>-1832841.2171654718</v>
      </c>
      <c r="L58" s="642">
        <f>SUM(L56:L57)</f>
        <v>-1458395.8687980697</v>
      </c>
      <c r="M58" s="642">
        <f t="shared" ref="M58:U58" si="11">SUM(M56:M57)</f>
        <v>-1187675.264176276</v>
      </c>
      <c r="N58" s="642">
        <f t="shared" si="11"/>
        <v>-1580642.0142197625</v>
      </c>
      <c r="O58" s="642">
        <f t="shared" si="11"/>
        <v>-2591969.2235151399</v>
      </c>
      <c r="P58" s="642">
        <f t="shared" si="11"/>
        <v>-2607083.1557234759</v>
      </c>
      <c r="Q58" s="642">
        <f t="shared" si="11"/>
        <v>-2091638.9301954058</v>
      </c>
      <c r="R58" s="642">
        <f t="shared" si="11"/>
        <v>-1671378.3411262634</v>
      </c>
      <c r="S58" s="642">
        <f t="shared" si="11"/>
        <v>-1370611.4269232249</v>
      </c>
      <c r="T58" s="642">
        <f t="shared" si="11"/>
        <v>-1228045.6866792238</v>
      </c>
      <c r="U58" s="642">
        <f t="shared" si="11"/>
        <v>-1404686.0534341463</v>
      </c>
      <c r="V58" s="642">
        <f t="shared" si="6"/>
        <v>-20596257.602037303</v>
      </c>
    </row>
    <row r="60" spans="9:22">
      <c r="I60" s="638" t="s">
        <v>3</v>
      </c>
    </row>
    <row r="61" spans="9:22">
      <c r="I61" s="639" t="s">
        <v>438</v>
      </c>
      <c r="J61" s="526">
        <v>-5916885.1836873954</v>
      </c>
      <c r="K61" s="526">
        <v>650273.33192590426</v>
      </c>
      <c r="L61" s="526">
        <v>2754914.4961191299</v>
      </c>
      <c r="M61" s="526">
        <v>-1212764.3976792207</v>
      </c>
      <c r="N61" s="526">
        <v>-5757958.6088567059</v>
      </c>
      <c r="O61" s="526">
        <v>22284833.693557587</v>
      </c>
      <c r="P61" s="526">
        <v>8645417.979012968</v>
      </c>
      <c r="Q61" s="526">
        <v>-50976994.179540589</v>
      </c>
      <c r="R61" s="526">
        <v>-34066043.198493175</v>
      </c>
      <c r="S61" s="526">
        <v>6877102.2106041508</v>
      </c>
      <c r="T61" s="526">
        <v>1878105.6123750396</v>
      </c>
      <c r="U61" s="526">
        <v>-1551637.6791642753</v>
      </c>
      <c r="V61" s="9">
        <f>SUM(J61:U61)</f>
        <v>-56391635.923826575</v>
      </c>
    </row>
    <row r="62" spans="9:22">
      <c r="I62" s="639" t="s">
        <v>445</v>
      </c>
      <c r="J62" s="526">
        <v>-228323.58922888245</v>
      </c>
      <c r="K62" s="526">
        <v>23969.361147138192</v>
      </c>
      <c r="L62" s="526">
        <v>106788.42978419113</v>
      </c>
      <c r="M62" s="526">
        <v>-56757.463050247323</v>
      </c>
      <c r="N62" s="526">
        <v>-307191.02152479475</v>
      </c>
      <c r="O62" s="526">
        <v>1271886.5606757847</v>
      </c>
      <c r="P62" s="526">
        <v>521155.84563762823</v>
      </c>
      <c r="Q62" s="526">
        <v>-3293687.6909134365</v>
      </c>
      <c r="R62" s="526">
        <v>-1987101.215273743</v>
      </c>
      <c r="S62" s="526">
        <v>380985.97093047237</v>
      </c>
      <c r="T62" s="526">
        <v>94657.565509963402</v>
      </c>
      <c r="U62" s="526">
        <v>-71159.248992110181</v>
      </c>
      <c r="V62" s="9">
        <f>SUM(J62:U62)</f>
        <v>-3544776.4952980359</v>
      </c>
    </row>
    <row r="63" spans="9:22">
      <c r="I63" s="639" t="s">
        <v>439</v>
      </c>
      <c r="J63" s="526">
        <v>-11881.252983722208</v>
      </c>
      <c r="K63" s="526">
        <v>1128.0257269575241</v>
      </c>
      <c r="L63" s="526">
        <v>5055.7582966790069</v>
      </c>
      <c r="M63" s="526">
        <v>-2319.4202705320822</v>
      </c>
      <c r="N63" s="526">
        <v>-8199.1384184992239</v>
      </c>
      <c r="O63" s="526">
        <v>32608.008566627872</v>
      </c>
      <c r="P63" s="526">
        <v>11864.212349404113</v>
      </c>
      <c r="Q63" s="526">
        <v>-73944.79224597034</v>
      </c>
      <c r="R63" s="526">
        <v>-46848.889733076583</v>
      </c>
      <c r="S63" s="526">
        <v>11576.455765377112</v>
      </c>
      <c r="T63" s="526">
        <v>3269.3679149971413</v>
      </c>
      <c r="U63" s="526">
        <v>-2849.7692436144803</v>
      </c>
      <c r="V63" s="9">
        <f>SUM(J63:U63)</f>
        <v>-80541.434275372143</v>
      </c>
    </row>
    <row r="64" spans="9:22">
      <c r="I64" s="639"/>
    </row>
    <row r="65" spans="9:22">
      <c r="I65" s="648" t="s">
        <v>1</v>
      </c>
      <c r="J65" s="5"/>
      <c r="K65" s="5"/>
      <c r="L65" s="5"/>
      <c r="M65" s="5"/>
      <c r="N65" s="5"/>
      <c r="O65" s="5"/>
      <c r="P65" s="26"/>
      <c r="Q65" s="26"/>
      <c r="R65" s="26"/>
      <c r="S65" s="5"/>
      <c r="T65" s="5"/>
      <c r="U65" s="5"/>
      <c r="V65" s="5"/>
    </row>
    <row r="66" spans="9:22">
      <c r="I66" s="640" t="s">
        <v>438</v>
      </c>
      <c r="J66" s="642">
        <f>SUM(J61:J63,J52:J55,J40:J43)</f>
        <v>107381943.86506374</v>
      </c>
      <c r="K66" s="642">
        <f t="shared" ref="K66:U66" si="12">SUM(K61:K63,K52:K55,K40:K43)</f>
        <v>133092548.6281063</v>
      </c>
      <c r="L66" s="642">
        <f t="shared" si="12"/>
        <v>108233743.59086277</v>
      </c>
      <c r="M66" s="642">
        <f t="shared" si="12"/>
        <v>84535959.769502744</v>
      </c>
      <c r="N66" s="642">
        <f t="shared" si="12"/>
        <v>108078564.06284165</v>
      </c>
      <c r="O66" s="642">
        <f t="shared" si="12"/>
        <v>210682910.59499547</v>
      </c>
      <c r="P66" s="642">
        <f t="shared" si="12"/>
        <v>197290633.35544565</v>
      </c>
      <c r="Q66" s="642">
        <f t="shared" si="12"/>
        <v>96577585.297533691</v>
      </c>
      <c r="R66" s="642">
        <f t="shared" si="12"/>
        <v>84582760.87365216</v>
      </c>
      <c r="S66" s="642">
        <f t="shared" si="12"/>
        <v>106261738.96245967</v>
      </c>
      <c r="T66" s="642">
        <f t="shared" si="12"/>
        <v>90698994.965486437</v>
      </c>
      <c r="U66" s="642">
        <f t="shared" si="12"/>
        <v>99840179.054685831</v>
      </c>
      <c r="V66" s="642">
        <f>SUM(J66:U66)</f>
        <v>1427257563.0206361</v>
      </c>
    </row>
    <row r="67" spans="9:22">
      <c r="I67" s="640" t="s">
        <v>520</v>
      </c>
      <c r="J67" s="642">
        <f>J45+J57</f>
        <v>143419.68895541827</v>
      </c>
      <c r="K67" s="642">
        <f t="shared" ref="K67:U67" si="13">K45+K57</f>
        <v>188407.87352823452</v>
      </c>
      <c r="L67" s="642">
        <f t="shared" si="13"/>
        <v>147577.22453915913</v>
      </c>
      <c r="M67" s="642">
        <f t="shared" si="13"/>
        <v>120195.68532097498</v>
      </c>
      <c r="N67" s="642">
        <f t="shared" si="13"/>
        <v>207126.15413859044</v>
      </c>
      <c r="O67" s="642">
        <f t="shared" si="13"/>
        <v>434717.44428938854</v>
      </c>
      <c r="P67" s="642">
        <f t="shared" si="13"/>
        <v>509593.52583087189</v>
      </c>
      <c r="Q67" s="642">
        <f t="shared" si="13"/>
        <v>407321.10957090638</v>
      </c>
      <c r="R67" s="642">
        <f t="shared" si="13"/>
        <v>241034.48172157013</v>
      </c>
      <c r="S67" s="642">
        <f t="shared" si="13"/>
        <v>171306.24791710783</v>
      </c>
      <c r="T67" s="642">
        <f t="shared" si="13"/>
        <v>125823.89363433805</v>
      </c>
      <c r="U67" s="642">
        <f t="shared" si="13"/>
        <v>162845.1944800191</v>
      </c>
      <c r="V67" s="642">
        <f>SUM(J67:U67)</f>
        <v>2859368.5239265794</v>
      </c>
    </row>
    <row r="68" spans="9:22">
      <c r="I68" s="491"/>
    </row>
    <row r="69" spans="9:22">
      <c r="I69" s="640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 transitionEntry="1">
    <pageSetUpPr fitToPage="1"/>
  </sheetPr>
  <dimension ref="B1:W66"/>
  <sheetViews>
    <sheetView workbookViewId="0"/>
  </sheetViews>
  <sheetFormatPr defaultColWidth="8.5" defaultRowHeight="15"/>
  <cols>
    <col min="1" max="1" width="5" style="21" customWidth="1"/>
    <col min="2" max="2" width="3.25" style="21" customWidth="1"/>
    <col min="3" max="3" width="1.125" style="21" customWidth="1"/>
    <col min="4" max="4" width="32.25" style="21" customWidth="1"/>
    <col min="5" max="5" width="1.125" style="21" customWidth="1"/>
    <col min="6" max="6" width="7.25" style="21" bestFit="1" customWidth="1"/>
    <col min="7" max="7" width="1.125" style="21" customWidth="1"/>
    <col min="8" max="8" width="8.5" style="21" bestFit="1" customWidth="1"/>
    <col min="9" max="9" width="1.125" style="21" customWidth="1"/>
    <col min="10" max="10" width="11.75" style="21" bestFit="1" customWidth="1"/>
    <col min="11" max="11" width="1.125" style="21" customWidth="1"/>
    <col min="12" max="12" width="12.25" style="21" bestFit="1" customWidth="1"/>
    <col min="13" max="13" width="1.125" style="21" customWidth="1"/>
    <col min="14" max="14" width="12.25" style="21" hidden="1" customWidth="1"/>
    <col min="15" max="15" width="1.125" style="21" hidden="1" customWidth="1"/>
    <col min="16" max="16" width="13.25" style="21" hidden="1" customWidth="1"/>
    <col min="17" max="17" width="2.875" style="21" hidden="1" customWidth="1"/>
    <col min="18" max="18" width="10.5" style="21" hidden="1" customWidth="1"/>
    <col min="19" max="19" width="2.125" style="21" hidden="1" customWidth="1"/>
    <col min="20" max="20" width="10.5" style="21" hidden="1" customWidth="1"/>
    <col min="21" max="21" width="2.125" style="21" hidden="1" customWidth="1"/>
    <col min="22" max="22" width="10.5" style="21" hidden="1" customWidth="1"/>
    <col min="23" max="23" width="2.125" style="21" hidden="1" customWidth="1"/>
    <col min="24" max="24" width="0" style="21" hidden="1" customWidth="1"/>
    <col min="25" max="16384" width="8.5" style="21"/>
  </cols>
  <sheetData>
    <row r="1" spans="2:23" ht="15.75">
      <c r="B1" s="557" t="s">
        <v>13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U1" s="557"/>
      <c r="W1" s="557"/>
    </row>
    <row r="2" spans="2:23" ht="15.75">
      <c r="B2" s="558" t="s">
        <v>443</v>
      </c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</row>
    <row r="3" spans="2:23" ht="15.75">
      <c r="B3" s="558" t="s">
        <v>450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</row>
    <row r="4" spans="2:23" ht="15.75">
      <c r="B4" s="558" t="s">
        <v>451</v>
      </c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</row>
    <row r="5" spans="2:23" ht="15.75">
      <c r="B5" s="559" t="s">
        <v>495</v>
      </c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</row>
    <row r="6" spans="2:23"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1"/>
      <c r="R6" s="560"/>
      <c r="S6" s="560"/>
      <c r="U6" s="560"/>
      <c r="W6" s="560"/>
    </row>
    <row r="7" spans="2:23">
      <c r="B7" s="560"/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1"/>
      <c r="R7" s="560"/>
      <c r="S7" s="560"/>
      <c r="U7" s="560"/>
      <c r="W7" s="560"/>
    </row>
    <row r="8" spans="2:23">
      <c r="L8" s="562" t="s">
        <v>13</v>
      </c>
      <c r="N8" s="562" t="s">
        <v>85</v>
      </c>
      <c r="P8" s="562" t="s">
        <v>85</v>
      </c>
      <c r="Q8" s="563"/>
      <c r="R8" s="564" t="s">
        <v>17</v>
      </c>
      <c r="S8" s="565"/>
      <c r="T8" s="566" t="s">
        <v>17</v>
      </c>
      <c r="U8" s="565"/>
      <c r="V8" s="566" t="s">
        <v>17</v>
      </c>
      <c r="W8" s="565"/>
    </row>
    <row r="9" spans="2:23">
      <c r="F9" s="567" t="s">
        <v>452</v>
      </c>
      <c r="I9" s="44"/>
      <c r="K9" s="44"/>
      <c r="L9" s="562" t="s">
        <v>475</v>
      </c>
      <c r="M9" s="568"/>
      <c r="N9" s="562" t="s">
        <v>88</v>
      </c>
      <c r="O9" s="568"/>
      <c r="P9" s="562" t="s">
        <v>89</v>
      </c>
      <c r="Q9" s="561"/>
      <c r="R9" s="564" t="s">
        <v>75</v>
      </c>
      <c r="S9" s="565"/>
      <c r="T9" s="566" t="s">
        <v>88</v>
      </c>
      <c r="U9" s="565"/>
      <c r="V9" s="566" t="s">
        <v>89</v>
      </c>
      <c r="W9" s="565"/>
    </row>
    <row r="10" spans="2:23" s="570" customFormat="1" ht="17.25">
      <c r="B10" s="567" t="s">
        <v>74</v>
      </c>
      <c r="C10" s="45"/>
      <c r="D10" s="567"/>
      <c r="E10" s="567"/>
      <c r="F10" s="567" t="s">
        <v>453</v>
      </c>
      <c r="G10" s="567"/>
      <c r="H10" s="567" t="s">
        <v>454</v>
      </c>
      <c r="I10" s="562"/>
      <c r="J10" s="567"/>
      <c r="K10" s="562"/>
      <c r="L10" s="562" t="s">
        <v>16</v>
      </c>
      <c r="M10" s="562"/>
      <c r="N10" s="562" t="s">
        <v>16</v>
      </c>
      <c r="O10" s="562"/>
      <c r="P10" s="562" t="s">
        <v>455</v>
      </c>
      <c r="Q10" s="569"/>
      <c r="R10" s="564" t="s">
        <v>77</v>
      </c>
      <c r="S10" s="562"/>
      <c r="T10" s="564" t="s">
        <v>77</v>
      </c>
      <c r="U10" s="562"/>
      <c r="V10" s="564" t="s">
        <v>77</v>
      </c>
      <c r="W10" s="562"/>
    </row>
    <row r="11" spans="2:23" ht="18" customHeight="1">
      <c r="B11" s="571" t="s">
        <v>76</v>
      </c>
      <c r="C11" s="45"/>
      <c r="D11" s="571" t="s">
        <v>90</v>
      </c>
      <c r="E11" s="45"/>
      <c r="F11" s="571" t="s">
        <v>76</v>
      </c>
      <c r="G11" s="567"/>
      <c r="H11" s="571" t="s">
        <v>456</v>
      </c>
      <c r="I11" s="567"/>
      <c r="J11" s="571" t="s">
        <v>8</v>
      </c>
      <c r="K11" s="567"/>
      <c r="L11" s="572" t="s">
        <v>86</v>
      </c>
      <c r="M11" s="567"/>
      <c r="N11" s="572" t="s">
        <v>86</v>
      </c>
      <c r="O11" s="567"/>
      <c r="P11" s="572" t="s">
        <v>86</v>
      </c>
      <c r="Q11" s="569"/>
      <c r="R11" s="573" t="s">
        <v>457</v>
      </c>
      <c r="S11" s="574"/>
      <c r="T11" s="573" t="s">
        <v>457</v>
      </c>
      <c r="U11" s="574"/>
      <c r="V11" s="573" t="s">
        <v>457</v>
      </c>
      <c r="W11" s="574"/>
    </row>
    <row r="12" spans="2:23" ht="18" customHeight="1">
      <c r="D12" s="575">
        <v>-1</v>
      </c>
      <c r="F12" s="575">
        <f>MIN($D12:E12)-1</f>
        <v>-2</v>
      </c>
      <c r="H12" s="575">
        <f>MIN($D12:G12)-1</f>
        <v>-3</v>
      </c>
      <c r="J12" s="575">
        <f>MIN($D12:I12)-1</f>
        <v>-4</v>
      </c>
      <c r="L12" s="575">
        <f>MIN($D12:K12)-1</f>
        <v>-5</v>
      </c>
      <c r="N12" s="575">
        <f>MIN($D12:M12)-1</f>
        <v>-6</v>
      </c>
      <c r="P12" s="575">
        <f>MIN($D12:O12)-1</f>
        <v>-7</v>
      </c>
      <c r="Q12" s="563"/>
      <c r="R12" s="576">
        <f>MIN($D12:Q12)-1</f>
        <v>-8</v>
      </c>
      <c r="S12" s="44"/>
      <c r="T12" s="576">
        <f>MIN($D12:S12)-1</f>
        <v>-9</v>
      </c>
      <c r="U12" s="44"/>
      <c r="V12" s="576">
        <f>MIN($D12:U12)-1</f>
        <v>-10</v>
      </c>
      <c r="W12" s="44"/>
    </row>
    <row r="13" spans="2:23" ht="18" customHeight="1">
      <c r="Q13" s="563"/>
      <c r="R13" s="577" t="s">
        <v>458</v>
      </c>
      <c r="S13" s="44"/>
      <c r="T13" s="577" t="s">
        <v>459</v>
      </c>
      <c r="U13" s="44"/>
      <c r="V13" s="577" t="s">
        <v>460</v>
      </c>
      <c r="W13" s="44"/>
    </row>
    <row r="14" spans="2:23" ht="18" customHeight="1">
      <c r="D14" s="578" t="s">
        <v>5</v>
      </c>
      <c r="E14" s="578"/>
      <c r="Q14" s="563"/>
    </row>
    <row r="15" spans="2:23" ht="18" customHeight="1">
      <c r="B15" s="44">
        <v>1</v>
      </c>
      <c r="D15" s="21" t="s">
        <v>5</v>
      </c>
      <c r="E15" s="579"/>
      <c r="F15" s="580" t="s">
        <v>461</v>
      </c>
      <c r="H15" s="581" t="e">
        <f>#REF!+#REF!+#REF!+#REF!+#REF!</f>
        <v>#REF!</v>
      </c>
      <c r="J15" s="581" t="e">
        <f>(#REF!+#REF!+#REF!+#REF!+#REF!)/1000</f>
        <v>#REF!</v>
      </c>
      <c r="L15" s="583" t="e">
        <f>#REF!/1000</f>
        <v>#REF!</v>
      </c>
      <c r="M15" s="583"/>
      <c r="N15" s="583" t="e">
        <f>0.00245*J15</f>
        <v>#REF!</v>
      </c>
      <c r="O15" s="583"/>
      <c r="P15" s="583" t="e">
        <f>SUM(L15:O15)</f>
        <v>#REF!</v>
      </c>
      <c r="Q15" s="584"/>
      <c r="R15" s="585" t="e">
        <f>L15/$J15</f>
        <v>#REF!</v>
      </c>
      <c r="S15" s="583"/>
      <c r="T15" s="585" t="e">
        <f>N15/$J15</f>
        <v>#REF!</v>
      </c>
      <c r="U15" s="583"/>
      <c r="V15" s="585" t="e">
        <f>P15/$J15</f>
        <v>#REF!</v>
      </c>
      <c r="W15" s="583"/>
    </row>
    <row r="16" spans="2:23" ht="18" customHeight="1">
      <c r="B16" s="44">
        <f>MAX(B$15:B15)+1</f>
        <v>2</v>
      </c>
      <c r="D16" s="21" t="s">
        <v>78</v>
      </c>
      <c r="F16" s="44" t="s">
        <v>79</v>
      </c>
      <c r="H16" s="581" t="e">
        <f>#REF!</f>
        <v>#REF!</v>
      </c>
      <c r="I16" s="582"/>
      <c r="J16" s="581" t="e">
        <f>#REF!/1000</f>
        <v>#REF!</v>
      </c>
      <c r="L16" s="583" t="e">
        <f>#REF!/1000</f>
        <v>#REF!</v>
      </c>
      <c r="M16" s="583"/>
      <c r="N16" s="583" t="e">
        <f>0.00219*J16</f>
        <v>#REF!</v>
      </c>
      <c r="O16" s="583"/>
      <c r="P16" s="583" t="e">
        <f>SUM(L16:O16)</f>
        <v>#REF!</v>
      </c>
      <c r="Q16" s="584"/>
      <c r="R16" s="585" t="e">
        <f>L16/$J16</f>
        <v>#REF!</v>
      </c>
      <c r="S16" s="586"/>
      <c r="T16" s="585" t="e">
        <f>N16/$J16</f>
        <v>#REF!</v>
      </c>
      <c r="U16" s="586"/>
      <c r="V16" s="585" t="e">
        <f>P16/$J16</f>
        <v>#REF!</v>
      </c>
      <c r="W16" s="586"/>
    </row>
    <row r="17" spans="2:23" ht="18" customHeight="1">
      <c r="B17" s="44">
        <f>MAX(B$15:B16)+1</f>
        <v>3</v>
      </c>
      <c r="D17" s="21" t="s">
        <v>462</v>
      </c>
      <c r="F17" s="44">
        <v>24</v>
      </c>
      <c r="H17" s="581" t="e">
        <f>#REF!</f>
        <v>#REF!</v>
      </c>
      <c r="I17" s="582"/>
      <c r="J17" s="581" t="e">
        <f>#REF!/1000</f>
        <v>#REF!</v>
      </c>
      <c r="L17" s="583" t="e">
        <f>#REF!/1000</f>
        <v>#REF!</v>
      </c>
      <c r="M17" s="583"/>
      <c r="N17" s="583" t="e">
        <f>0.00245*J17</f>
        <v>#REF!</v>
      </c>
      <c r="O17" s="583"/>
      <c r="P17" s="583" t="e">
        <f>SUM(L17:O17)</f>
        <v>#REF!</v>
      </c>
      <c r="Q17" s="584"/>
      <c r="R17" s="585" t="e">
        <f>L17/$J17</f>
        <v>#REF!</v>
      </c>
      <c r="S17" s="583"/>
      <c r="T17" s="585" t="e">
        <f>N17/$J17</f>
        <v>#REF!</v>
      </c>
      <c r="U17" s="583"/>
      <c r="V17" s="585" t="e">
        <f>P17/$J17</f>
        <v>#REF!</v>
      </c>
      <c r="W17" s="583"/>
    </row>
    <row r="18" spans="2:23" ht="18" customHeight="1">
      <c r="B18" s="44">
        <f>MAX(B$15:B16)+1</f>
        <v>3</v>
      </c>
      <c r="D18" s="21" t="s">
        <v>87</v>
      </c>
      <c r="F18" s="44"/>
      <c r="H18" s="581"/>
      <c r="I18" s="582"/>
      <c r="J18" s="582">
        <v>0</v>
      </c>
      <c r="L18" s="583">
        <v>0</v>
      </c>
      <c r="M18" s="583"/>
      <c r="N18" s="583"/>
      <c r="O18" s="583"/>
      <c r="P18" s="583">
        <f>SUM(L18:O18)</f>
        <v>0</v>
      </c>
      <c r="Q18" s="584"/>
      <c r="R18" s="585"/>
      <c r="S18" s="586"/>
      <c r="T18" s="587"/>
      <c r="U18" s="586"/>
      <c r="V18" s="587"/>
      <c r="W18" s="586"/>
    </row>
    <row r="19" spans="2:23" ht="18" customHeight="1">
      <c r="B19" s="44">
        <f>MAX(B$15:B18)+1</f>
        <v>4</v>
      </c>
      <c r="D19" s="45" t="s">
        <v>10</v>
      </c>
      <c r="H19" s="588" t="e">
        <f>SUM(H15:H18)</f>
        <v>#REF!</v>
      </c>
      <c r="I19" s="582"/>
      <c r="J19" s="588" t="e">
        <f>SUM(J15:J18)</f>
        <v>#REF!</v>
      </c>
      <c r="L19" s="633" t="e">
        <f>SUM(L15:L18)</f>
        <v>#REF!</v>
      </c>
      <c r="M19" s="583"/>
      <c r="N19" s="589" t="e">
        <f>SUM(N15:N18)</f>
        <v>#REF!</v>
      </c>
      <c r="O19" s="583"/>
      <c r="P19" s="589" t="e">
        <f>SUM(P15:P18)</f>
        <v>#REF!</v>
      </c>
      <c r="Q19" s="584"/>
      <c r="R19" s="590" t="e">
        <f>L19/$J19</f>
        <v>#REF!</v>
      </c>
      <c r="S19" s="583"/>
      <c r="T19" s="590" t="e">
        <f>N19/$J19</f>
        <v>#REF!</v>
      </c>
      <c r="U19" s="583"/>
      <c r="V19" s="590" t="e">
        <f>P19/$J19</f>
        <v>#REF!</v>
      </c>
      <c r="W19" s="583"/>
    </row>
    <row r="20" spans="2:23" ht="8.25" customHeight="1">
      <c r="H20" s="582"/>
      <c r="I20" s="582"/>
      <c r="J20" s="582"/>
      <c r="L20" s="583"/>
      <c r="M20" s="583"/>
      <c r="N20" s="583"/>
      <c r="O20" s="583"/>
      <c r="P20" s="583"/>
      <c r="Q20" s="584"/>
      <c r="R20" s="587"/>
      <c r="S20" s="583"/>
      <c r="T20" s="587"/>
      <c r="U20" s="583"/>
      <c r="V20" s="587"/>
      <c r="W20" s="583"/>
    </row>
    <row r="21" spans="2:23" ht="18" customHeight="1">
      <c r="D21" s="578" t="s">
        <v>6</v>
      </c>
      <c r="E21" s="578"/>
      <c r="F21" s="578"/>
      <c r="L21" s="583"/>
      <c r="N21" s="583"/>
      <c r="P21" s="583"/>
      <c r="Q21" s="563"/>
      <c r="R21" s="587"/>
      <c r="T21" s="587"/>
      <c r="V21" s="587"/>
    </row>
    <row r="22" spans="2:23" ht="18" customHeight="1">
      <c r="B22" s="44">
        <f>MAX(B$15:B21)+1</f>
        <v>5</v>
      </c>
      <c r="D22" s="21" t="s">
        <v>78</v>
      </c>
      <c r="F22" s="44" t="s">
        <v>79</v>
      </c>
      <c r="H22" s="581" t="e">
        <f>#REF!</f>
        <v>#REF!</v>
      </c>
      <c r="I22" s="582"/>
      <c r="J22" s="581" t="e">
        <f>#REF!/1000</f>
        <v>#REF!</v>
      </c>
      <c r="L22" s="583" t="e">
        <f>#REF!/1000</f>
        <v>#REF!</v>
      </c>
      <c r="M22" s="583"/>
      <c r="N22" s="583" t="e">
        <f>0.00219*J22</f>
        <v>#REF!</v>
      </c>
      <c r="O22" s="583"/>
      <c r="P22" s="583" t="e">
        <f t="shared" ref="P22:P27" si="0">SUM(L22:O22)</f>
        <v>#REF!</v>
      </c>
      <c r="Q22" s="584"/>
      <c r="R22" s="585" t="e">
        <f>L22/$J22</f>
        <v>#REF!</v>
      </c>
      <c r="S22" s="583"/>
      <c r="T22" s="585" t="e">
        <f>N22/$J22</f>
        <v>#REF!</v>
      </c>
      <c r="U22" s="583"/>
      <c r="V22" s="585" t="e">
        <f>P22/$J22</f>
        <v>#REF!</v>
      </c>
      <c r="W22" s="583"/>
    </row>
    <row r="23" spans="2:23" ht="18" customHeight="1">
      <c r="B23" s="44">
        <f>MAX(B$15:B22)+1</f>
        <v>6</v>
      </c>
      <c r="D23" s="21" t="s">
        <v>80</v>
      </c>
      <c r="F23" s="44" t="s">
        <v>81</v>
      </c>
      <c r="H23" s="581" t="e">
        <f>#REF!</f>
        <v>#REF!</v>
      </c>
      <c r="I23" s="582"/>
      <c r="J23" s="581" t="e">
        <f>#REF!/1000</f>
        <v>#REF!</v>
      </c>
      <c r="L23" s="583" t="e">
        <f>#REF!/1000</f>
        <v>#REF!</v>
      </c>
      <c r="M23" s="583"/>
      <c r="N23" s="583" t="e">
        <f>0.00278*J23</f>
        <v>#REF!</v>
      </c>
      <c r="O23" s="583"/>
      <c r="P23" s="583" t="e">
        <f t="shared" si="0"/>
        <v>#REF!</v>
      </c>
      <c r="Q23" s="584"/>
      <c r="R23" s="585" t="e">
        <f>L23/$J23</f>
        <v>#REF!</v>
      </c>
      <c r="S23" s="583"/>
      <c r="T23" s="585" t="e">
        <f>N23/$J23</f>
        <v>#REF!</v>
      </c>
      <c r="U23" s="583"/>
      <c r="V23" s="585" t="e">
        <f>P23/$J23</f>
        <v>#REF!</v>
      </c>
      <c r="W23" s="583"/>
    </row>
    <row r="24" spans="2:23" ht="18" customHeight="1">
      <c r="B24" s="44">
        <f>MAX(B$15:B23)+1</f>
        <v>7</v>
      </c>
      <c r="D24" s="21" t="s">
        <v>462</v>
      </c>
      <c r="F24" s="44">
        <v>24</v>
      </c>
      <c r="H24" s="581" t="e">
        <f>#REF!</f>
        <v>#REF!</v>
      </c>
      <c r="I24" s="582"/>
      <c r="J24" s="581" t="e">
        <f>#REF!/1000</f>
        <v>#REF!</v>
      </c>
      <c r="L24" s="583" t="e">
        <f>(#REF!+#REF!+#REF!)/1000</f>
        <v>#REF!</v>
      </c>
      <c r="M24" s="583"/>
      <c r="N24" s="583" t="e">
        <f>0.00245*J24</f>
        <v>#REF!</v>
      </c>
      <c r="O24" s="583"/>
      <c r="P24" s="583" t="e">
        <f t="shared" si="0"/>
        <v>#REF!</v>
      </c>
      <c r="Q24" s="584"/>
      <c r="R24" s="585" t="e">
        <f>L24/$J24</f>
        <v>#REF!</v>
      </c>
      <c r="S24" s="583"/>
      <c r="T24" s="585" t="e">
        <f>N24/$J24</f>
        <v>#REF!</v>
      </c>
      <c r="U24" s="583"/>
      <c r="V24" s="585" t="e">
        <f>P24/$J24</f>
        <v>#REF!</v>
      </c>
      <c r="W24" s="583"/>
    </row>
    <row r="25" spans="2:23" ht="18" customHeight="1">
      <c r="B25" s="44">
        <f>MAX(B$15:B24)+1</f>
        <v>8</v>
      </c>
      <c r="D25" s="21" t="s">
        <v>463</v>
      </c>
      <c r="F25" s="44">
        <v>36</v>
      </c>
      <c r="H25" s="581" t="e">
        <f>#REF!</f>
        <v>#REF!</v>
      </c>
      <c r="I25" s="582"/>
      <c r="J25" s="581" t="e">
        <f>#REF!/1000</f>
        <v>#REF!</v>
      </c>
      <c r="L25" s="583" t="e">
        <f>#REF!/1000</f>
        <v>#REF!</v>
      </c>
      <c r="M25" s="583"/>
      <c r="N25" s="583" t="e">
        <f>0.00204*J25</f>
        <v>#REF!</v>
      </c>
      <c r="O25" s="583"/>
      <c r="P25" s="583" t="e">
        <f t="shared" si="0"/>
        <v>#REF!</v>
      </c>
      <c r="Q25" s="584"/>
      <c r="R25" s="585" t="e">
        <f>L25/$J25</f>
        <v>#REF!</v>
      </c>
      <c r="S25" s="583"/>
      <c r="T25" s="585" t="e">
        <f>N25/$J25</f>
        <v>#REF!</v>
      </c>
      <c r="U25" s="583"/>
      <c r="V25" s="585" t="e">
        <f>P25/$J25</f>
        <v>#REF!</v>
      </c>
      <c r="W25" s="583"/>
    </row>
    <row r="26" spans="2:23" ht="18" customHeight="1">
      <c r="B26" s="44">
        <f>MAX(B$15:B25)+1</f>
        <v>9</v>
      </c>
      <c r="D26" s="21" t="s">
        <v>464</v>
      </c>
      <c r="F26" s="44">
        <v>48</v>
      </c>
      <c r="H26" s="581" t="e">
        <f>#REF!</f>
        <v>#REF!</v>
      </c>
      <c r="I26" s="582"/>
      <c r="J26" s="581" t="e">
        <f>#REF!/1000</f>
        <v>#REF!</v>
      </c>
      <c r="L26" s="583" t="e">
        <f>#REF!/1000</f>
        <v>#REF!</v>
      </c>
      <c r="M26" s="583"/>
      <c r="N26" s="583" t="e">
        <f>0.00166*J26</f>
        <v>#REF!</v>
      </c>
      <c r="O26" s="583"/>
      <c r="P26" s="583" t="e">
        <f t="shared" si="0"/>
        <v>#REF!</v>
      </c>
      <c r="Q26" s="584"/>
      <c r="R26" s="585" t="e">
        <f>L26/$J26</f>
        <v>#REF!</v>
      </c>
      <c r="S26" s="586"/>
      <c r="T26" s="585" t="e">
        <f>N26/$J26</f>
        <v>#REF!</v>
      </c>
      <c r="U26" s="586"/>
      <c r="V26" s="585" t="e">
        <f>P26/$J26</f>
        <v>#REF!</v>
      </c>
      <c r="W26" s="586"/>
    </row>
    <row r="27" spans="2:23" ht="18" customHeight="1">
      <c r="B27" s="44">
        <f>MAX(B$15:B26)+1</f>
        <v>10</v>
      </c>
      <c r="D27" s="21" t="s">
        <v>87</v>
      </c>
      <c r="F27" s="44"/>
      <c r="H27" s="581"/>
      <c r="I27" s="582"/>
      <c r="J27" s="582">
        <v>0</v>
      </c>
      <c r="L27" s="583">
        <v>0</v>
      </c>
      <c r="M27" s="583"/>
      <c r="N27" s="583"/>
      <c r="O27" s="583"/>
      <c r="P27" s="583">
        <f t="shared" si="0"/>
        <v>0</v>
      </c>
      <c r="Q27" s="584"/>
      <c r="R27" s="585"/>
      <c r="S27" s="586"/>
      <c r="T27" s="587"/>
      <c r="U27" s="586"/>
      <c r="V27" s="587"/>
      <c r="W27" s="586"/>
    </row>
    <row r="28" spans="2:23" ht="18" customHeight="1">
      <c r="B28" s="44">
        <f>MAX(B$15:B27)+1</f>
        <v>11</v>
      </c>
      <c r="D28" s="45" t="s">
        <v>11</v>
      </c>
      <c r="H28" s="588" t="e">
        <f>SUM(H22:H27)</f>
        <v>#REF!</v>
      </c>
      <c r="I28" s="582"/>
      <c r="J28" s="588" t="e">
        <f>SUM(J22:J27)</f>
        <v>#REF!</v>
      </c>
      <c r="L28" s="589" t="e">
        <f>SUM(L22:L27)</f>
        <v>#REF!</v>
      </c>
      <c r="M28" s="583"/>
      <c r="N28" s="589" t="e">
        <f>SUM(N22:N27)</f>
        <v>#REF!</v>
      </c>
      <c r="O28" s="583"/>
      <c r="P28" s="589" t="e">
        <f>SUM(P22:P27)</f>
        <v>#REF!</v>
      </c>
      <c r="Q28" s="584"/>
      <c r="R28" s="590" t="e">
        <f>L28/$J28</f>
        <v>#REF!</v>
      </c>
      <c r="S28" s="583"/>
      <c r="T28" s="590" t="e">
        <f>N28/$J28</f>
        <v>#REF!</v>
      </c>
      <c r="U28" s="583"/>
      <c r="V28" s="590" t="e">
        <f>P28/$J28</f>
        <v>#REF!</v>
      </c>
      <c r="W28" s="583"/>
    </row>
    <row r="29" spans="2:23" ht="8.25" customHeight="1">
      <c r="L29" s="632"/>
      <c r="Q29" s="563"/>
      <c r="R29" s="587"/>
      <c r="T29" s="587"/>
      <c r="V29" s="587"/>
    </row>
    <row r="30" spans="2:23">
      <c r="D30" s="578" t="s">
        <v>12</v>
      </c>
      <c r="E30" s="578"/>
      <c r="F30" s="578"/>
      <c r="L30" s="583"/>
      <c r="N30" s="583"/>
      <c r="P30" s="583"/>
      <c r="Q30" s="563"/>
      <c r="R30" s="587"/>
      <c r="T30" s="587"/>
      <c r="V30" s="587"/>
    </row>
    <row r="31" spans="2:23" ht="18" customHeight="1">
      <c r="B31" s="44">
        <f>MAX(B$15:B30)+1</f>
        <v>12</v>
      </c>
      <c r="D31" s="21" t="s">
        <v>78</v>
      </c>
      <c r="F31" s="44" t="s">
        <v>79</v>
      </c>
      <c r="H31" s="581" t="e">
        <f>#REF!</f>
        <v>#REF!</v>
      </c>
      <c r="I31" s="582"/>
      <c r="J31" s="581" t="e">
        <f>#REF!/1000</f>
        <v>#REF!</v>
      </c>
      <c r="L31" s="583" t="e">
        <f>#REF!/1000</f>
        <v>#REF!</v>
      </c>
      <c r="M31" s="583"/>
      <c r="N31" s="583" t="e">
        <f>0.00219*J31</f>
        <v>#REF!</v>
      </c>
      <c r="O31" s="583"/>
      <c r="P31" s="583" t="e">
        <f>SUM(L31:O31)</f>
        <v>#REF!</v>
      </c>
      <c r="Q31" s="584"/>
      <c r="R31" s="585" t="e">
        <f>L31/$J31</f>
        <v>#REF!</v>
      </c>
      <c r="S31" s="583"/>
      <c r="T31" s="585" t="e">
        <f t="shared" ref="T31:T40" si="1">N31/$J31</f>
        <v>#REF!</v>
      </c>
      <c r="U31" s="583"/>
      <c r="V31" s="585" t="e">
        <f t="shared" ref="V31:V40" si="2">P31/$J31</f>
        <v>#REF!</v>
      </c>
      <c r="W31" s="583"/>
    </row>
    <row r="32" spans="2:23" ht="18" customHeight="1">
      <c r="B32" s="44">
        <f>MAX(B$15:B31)+1</f>
        <v>13</v>
      </c>
      <c r="D32" s="21" t="s">
        <v>462</v>
      </c>
      <c r="F32" s="44">
        <v>24</v>
      </c>
      <c r="H32" s="581" t="e">
        <f>#REF!</f>
        <v>#REF!</v>
      </c>
      <c r="I32" s="582"/>
      <c r="J32" s="581" t="e">
        <f>#REF!/1000</f>
        <v>#REF!</v>
      </c>
      <c r="L32" s="583" t="e">
        <f>(#REF!+#REF!+#REF!)/1000</f>
        <v>#REF!</v>
      </c>
      <c r="M32" s="583"/>
      <c r="N32" s="583" t="e">
        <f>0.00245*J32</f>
        <v>#REF!</v>
      </c>
      <c r="O32" s="583"/>
      <c r="P32" s="583" t="e">
        <f t="shared" ref="P32:P41" si="3">SUM(L32:O32)</f>
        <v>#REF!</v>
      </c>
      <c r="Q32" s="584"/>
      <c r="R32" s="585" t="e">
        <f>L32/$J32</f>
        <v>#REF!</v>
      </c>
      <c r="S32" s="583"/>
      <c r="T32" s="585" t="e">
        <f>N32/$J32</f>
        <v>#REF!</v>
      </c>
      <c r="U32" s="583"/>
      <c r="V32" s="585" t="e">
        <f t="shared" si="2"/>
        <v>#REF!</v>
      </c>
      <c r="W32" s="583"/>
    </row>
    <row r="33" spans="2:23" ht="18" customHeight="1">
      <c r="B33" s="44">
        <f>MAX(B$15:B32)+1</f>
        <v>14</v>
      </c>
      <c r="D33" s="21" t="s">
        <v>463</v>
      </c>
      <c r="F33" s="44">
        <v>36</v>
      </c>
      <c r="H33" s="581" t="e">
        <f>#REF!</f>
        <v>#REF!</v>
      </c>
      <c r="I33" s="582"/>
      <c r="J33" s="581" t="e">
        <f>#REF!/1000</f>
        <v>#REF!</v>
      </c>
      <c r="L33" s="583" t="e">
        <f>#REF!/1000</f>
        <v>#REF!</v>
      </c>
      <c r="M33" s="583"/>
      <c r="N33" s="583" t="e">
        <f>0.00204*J33</f>
        <v>#REF!</v>
      </c>
      <c r="O33" s="583"/>
      <c r="P33" s="583" t="e">
        <f t="shared" si="3"/>
        <v>#REF!</v>
      </c>
      <c r="Q33" s="584"/>
      <c r="R33" s="585" t="e">
        <f>L33/$J33</f>
        <v>#REF!</v>
      </c>
      <c r="S33" s="583"/>
      <c r="T33" s="585" t="e">
        <f t="shared" si="1"/>
        <v>#REF!</v>
      </c>
      <c r="U33" s="583"/>
      <c r="V33" s="585" t="e">
        <f t="shared" si="2"/>
        <v>#REF!</v>
      </c>
      <c r="W33" s="583"/>
    </row>
    <row r="34" spans="2:23" ht="18" customHeight="1">
      <c r="B34" s="44">
        <f>MAX(B$15:B33)+1</f>
        <v>15</v>
      </c>
      <c r="D34" s="21" t="s">
        <v>465</v>
      </c>
      <c r="F34" s="44">
        <v>47</v>
      </c>
      <c r="H34" s="581" t="e">
        <f>#REF!</f>
        <v>#REF!</v>
      </c>
      <c r="I34" s="582"/>
      <c r="J34" s="581" t="e">
        <f>#REF!/1000</f>
        <v>#REF!</v>
      </c>
      <c r="L34" s="583" t="e">
        <f>#REF!/1000</f>
        <v>#REF!</v>
      </c>
      <c r="M34" s="583"/>
      <c r="N34" s="583" t="e">
        <f>0.00166*J34</f>
        <v>#REF!</v>
      </c>
      <c r="O34" s="583"/>
      <c r="P34" s="583" t="e">
        <f>SUM(L34:O34)</f>
        <v>#REF!</v>
      </c>
      <c r="Q34" s="584"/>
      <c r="R34" s="585" t="e">
        <f>L34/$J34</f>
        <v>#REF!</v>
      </c>
      <c r="S34" s="583"/>
      <c r="T34" s="585" t="e">
        <f t="shared" si="1"/>
        <v>#REF!</v>
      </c>
      <c r="U34" s="583"/>
      <c r="V34" s="585" t="e">
        <f t="shared" si="2"/>
        <v>#REF!</v>
      </c>
      <c r="W34" s="583"/>
    </row>
    <row r="35" spans="2:23" ht="18" customHeight="1">
      <c r="B35" s="44">
        <f>MAX(B$15:B34)+1</f>
        <v>16</v>
      </c>
      <c r="D35" s="21" t="s">
        <v>464</v>
      </c>
      <c r="F35" s="44">
        <v>48</v>
      </c>
      <c r="H35" s="581" t="e">
        <f>#REF!+#REF!</f>
        <v>#REF!</v>
      </c>
      <c r="I35" s="582"/>
      <c r="J35" s="581" t="e">
        <f>(#REF!+#REF!)/1000</f>
        <v>#REF!</v>
      </c>
      <c r="L35" s="583" t="e">
        <f>(#REF!+#REF!)/1000</f>
        <v>#REF!</v>
      </c>
      <c r="M35" s="583"/>
      <c r="N35" s="583" t="e">
        <f>0.00166*J35</f>
        <v>#REF!</v>
      </c>
      <c r="O35" s="583"/>
      <c r="P35" s="583" t="e">
        <f t="shared" si="3"/>
        <v>#REF!</v>
      </c>
      <c r="Q35" s="584"/>
      <c r="R35" s="585" t="e">
        <f>L35/$J35</f>
        <v>#REF!</v>
      </c>
      <c r="S35" s="583"/>
      <c r="T35" s="585" t="e">
        <f t="shared" si="1"/>
        <v>#REF!</v>
      </c>
      <c r="U35" s="583"/>
      <c r="V35" s="585" t="e">
        <f t="shared" si="2"/>
        <v>#REF!</v>
      </c>
      <c r="W35" s="583"/>
    </row>
    <row r="36" spans="2:23" ht="18" customHeight="1">
      <c r="B36" s="44">
        <f>MAX(B$15:B35)+1</f>
        <v>17</v>
      </c>
      <c r="D36" s="21" t="s">
        <v>87</v>
      </c>
      <c r="F36" s="44"/>
      <c r="H36" s="591"/>
      <c r="I36" s="582"/>
      <c r="J36" s="592">
        <v>0</v>
      </c>
      <c r="L36" s="593">
        <v>0</v>
      </c>
      <c r="M36" s="583"/>
      <c r="N36" s="593"/>
      <c r="O36" s="583"/>
      <c r="P36" s="594">
        <f t="shared" si="3"/>
        <v>0</v>
      </c>
      <c r="Q36" s="584"/>
      <c r="R36" s="595"/>
      <c r="S36" s="583"/>
      <c r="T36" s="595"/>
      <c r="U36" s="583"/>
      <c r="V36" s="595"/>
      <c r="W36" s="583"/>
    </row>
    <row r="37" spans="2:23" ht="18" customHeight="1">
      <c r="B37" s="44"/>
      <c r="D37" s="45" t="s">
        <v>466</v>
      </c>
      <c r="F37" s="44"/>
      <c r="H37" s="581" t="e">
        <f>SUM(H31:H36)</f>
        <v>#REF!</v>
      </c>
      <c r="I37" s="582"/>
      <c r="J37" s="582" t="e">
        <f>SUM(J31:J36)</f>
        <v>#REF!</v>
      </c>
      <c r="L37" s="583" t="e">
        <f>SUM(L31:L36)</f>
        <v>#REF!</v>
      </c>
      <c r="M37" s="583"/>
      <c r="N37" s="583" t="e">
        <f>SUM(N31:N36)</f>
        <v>#REF!</v>
      </c>
      <c r="O37" s="583"/>
      <c r="P37" s="583" t="e">
        <f>SUM(P31:P36)</f>
        <v>#REF!</v>
      </c>
      <c r="Q37" s="584"/>
      <c r="R37" s="585" t="e">
        <f>L37/$J37</f>
        <v>#REF!</v>
      </c>
      <c r="S37" s="583"/>
      <c r="T37" s="585" t="e">
        <f>N37/$J37</f>
        <v>#REF!</v>
      </c>
      <c r="U37" s="583"/>
      <c r="V37" s="585" t="e">
        <f>P37/$J37</f>
        <v>#REF!</v>
      </c>
      <c r="W37" s="583"/>
    </row>
    <row r="38" spans="2:23" ht="10.5" customHeight="1">
      <c r="B38" s="44"/>
      <c r="F38" s="44"/>
      <c r="H38" s="581"/>
      <c r="I38" s="582"/>
      <c r="J38" s="582"/>
      <c r="L38" s="583"/>
      <c r="M38" s="583"/>
      <c r="N38" s="583"/>
      <c r="O38" s="583"/>
      <c r="P38" s="583"/>
      <c r="Q38" s="584"/>
      <c r="R38" s="585"/>
      <c r="S38" s="583"/>
      <c r="T38" s="585"/>
      <c r="U38" s="583"/>
      <c r="V38" s="585"/>
      <c r="W38" s="583"/>
    </row>
    <row r="39" spans="2:23">
      <c r="D39" s="578" t="s">
        <v>92</v>
      </c>
      <c r="E39" s="578"/>
      <c r="F39" s="578"/>
      <c r="L39" s="583"/>
      <c r="N39" s="583"/>
      <c r="P39" s="583"/>
      <c r="Q39" s="563"/>
      <c r="R39" s="587"/>
      <c r="T39" s="587"/>
      <c r="V39" s="587"/>
    </row>
    <row r="40" spans="2:23" ht="18" customHeight="1">
      <c r="B40" s="44">
        <f>MAX(B$15:B39)+1</f>
        <v>18</v>
      </c>
      <c r="D40" s="21" t="s">
        <v>84</v>
      </c>
      <c r="F40" s="44">
        <v>40</v>
      </c>
      <c r="H40" s="581" t="e">
        <f>#REF!</f>
        <v>#REF!</v>
      </c>
      <c r="I40" s="582"/>
      <c r="J40" s="581" t="e">
        <f>#REF!/1000</f>
        <v>#REF!</v>
      </c>
      <c r="L40" s="583" t="e">
        <f>#REF!/1000</f>
        <v>#REF!</v>
      </c>
      <c r="M40" s="583"/>
      <c r="N40" s="583" t="e">
        <f>0.0023*J40</f>
        <v>#REF!</v>
      </c>
      <c r="O40" s="583"/>
      <c r="P40" s="583" t="e">
        <f t="shared" si="3"/>
        <v>#REF!</v>
      </c>
      <c r="Q40" s="584"/>
      <c r="R40" s="585" t="e">
        <f>L40/$J40</f>
        <v>#REF!</v>
      </c>
      <c r="S40" s="586"/>
      <c r="T40" s="585" t="e">
        <f t="shared" si="1"/>
        <v>#REF!</v>
      </c>
      <c r="U40" s="586"/>
      <c r="V40" s="585" t="e">
        <f t="shared" si="2"/>
        <v>#REF!</v>
      </c>
      <c r="W40" s="586"/>
    </row>
    <row r="41" spans="2:23" ht="18" customHeight="1">
      <c r="B41" s="44">
        <f>MAX(B$15:B40)+1</f>
        <v>19</v>
      </c>
      <c r="D41" s="21" t="s">
        <v>87</v>
      </c>
      <c r="F41" s="44"/>
      <c r="H41" s="591"/>
      <c r="I41" s="582"/>
      <c r="J41" s="592">
        <v>0</v>
      </c>
      <c r="L41" s="593">
        <v>0</v>
      </c>
      <c r="M41" s="583"/>
      <c r="N41" s="593"/>
      <c r="O41" s="583"/>
      <c r="P41" s="593">
        <f t="shared" si="3"/>
        <v>0</v>
      </c>
      <c r="Q41" s="584"/>
      <c r="R41" s="595"/>
      <c r="S41" s="586"/>
      <c r="T41" s="596"/>
      <c r="U41" s="586"/>
      <c r="V41" s="596"/>
      <c r="W41" s="586"/>
    </row>
    <row r="42" spans="2:23" ht="18" customHeight="1">
      <c r="B42" s="44"/>
      <c r="D42" s="45" t="s">
        <v>93</v>
      </c>
      <c r="F42" s="44"/>
      <c r="H42" s="581" t="e">
        <f>SUM(H40:H41)</f>
        <v>#REF!</v>
      </c>
      <c r="I42" s="582"/>
      <c r="J42" s="582" t="e">
        <f>SUM(J40:J41)</f>
        <v>#REF!</v>
      </c>
      <c r="L42" s="583" t="e">
        <f>SUM(L40:L41)</f>
        <v>#REF!</v>
      </c>
      <c r="M42" s="583"/>
      <c r="N42" s="583" t="e">
        <f>SUM(N40:N41)</f>
        <v>#REF!</v>
      </c>
      <c r="O42" s="583"/>
      <c r="P42" s="583" t="e">
        <f>SUM(P40:P41)</f>
        <v>#REF!</v>
      </c>
      <c r="Q42" s="584"/>
      <c r="R42" s="585" t="e">
        <f>L42/$J42</f>
        <v>#REF!</v>
      </c>
      <c r="S42" s="583"/>
      <c r="T42" s="585" t="e">
        <f>N42/$J42</f>
        <v>#REF!</v>
      </c>
      <c r="U42" s="583"/>
      <c r="V42" s="585" t="e">
        <f>P42/$J42</f>
        <v>#REF!</v>
      </c>
      <c r="W42" s="583"/>
    </row>
    <row r="43" spans="2:23" ht="9" customHeight="1">
      <c r="B43" s="44"/>
      <c r="F43" s="44"/>
      <c r="H43" s="581"/>
      <c r="I43" s="582"/>
      <c r="J43" s="582"/>
      <c r="L43" s="583"/>
      <c r="M43" s="583"/>
      <c r="N43" s="583"/>
      <c r="O43" s="583"/>
      <c r="P43" s="583"/>
      <c r="Q43" s="584"/>
      <c r="R43" s="585"/>
      <c r="S43" s="583"/>
      <c r="T43" s="585"/>
      <c r="U43" s="583"/>
      <c r="V43" s="585"/>
      <c r="W43" s="583"/>
    </row>
    <row r="44" spans="2:23">
      <c r="B44" s="44">
        <f>MAX(B$15:B43)+1</f>
        <v>20</v>
      </c>
      <c r="D44" s="45" t="s">
        <v>467</v>
      </c>
      <c r="H44" s="588" t="e">
        <f>H37+H42</f>
        <v>#REF!</v>
      </c>
      <c r="I44" s="582"/>
      <c r="J44" s="588" t="e">
        <f>J37+J42</f>
        <v>#REF!</v>
      </c>
      <c r="L44" s="589" t="e">
        <f>L37+L42</f>
        <v>#REF!</v>
      </c>
      <c r="M44" s="583"/>
      <c r="N44" s="589" t="e">
        <f>N37+N42</f>
        <v>#REF!</v>
      </c>
      <c r="O44" s="583"/>
      <c r="P44" s="589" t="e">
        <f>P37+P42</f>
        <v>#REF!</v>
      </c>
      <c r="Q44" s="584"/>
      <c r="R44" s="590" t="e">
        <f>L44/$J44</f>
        <v>#REF!</v>
      </c>
      <c r="S44" s="583"/>
      <c r="T44" s="590" t="e">
        <f>N44/$J44</f>
        <v>#REF!</v>
      </c>
      <c r="U44" s="583"/>
      <c r="V44" s="590" t="e">
        <f>P44/$J44</f>
        <v>#REF!</v>
      </c>
      <c r="W44" s="583"/>
    </row>
    <row r="45" spans="2:23" ht="8.25" customHeight="1">
      <c r="L45" s="632"/>
      <c r="Q45" s="563"/>
      <c r="R45" s="587"/>
      <c r="T45" s="587"/>
      <c r="V45" s="587"/>
    </row>
    <row r="46" spans="2:23">
      <c r="B46" s="44">
        <f>MAX(B$15:B45)+1</f>
        <v>21</v>
      </c>
      <c r="D46" s="45" t="s">
        <v>468</v>
      </c>
      <c r="H46" s="588" t="e">
        <f>H28+H37+H42</f>
        <v>#REF!</v>
      </c>
      <c r="I46" s="582"/>
      <c r="J46" s="588" t="e">
        <f>J28+J37+J42</f>
        <v>#REF!</v>
      </c>
      <c r="L46" s="589" t="e">
        <f>L28+L37+L42</f>
        <v>#REF!</v>
      </c>
      <c r="M46" s="583"/>
      <c r="N46" s="589" t="e">
        <f>N28+N37+N42</f>
        <v>#REF!</v>
      </c>
      <c r="O46" s="583"/>
      <c r="P46" s="589" t="e">
        <f>P28+P37+P42</f>
        <v>#REF!</v>
      </c>
      <c r="Q46" s="584"/>
      <c r="R46" s="590" t="e">
        <f>L46/$J46</f>
        <v>#REF!</v>
      </c>
      <c r="S46" s="583"/>
      <c r="T46" s="590" t="e">
        <f>N46/$J46</f>
        <v>#REF!</v>
      </c>
      <c r="U46" s="583"/>
      <c r="V46" s="590" t="e">
        <f>P46/$J46</f>
        <v>#REF!</v>
      </c>
      <c r="W46" s="583"/>
    </row>
    <row r="47" spans="2:23" ht="8.25" customHeight="1">
      <c r="L47" s="632"/>
      <c r="Q47" s="563"/>
      <c r="R47" s="587"/>
      <c r="T47" s="587"/>
      <c r="V47" s="587"/>
    </row>
    <row r="48" spans="2:23">
      <c r="D48" s="578" t="s">
        <v>82</v>
      </c>
      <c r="H48" s="582"/>
      <c r="I48" s="582"/>
      <c r="J48" s="582"/>
      <c r="L48" s="583"/>
      <c r="M48" s="583"/>
      <c r="N48" s="583"/>
      <c r="O48" s="583"/>
      <c r="P48" s="583"/>
      <c r="Q48" s="584"/>
      <c r="R48" s="587"/>
      <c r="S48" s="583"/>
      <c r="T48" s="587"/>
      <c r="U48" s="583"/>
      <c r="V48" s="587"/>
      <c r="W48" s="583"/>
    </row>
    <row r="49" spans="2:23" ht="18" customHeight="1">
      <c r="B49" s="44">
        <f>MAX(B$15:B48)+1</f>
        <v>22</v>
      </c>
      <c r="D49" s="21" t="s">
        <v>469</v>
      </c>
      <c r="F49" s="44">
        <v>51</v>
      </c>
      <c r="H49" s="581" t="e">
        <f>#REF!</f>
        <v>#REF!</v>
      </c>
      <c r="I49" s="582"/>
      <c r="J49" s="581" t="e">
        <f>#REF!/1000</f>
        <v>#REF!</v>
      </c>
      <c r="L49" s="583" t="e">
        <f>#REF!/1000</f>
        <v>#REF!</v>
      </c>
      <c r="M49" s="583"/>
      <c r="N49" s="583" t="e">
        <f>0.00219*J49</f>
        <v>#REF!</v>
      </c>
      <c r="O49" s="583"/>
      <c r="P49" s="583" t="e">
        <f>SUM(L49:O49)</f>
        <v>#REF!</v>
      </c>
      <c r="Q49" s="584"/>
      <c r="R49" s="585" t="e">
        <f>L49/$J49</f>
        <v>#REF!</v>
      </c>
      <c r="S49" s="583"/>
      <c r="T49" s="585" t="e">
        <f>N49/$J49</f>
        <v>#REF!</v>
      </c>
      <c r="U49" s="583"/>
      <c r="V49" s="585" t="e">
        <f>P49/$J49</f>
        <v>#REF!</v>
      </c>
      <c r="W49" s="583"/>
    </row>
    <row r="50" spans="2:23" ht="18" customHeight="1">
      <c r="B50" s="44">
        <f>MAX(B$15:B49)+1</f>
        <v>23</v>
      </c>
      <c r="D50" s="21" t="s">
        <v>470</v>
      </c>
      <c r="F50" s="44">
        <v>52</v>
      </c>
      <c r="H50" s="581" t="e">
        <f>#REF!</f>
        <v>#REF!</v>
      </c>
      <c r="I50" s="582"/>
      <c r="J50" s="581" t="e">
        <f>#REF!/1000</f>
        <v>#REF!</v>
      </c>
      <c r="L50" s="583" t="e">
        <f>#REF!/1000</f>
        <v>#REF!</v>
      </c>
      <c r="M50" s="597"/>
      <c r="N50" s="583" t="e">
        <f>0.00219*J50</f>
        <v>#REF!</v>
      </c>
      <c r="O50" s="597"/>
      <c r="P50" s="583" t="e">
        <f>SUM(L50:O50)</f>
        <v>#REF!</v>
      </c>
      <c r="Q50" s="598"/>
      <c r="R50" s="585" t="e">
        <f>L50/$J50</f>
        <v>#REF!</v>
      </c>
      <c r="S50" s="583"/>
      <c r="T50" s="585" t="e">
        <f>N50/$J50</f>
        <v>#REF!</v>
      </c>
      <c r="U50" s="583"/>
      <c r="V50" s="585" t="e">
        <f>P50/$J50</f>
        <v>#REF!</v>
      </c>
      <c r="W50" s="583"/>
    </row>
    <row r="51" spans="2:23" ht="18" customHeight="1">
      <c r="B51" s="44">
        <f>MAX(B$15:B50)+1</f>
        <v>24</v>
      </c>
      <c r="D51" s="21" t="s">
        <v>471</v>
      </c>
      <c r="F51" s="44">
        <v>53</v>
      </c>
      <c r="H51" s="581" t="e">
        <f>#REF!+#REF!</f>
        <v>#REF!</v>
      </c>
      <c r="I51" s="582"/>
      <c r="J51" s="581" t="e">
        <f>(#REF!+#REF!)/1000</f>
        <v>#REF!</v>
      </c>
      <c r="L51" s="583" t="e">
        <f>#REF!/1000</f>
        <v>#REF!</v>
      </c>
      <c r="M51" s="583"/>
      <c r="N51" s="583" t="e">
        <f>0.00219*J51</f>
        <v>#REF!</v>
      </c>
      <c r="O51" s="583"/>
      <c r="P51" s="583" t="e">
        <f>SUM(L51:O51)</f>
        <v>#REF!</v>
      </c>
      <c r="Q51" s="584"/>
      <c r="R51" s="585" t="e">
        <f>L51/$J51</f>
        <v>#REF!</v>
      </c>
      <c r="S51" s="583"/>
      <c r="T51" s="585" t="e">
        <f>N51/$J51</f>
        <v>#REF!</v>
      </c>
      <c r="U51" s="583"/>
      <c r="V51" s="585" t="e">
        <f>P51/$J51</f>
        <v>#REF!</v>
      </c>
      <c r="W51" s="583"/>
    </row>
    <row r="52" spans="2:23" ht="18" customHeight="1">
      <c r="B52" s="44">
        <f>MAX(B$15:B51)+1</f>
        <v>25</v>
      </c>
      <c r="D52" s="21" t="s">
        <v>472</v>
      </c>
      <c r="F52" s="44">
        <v>57</v>
      </c>
      <c r="H52" s="581" t="e">
        <f>#REF!</f>
        <v>#REF!</v>
      </c>
      <c r="I52" s="582"/>
      <c r="J52" s="581" t="e">
        <f>#REF!/1000</f>
        <v>#REF!</v>
      </c>
      <c r="L52" s="583" t="e">
        <f>#REF!/1000</f>
        <v>#REF!</v>
      </c>
      <c r="M52" s="583"/>
      <c r="N52" s="583" t="e">
        <f>0.00219*J52</f>
        <v>#REF!</v>
      </c>
      <c r="O52" s="583"/>
      <c r="P52" s="583" t="e">
        <f>SUM(L52:O52)</f>
        <v>#REF!</v>
      </c>
      <c r="Q52" s="584"/>
      <c r="R52" s="585" t="e">
        <f>L52/$J52</f>
        <v>#REF!</v>
      </c>
      <c r="S52" s="586"/>
      <c r="T52" s="585" t="e">
        <f>N52/$J52</f>
        <v>#REF!</v>
      </c>
      <c r="U52" s="586"/>
      <c r="V52" s="585" t="e">
        <f>P52/$J52</f>
        <v>#REF!</v>
      </c>
      <c r="W52" s="586"/>
    </row>
    <row r="53" spans="2:23" ht="18" customHeight="1">
      <c r="B53" s="44">
        <f>MAX(B$15:B52)+1</f>
        <v>26</v>
      </c>
      <c r="D53" s="21" t="s">
        <v>87</v>
      </c>
      <c r="F53" s="44"/>
      <c r="H53" s="581"/>
      <c r="I53" s="582"/>
      <c r="J53" s="582">
        <v>0</v>
      </c>
      <c r="L53" s="583">
        <v>0</v>
      </c>
      <c r="M53" s="583"/>
      <c r="N53" s="583"/>
      <c r="O53" s="583"/>
      <c r="P53" s="583">
        <f>SUM(L53:O53)</f>
        <v>0</v>
      </c>
      <c r="Q53" s="584"/>
      <c r="R53" s="585"/>
      <c r="S53" s="586"/>
      <c r="T53" s="587"/>
      <c r="U53" s="586"/>
      <c r="V53" s="587"/>
      <c r="W53" s="586"/>
    </row>
    <row r="54" spans="2:23" ht="18" customHeight="1">
      <c r="B54" s="44">
        <f>MAX(B$15:B53)+1</f>
        <v>27</v>
      </c>
      <c r="D54" s="45" t="s">
        <v>473</v>
      </c>
      <c r="H54" s="588" t="e">
        <f>SUM(H49:H53)</f>
        <v>#REF!</v>
      </c>
      <c r="I54" s="582"/>
      <c r="J54" s="588" t="e">
        <f>SUM(J49:J53)</f>
        <v>#REF!</v>
      </c>
      <c r="L54" s="589" t="e">
        <f>SUM(L49:L53)</f>
        <v>#REF!</v>
      </c>
      <c r="M54" s="583"/>
      <c r="N54" s="589" t="e">
        <f>SUM(N49:N53)</f>
        <v>#REF!</v>
      </c>
      <c r="O54" s="583"/>
      <c r="P54" s="589" t="e">
        <f>SUM(P49:P53)</f>
        <v>#REF!</v>
      </c>
      <c r="Q54" s="584"/>
      <c r="R54" s="590" t="e">
        <f>L54/$J54</f>
        <v>#REF!</v>
      </c>
      <c r="S54" s="583"/>
      <c r="T54" s="590" t="e">
        <f>N54/$J54</f>
        <v>#REF!</v>
      </c>
      <c r="U54" s="583"/>
      <c r="V54" s="590" t="e">
        <f>P54/$J54</f>
        <v>#REF!</v>
      </c>
      <c r="W54" s="583"/>
    </row>
    <row r="55" spans="2:23" ht="8.25" customHeight="1">
      <c r="H55" s="582"/>
      <c r="I55" s="582"/>
      <c r="J55" s="582"/>
      <c r="L55" s="583"/>
      <c r="M55" s="583"/>
      <c r="N55" s="583"/>
      <c r="O55" s="583"/>
      <c r="P55" s="583"/>
      <c r="Q55" s="584"/>
      <c r="R55" s="587"/>
      <c r="S55" s="583"/>
      <c r="T55" s="587"/>
      <c r="U55" s="583"/>
      <c r="V55" s="587"/>
      <c r="W55" s="583"/>
    </row>
    <row r="56" spans="2:23" ht="18" customHeight="1">
      <c r="B56" s="44">
        <f>MAX(B$15:B55)+1</f>
        <v>28</v>
      </c>
      <c r="D56" s="21" t="s">
        <v>14</v>
      </c>
      <c r="F56" s="44"/>
      <c r="H56" s="581"/>
      <c r="I56" s="582"/>
      <c r="J56" s="582">
        <v>0</v>
      </c>
      <c r="L56" s="583" t="e">
        <f>#REF!/1000</f>
        <v>#REF!</v>
      </c>
      <c r="M56" s="583"/>
      <c r="N56" s="583"/>
      <c r="O56" s="583"/>
      <c r="P56" s="583" t="e">
        <f>SUM(L56:O56)</f>
        <v>#REF!</v>
      </c>
      <c r="Q56" s="584"/>
      <c r="R56" s="585"/>
      <c r="S56" s="586"/>
      <c r="T56" s="599"/>
      <c r="U56" s="586"/>
      <c r="V56" s="599"/>
      <c r="W56" s="586"/>
    </row>
    <row r="57" spans="2:23" ht="6.75" customHeight="1" thickBot="1">
      <c r="B57" s="44"/>
      <c r="F57" s="44"/>
      <c r="H57" s="581"/>
      <c r="I57" s="582"/>
      <c r="J57" s="582"/>
      <c r="L57" s="583"/>
      <c r="M57" s="583"/>
      <c r="N57" s="583"/>
      <c r="O57" s="583"/>
      <c r="P57" s="583"/>
      <c r="Q57" s="584"/>
      <c r="R57" s="585"/>
      <c r="S57" s="586"/>
      <c r="T57" s="587"/>
      <c r="U57" s="586"/>
      <c r="V57" s="587"/>
      <c r="W57" s="586"/>
    </row>
    <row r="58" spans="2:23" ht="18" customHeight="1" thickTop="1">
      <c r="B58" s="44">
        <f>MAX(B$15:B57)+1</f>
        <v>29</v>
      </c>
      <c r="D58" s="45" t="s">
        <v>83</v>
      </c>
      <c r="H58" s="600" t="e">
        <f>H19+H28+H37+H42+H54+H56</f>
        <v>#REF!</v>
      </c>
      <c r="I58" s="582"/>
      <c r="J58" s="600" t="e">
        <f>J19+J28+J37+J42+J54+J56</f>
        <v>#REF!</v>
      </c>
      <c r="K58" s="582"/>
      <c r="L58" s="601" t="e">
        <f>L19+L28+L37+L42+L54+L56</f>
        <v>#REF!</v>
      </c>
      <c r="M58" s="583"/>
      <c r="N58" s="601" t="e">
        <f>N19+N28+N37+N42+N54+N56</f>
        <v>#REF!</v>
      </c>
      <c r="O58" s="583"/>
      <c r="P58" s="601" t="e">
        <f>P19+P28+P37+P42+P54+P56</f>
        <v>#REF!</v>
      </c>
      <c r="Q58" s="584"/>
      <c r="R58" s="602" t="e">
        <f>L58/$J58</f>
        <v>#REF!</v>
      </c>
      <c r="S58" s="603"/>
      <c r="T58" s="602" t="e">
        <f>N58/$J58</f>
        <v>#REF!</v>
      </c>
      <c r="U58" s="603"/>
      <c r="V58" s="602" t="e">
        <f>P58/$J58</f>
        <v>#REF!</v>
      </c>
      <c r="W58" s="603"/>
    </row>
    <row r="59" spans="2:23" ht="8.25" customHeight="1">
      <c r="H59" s="582"/>
      <c r="I59" s="582"/>
      <c r="J59" s="582"/>
      <c r="L59" s="583"/>
      <c r="M59" s="583"/>
      <c r="N59" s="583"/>
      <c r="O59" s="583"/>
      <c r="P59" s="583"/>
      <c r="Q59" s="583"/>
      <c r="S59" s="583"/>
      <c r="U59" s="583"/>
      <c r="W59" s="583"/>
    </row>
    <row r="60" spans="2:23">
      <c r="H60" s="582"/>
      <c r="I60" s="582"/>
      <c r="L60" s="583"/>
      <c r="M60" s="583"/>
      <c r="N60" s="583"/>
      <c r="O60" s="583"/>
      <c r="P60" s="583"/>
      <c r="Q60" s="583"/>
      <c r="R60" s="583"/>
      <c r="S60" s="583"/>
      <c r="U60" s="583"/>
      <c r="W60" s="583"/>
    </row>
    <row r="61" spans="2:23" ht="23.25" customHeight="1">
      <c r="B61" s="604"/>
      <c r="D61" s="605" t="s">
        <v>474</v>
      </c>
    </row>
    <row r="62" spans="2:23" ht="16.5">
      <c r="B62" s="604"/>
      <c r="J62" s="21" t="s">
        <v>14</v>
      </c>
    </row>
    <row r="63" spans="2:23" ht="18">
      <c r="B63" s="605"/>
      <c r="J63" s="606" t="s">
        <v>476</v>
      </c>
      <c r="L63" s="583">
        <v>783</v>
      </c>
    </row>
    <row r="64" spans="2:23">
      <c r="J64" s="21" t="s">
        <v>477</v>
      </c>
      <c r="L64" s="583">
        <v>415441</v>
      </c>
    </row>
    <row r="65" spans="10:12">
      <c r="J65" s="21" t="s">
        <v>478</v>
      </c>
      <c r="L65" s="583">
        <v>235203</v>
      </c>
    </row>
    <row r="66" spans="10:12">
      <c r="J66" s="21" t="s">
        <v>442</v>
      </c>
      <c r="L66" s="583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2"/>
  <dimension ref="A1:R99"/>
  <sheetViews>
    <sheetView workbookViewId="0"/>
  </sheetViews>
  <sheetFormatPr defaultColWidth="9" defaultRowHeight="15.75"/>
  <cols>
    <col min="1" max="1" width="9" style="22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40" t="e">
        <f>#REF!</f>
        <v>#REF!</v>
      </c>
      <c r="B2" s="40"/>
      <c r="C2" s="3" t="s">
        <v>72</v>
      </c>
    </row>
    <row r="3" spans="1:18">
      <c r="A3" s="40" t="e">
        <f>#REF!</f>
        <v>#REF!</v>
      </c>
      <c r="B3" s="40"/>
    </row>
    <row r="4" spans="1:18">
      <c r="A4" s="40" t="e">
        <f>#REF!</f>
        <v>#REF!</v>
      </c>
      <c r="B4" s="40"/>
    </row>
    <row r="5" spans="1:18">
      <c r="B5" s="24" t="s">
        <v>109</v>
      </c>
      <c r="C5" s="25"/>
      <c r="D5" s="25"/>
      <c r="E5" s="25"/>
      <c r="F5" s="25"/>
      <c r="G5" s="41"/>
      <c r="H5" s="25"/>
      <c r="I5" s="25"/>
      <c r="J5" s="25"/>
      <c r="K5" s="25"/>
      <c r="L5" s="25"/>
      <c r="M5" s="25"/>
      <c r="N5" s="25"/>
      <c r="O5" s="30"/>
      <c r="P5" s="27" t="s">
        <v>22</v>
      </c>
    </row>
    <row r="6" spans="1:18">
      <c r="B6" s="3" t="s">
        <v>25</v>
      </c>
      <c r="G6" s="27"/>
      <c r="O6" s="39"/>
      <c r="P6" s="27" t="s">
        <v>110</v>
      </c>
      <c r="R6" s="10" t="s">
        <v>2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39" t="s">
        <v>41</v>
      </c>
      <c r="P7" s="47">
        <v>39260</v>
      </c>
      <c r="R7" s="10" t="s">
        <v>0</v>
      </c>
    </row>
    <row r="8" spans="1:18">
      <c r="A8" s="22">
        <v>24</v>
      </c>
      <c r="B8" s="3" t="s">
        <v>97</v>
      </c>
      <c r="C8" s="3">
        <v>4169692</v>
      </c>
      <c r="D8" s="3">
        <v>3723998</v>
      </c>
      <c r="E8" s="3">
        <v>3198923</v>
      </c>
      <c r="F8" s="3">
        <v>2755668</v>
      </c>
      <c r="G8" s="33">
        <v>3046052</v>
      </c>
      <c r="H8" s="3">
        <v>3335761</v>
      </c>
      <c r="I8" s="32">
        <v>3808717</v>
      </c>
      <c r="J8" s="32">
        <v>3873681</v>
      </c>
      <c r="K8" s="32">
        <v>3604333</v>
      </c>
      <c r="L8" s="32">
        <v>3283809</v>
      </c>
      <c r="M8" s="32">
        <v>3142167</v>
      </c>
      <c r="N8" s="32">
        <v>3774631</v>
      </c>
      <c r="O8" s="33">
        <f t="shared" ref="O8:O31" si="0">SUM(C8:N8)</f>
        <v>41717432</v>
      </c>
      <c r="P8" s="37">
        <v>1.24E-3</v>
      </c>
      <c r="R8" s="42">
        <f t="shared" ref="R8:R15" si="1">P8*O8</f>
        <v>51729.615680000003</v>
      </c>
    </row>
    <row r="9" spans="1:18">
      <c r="A9" s="22" t="s">
        <v>61</v>
      </c>
      <c r="B9" s="3" t="s">
        <v>102</v>
      </c>
      <c r="C9" s="3">
        <v>21238</v>
      </c>
      <c r="D9" s="3">
        <v>21238</v>
      </c>
      <c r="E9" s="3">
        <v>20942</v>
      </c>
      <c r="F9" s="3">
        <v>18280</v>
      </c>
      <c r="G9" s="33">
        <v>31065</v>
      </c>
      <c r="H9" s="3">
        <v>18280</v>
      </c>
      <c r="I9" s="9">
        <v>18281</v>
      </c>
      <c r="J9" s="9">
        <v>5495</v>
      </c>
      <c r="K9" s="9">
        <v>18280</v>
      </c>
      <c r="L9" s="9">
        <v>18280</v>
      </c>
      <c r="M9" s="9">
        <v>18280</v>
      </c>
      <c r="N9" s="9">
        <v>18280</v>
      </c>
      <c r="O9" s="33">
        <f t="shared" si="0"/>
        <v>227939</v>
      </c>
      <c r="P9" s="37">
        <v>1.24E-3</v>
      </c>
      <c r="R9" s="42">
        <f t="shared" si="1"/>
        <v>282.64436000000001</v>
      </c>
    </row>
    <row r="10" spans="1:18">
      <c r="A10" s="22" t="s">
        <v>65</v>
      </c>
      <c r="B10" s="3" t="s">
        <v>98</v>
      </c>
      <c r="C10" s="3">
        <v>1590</v>
      </c>
      <c r="D10" s="3">
        <v>2919</v>
      </c>
      <c r="E10" s="3">
        <v>11084</v>
      </c>
      <c r="F10" s="3">
        <v>174819</v>
      </c>
      <c r="G10" s="33">
        <v>139933</v>
      </c>
      <c r="H10" s="3">
        <v>22495</v>
      </c>
      <c r="I10" s="9">
        <v>14785</v>
      </c>
      <c r="J10" s="9">
        <v>13030</v>
      </c>
      <c r="K10" s="9">
        <v>-3559</v>
      </c>
      <c r="L10" s="9">
        <v>11843</v>
      </c>
      <c r="M10" s="9">
        <v>31064</v>
      </c>
      <c r="N10" s="9">
        <v>-15272</v>
      </c>
      <c r="O10" s="33">
        <f t="shared" si="0"/>
        <v>404731</v>
      </c>
      <c r="P10" s="37">
        <v>1.24E-3</v>
      </c>
      <c r="R10" s="42">
        <f t="shared" si="1"/>
        <v>501.86644000000001</v>
      </c>
    </row>
    <row r="11" spans="1:18">
      <c r="A11" s="22">
        <v>24</v>
      </c>
      <c r="B11" s="3" t="s">
        <v>26</v>
      </c>
      <c r="C11" s="33">
        <v>42970072</v>
      </c>
      <c r="D11" s="33">
        <v>42492319</v>
      </c>
      <c r="E11" s="33">
        <v>36262938</v>
      </c>
      <c r="F11" s="33">
        <v>33230542</v>
      </c>
      <c r="G11" s="33">
        <v>34869575</v>
      </c>
      <c r="H11" s="33">
        <v>36341153</v>
      </c>
      <c r="I11" s="9">
        <v>40445704</v>
      </c>
      <c r="J11" s="9">
        <v>44523686</v>
      </c>
      <c r="K11" s="9">
        <v>39679186</v>
      </c>
      <c r="L11" s="9">
        <v>35221083</v>
      </c>
      <c r="M11" s="9">
        <v>35809463</v>
      </c>
      <c r="N11" s="9">
        <v>43110158</v>
      </c>
      <c r="O11" s="33">
        <f t="shared" si="0"/>
        <v>464955879</v>
      </c>
      <c r="P11" s="37">
        <v>1.24E-3</v>
      </c>
      <c r="R11" s="42">
        <f t="shared" si="1"/>
        <v>576545.28995999997</v>
      </c>
    </row>
    <row r="12" spans="1:18">
      <c r="A12" s="22" t="s">
        <v>61</v>
      </c>
      <c r="B12" s="3" t="s">
        <v>27</v>
      </c>
      <c r="C12" s="33">
        <v>101764</v>
      </c>
      <c r="D12" s="33">
        <v>100304</v>
      </c>
      <c r="E12" s="33">
        <v>101677</v>
      </c>
      <c r="F12" s="33">
        <v>100074</v>
      </c>
      <c r="G12" s="33">
        <v>101098</v>
      </c>
      <c r="H12" s="33">
        <v>101728</v>
      </c>
      <c r="I12" s="9">
        <v>100888</v>
      </c>
      <c r="J12" s="9">
        <v>100882</v>
      </c>
      <c r="K12" s="9">
        <v>100000</v>
      </c>
      <c r="L12" s="9">
        <v>100094</v>
      </c>
      <c r="M12" s="9">
        <v>101670</v>
      </c>
      <c r="N12" s="9">
        <v>100935</v>
      </c>
      <c r="O12" s="33">
        <f t="shared" si="0"/>
        <v>1211114</v>
      </c>
      <c r="P12" s="37">
        <v>1.24E-3</v>
      </c>
      <c r="R12" s="42">
        <f t="shared" si="1"/>
        <v>1501.7813599999999</v>
      </c>
    </row>
    <row r="13" spans="1:18">
      <c r="A13" s="22">
        <v>36</v>
      </c>
      <c r="B13" s="3" t="s">
        <v>103</v>
      </c>
      <c r="C13" s="3">
        <v>7139320</v>
      </c>
      <c r="D13" s="3">
        <v>6651020</v>
      </c>
      <c r="E13" s="3">
        <v>5949180</v>
      </c>
      <c r="F13" s="3">
        <v>5427928</v>
      </c>
      <c r="G13" s="33">
        <v>5820260</v>
      </c>
      <c r="H13" s="3">
        <v>10710241</v>
      </c>
      <c r="I13" s="9">
        <v>6874968</v>
      </c>
      <c r="J13" s="9">
        <v>6866625</v>
      </c>
      <c r="K13" s="9">
        <v>7519899</v>
      </c>
      <c r="L13" s="9">
        <v>8709680</v>
      </c>
      <c r="M13" s="9">
        <v>6276100</v>
      </c>
      <c r="N13" s="9">
        <v>8286800</v>
      </c>
      <c r="O13" s="33">
        <f t="shared" si="0"/>
        <v>86232021</v>
      </c>
      <c r="P13" s="37">
        <v>1.0200000000000001E-3</v>
      </c>
      <c r="R13" s="42">
        <f t="shared" si="1"/>
        <v>87956.661420000004</v>
      </c>
    </row>
    <row r="14" spans="1:18">
      <c r="A14" s="22">
        <v>36</v>
      </c>
      <c r="B14" s="3" t="s">
        <v>28</v>
      </c>
      <c r="C14" s="33">
        <v>59368941</v>
      </c>
      <c r="D14" s="33">
        <v>56815580</v>
      </c>
      <c r="E14" s="33">
        <v>52729103</v>
      </c>
      <c r="F14" s="33">
        <v>48314509</v>
      </c>
      <c r="G14" s="33">
        <v>49936076</v>
      </c>
      <c r="H14" s="33">
        <v>46891727</v>
      </c>
      <c r="I14" s="9">
        <v>55644603</v>
      </c>
      <c r="J14" s="9">
        <v>59342604</v>
      </c>
      <c r="K14" s="9">
        <v>59603339</v>
      </c>
      <c r="L14" s="9">
        <v>65055503</v>
      </c>
      <c r="M14" s="9">
        <v>59222854</v>
      </c>
      <c r="N14" s="9">
        <v>61989884</v>
      </c>
      <c r="O14" s="33">
        <f t="shared" si="0"/>
        <v>674914723</v>
      </c>
      <c r="P14" s="37">
        <v>1.0200000000000001E-3</v>
      </c>
      <c r="R14" s="42">
        <f t="shared" si="1"/>
        <v>688413.01746</v>
      </c>
    </row>
    <row r="15" spans="1:18">
      <c r="A15" s="22" t="s">
        <v>64</v>
      </c>
      <c r="B15" s="3" t="s">
        <v>29</v>
      </c>
      <c r="C15" s="33">
        <v>14031760</v>
      </c>
      <c r="D15" s="33">
        <v>12105060</v>
      </c>
      <c r="E15" s="33">
        <v>12596320</v>
      </c>
      <c r="F15" s="33">
        <v>11333660</v>
      </c>
      <c r="G15" s="33">
        <v>11389980</v>
      </c>
      <c r="H15" s="33">
        <v>11786660</v>
      </c>
      <c r="I15" s="9">
        <v>12614402</v>
      </c>
      <c r="J15" s="9">
        <v>13075400</v>
      </c>
      <c r="K15" s="9">
        <v>13838880</v>
      </c>
      <c r="L15" s="9">
        <v>14709860</v>
      </c>
      <c r="M15" s="9">
        <v>12447520</v>
      </c>
      <c r="N15" s="9">
        <v>13113320</v>
      </c>
      <c r="O15" s="33">
        <f t="shared" si="0"/>
        <v>153042822</v>
      </c>
      <c r="P15" s="37">
        <v>8.3000000000000001E-4</v>
      </c>
      <c r="R15" s="42">
        <f t="shared" si="1"/>
        <v>127025.54226</v>
      </c>
    </row>
    <row r="16" spans="1:18">
      <c r="B16" s="3" t="s">
        <v>30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3">
        <f t="shared" si="0"/>
        <v>0</v>
      </c>
    </row>
    <row r="17" spans="1:18">
      <c r="B17" s="3" t="s">
        <v>31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3">
        <f t="shared" si="0"/>
        <v>0</v>
      </c>
    </row>
    <row r="18" spans="1:18">
      <c r="B18" s="3" t="s">
        <v>32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3">
        <f t="shared" si="0"/>
        <v>0</v>
      </c>
    </row>
    <row r="19" spans="1:18">
      <c r="B19" s="3" t="s">
        <v>33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3">
        <f t="shared" si="0"/>
        <v>0</v>
      </c>
    </row>
    <row r="20" spans="1:18">
      <c r="B20" s="3" t="s">
        <v>34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3">
        <f t="shared" si="0"/>
        <v>0</v>
      </c>
    </row>
    <row r="21" spans="1:18">
      <c r="A21" s="22" t="s">
        <v>13</v>
      </c>
      <c r="B21" s="3" t="s">
        <v>35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3">
        <f t="shared" si="0"/>
        <v>0</v>
      </c>
    </row>
    <row r="22" spans="1:18">
      <c r="A22" s="22" t="s">
        <v>13</v>
      </c>
      <c r="B22" s="3" t="s">
        <v>91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3">
        <f t="shared" si="0"/>
        <v>0</v>
      </c>
    </row>
    <row r="23" spans="1:18">
      <c r="B23" s="23" t="s">
        <v>105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3">
        <f t="shared" si="0"/>
        <v>0</v>
      </c>
    </row>
    <row r="24" spans="1:18">
      <c r="A24" s="22">
        <v>135</v>
      </c>
      <c r="B24" s="3" t="s">
        <v>94</v>
      </c>
      <c r="C24" s="33">
        <v>2307</v>
      </c>
      <c r="D24" s="33">
        <v>1428</v>
      </c>
      <c r="E24" s="3">
        <v>140</v>
      </c>
      <c r="F24" s="3">
        <v>0</v>
      </c>
      <c r="G24" s="3">
        <v>0</v>
      </c>
      <c r="H24" s="3">
        <v>0</v>
      </c>
      <c r="I24" s="9">
        <v>0</v>
      </c>
      <c r="J24" s="9">
        <v>0</v>
      </c>
      <c r="K24" s="9">
        <v>0</v>
      </c>
      <c r="L24" s="9">
        <v>18</v>
      </c>
      <c r="M24" s="9">
        <v>0</v>
      </c>
      <c r="N24" s="9">
        <v>1232</v>
      </c>
      <c r="O24" s="33">
        <f t="shared" si="0"/>
        <v>5125</v>
      </c>
      <c r="P24" s="37">
        <v>1.24E-3</v>
      </c>
      <c r="R24" s="42">
        <f>P24*O24</f>
        <v>6.3550000000000004</v>
      </c>
    </row>
    <row r="25" spans="1:18">
      <c r="A25" s="22" t="s">
        <v>62</v>
      </c>
      <c r="B25" s="3" t="s">
        <v>36</v>
      </c>
      <c r="C25" s="33">
        <v>135621</v>
      </c>
      <c r="D25" s="33">
        <v>152479</v>
      </c>
      <c r="E25" s="33">
        <v>143101</v>
      </c>
      <c r="F25" s="33">
        <v>144390</v>
      </c>
      <c r="G25" s="33">
        <v>147368</v>
      </c>
      <c r="H25" s="33">
        <v>125859</v>
      </c>
      <c r="I25" s="9">
        <v>142775</v>
      </c>
      <c r="J25" s="9">
        <v>145842</v>
      </c>
      <c r="K25" s="9">
        <v>135813</v>
      </c>
      <c r="L25" s="9">
        <v>146542</v>
      </c>
      <c r="M25" s="9">
        <v>137092</v>
      </c>
      <c r="N25" s="9">
        <v>143598</v>
      </c>
      <c r="O25" s="33">
        <f t="shared" si="0"/>
        <v>1700480</v>
      </c>
      <c r="P25" s="37">
        <v>1.09E-3</v>
      </c>
      <c r="R25" s="42">
        <f>P25*O25</f>
        <v>1853.5232000000001</v>
      </c>
    </row>
    <row r="26" spans="1:18">
      <c r="A26" s="22" t="s">
        <v>62</v>
      </c>
      <c r="B26" s="3" t="s">
        <v>101</v>
      </c>
      <c r="C26" s="3">
        <v>56080</v>
      </c>
      <c r="D26" s="3">
        <v>54964</v>
      </c>
      <c r="E26" s="3">
        <v>55214</v>
      </c>
      <c r="F26" s="3">
        <v>54647</v>
      </c>
      <c r="G26" s="33">
        <v>54911</v>
      </c>
      <c r="H26" s="3">
        <v>55184</v>
      </c>
      <c r="I26" s="9">
        <v>53677</v>
      </c>
      <c r="J26" s="9">
        <v>53325</v>
      </c>
      <c r="K26" s="9">
        <v>52348</v>
      </c>
      <c r="L26" s="9">
        <v>55316</v>
      </c>
      <c r="M26" s="9">
        <v>51552</v>
      </c>
      <c r="N26" s="9">
        <v>52753</v>
      </c>
      <c r="O26" s="33">
        <f t="shared" si="0"/>
        <v>649971</v>
      </c>
      <c r="P26" s="37">
        <v>1.09E-3</v>
      </c>
      <c r="R26" s="42">
        <f>P26*O26</f>
        <v>708.46839</v>
      </c>
    </row>
    <row r="27" spans="1:18">
      <c r="A27" s="22">
        <v>54</v>
      </c>
      <c r="B27" s="3" t="s">
        <v>37</v>
      </c>
      <c r="C27" s="33">
        <v>13222</v>
      </c>
      <c r="D27" s="33">
        <v>2552</v>
      </c>
      <c r="E27" s="33">
        <v>15473</v>
      </c>
      <c r="F27" s="33">
        <v>20107</v>
      </c>
      <c r="G27" s="33">
        <v>16713</v>
      </c>
      <c r="H27" s="33">
        <v>13439</v>
      </c>
      <c r="I27" s="9">
        <v>23259</v>
      </c>
      <c r="J27" s="9">
        <v>16201</v>
      </c>
      <c r="K27" s="9">
        <v>14873</v>
      </c>
      <c r="L27" s="9">
        <v>38831</v>
      </c>
      <c r="M27" s="9">
        <v>31315</v>
      </c>
      <c r="N27" s="9">
        <v>21266</v>
      </c>
      <c r="O27" s="33">
        <f t="shared" si="0"/>
        <v>227251</v>
      </c>
      <c r="P27" s="37">
        <v>1.48E-3</v>
      </c>
      <c r="R27" s="42">
        <f>P27*O27</f>
        <v>336.33148</v>
      </c>
    </row>
    <row r="28" spans="1:18">
      <c r="B28" s="3" t="s">
        <v>38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3">
        <f t="shared" si="0"/>
        <v>0</v>
      </c>
    </row>
    <row r="29" spans="1:18">
      <c r="B29" s="3" t="s">
        <v>39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3">
        <f t="shared" si="0"/>
        <v>0</v>
      </c>
    </row>
    <row r="30" spans="1:18">
      <c r="B30" s="3" t="s">
        <v>99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3">
        <f t="shared" si="0"/>
        <v>0</v>
      </c>
    </row>
    <row r="31" spans="1:18">
      <c r="B31" s="3" t="s">
        <v>100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3">
        <f t="shared" si="0"/>
        <v>0</v>
      </c>
    </row>
    <row r="32" spans="1:18">
      <c r="A32" s="22" t="s">
        <v>13</v>
      </c>
      <c r="B32" s="3" t="s">
        <v>40</v>
      </c>
    </row>
    <row r="33" spans="1:18">
      <c r="A33" s="22" t="s">
        <v>13</v>
      </c>
      <c r="C33" s="33">
        <f t="shared" ref="C33:O33" si="2">SUM(C8:C31)</f>
        <v>128011607</v>
      </c>
      <c r="D33" s="33">
        <f t="shared" si="2"/>
        <v>122123861</v>
      </c>
      <c r="E33" s="33">
        <f t="shared" si="2"/>
        <v>111084095</v>
      </c>
      <c r="F33" s="33">
        <f t="shared" si="2"/>
        <v>101574624</v>
      </c>
      <c r="G33" s="33">
        <f t="shared" si="2"/>
        <v>105553031</v>
      </c>
      <c r="H33" s="33">
        <f t="shared" si="2"/>
        <v>109402527</v>
      </c>
      <c r="I33" s="33">
        <f t="shared" si="2"/>
        <v>119742059</v>
      </c>
      <c r="J33" s="33">
        <f t="shared" si="2"/>
        <v>128016771</v>
      </c>
      <c r="K33" s="33">
        <f t="shared" si="2"/>
        <v>124563392</v>
      </c>
      <c r="L33" s="33">
        <f t="shared" si="2"/>
        <v>127350859</v>
      </c>
      <c r="M33" s="33">
        <f t="shared" si="2"/>
        <v>117269077</v>
      </c>
      <c r="N33" s="33">
        <f t="shared" si="2"/>
        <v>130597585</v>
      </c>
      <c r="O33" s="33">
        <f t="shared" si="2"/>
        <v>1425289488</v>
      </c>
    </row>
    <row r="34" spans="1:18">
      <c r="A34" s="22" t="s">
        <v>13</v>
      </c>
      <c r="B34" s="3" t="s">
        <v>42</v>
      </c>
    </row>
    <row r="35" spans="1:18">
      <c r="A35" s="22" t="s">
        <v>13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41</v>
      </c>
      <c r="P35" s="37"/>
    </row>
    <row r="36" spans="1:18">
      <c r="A36" s="22">
        <v>24</v>
      </c>
      <c r="B36" s="3" t="s">
        <v>97</v>
      </c>
      <c r="C36" s="35">
        <v>245856</v>
      </c>
      <c r="D36" s="32">
        <v>237043</v>
      </c>
      <c r="E36" s="32">
        <v>190545</v>
      </c>
      <c r="F36" s="32">
        <v>164203</v>
      </c>
      <c r="G36" s="32">
        <v>178325</v>
      </c>
      <c r="H36" s="32">
        <v>215598</v>
      </c>
      <c r="I36" s="32">
        <v>293514</v>
      </c>
      <c r="J36" s="32">
        <v>307172</v>
      </c>
      <c r="K36" s="32">
        <v>526995</v>
      </c>
      <c r="L36" s="32">
        <v>447110</v>
      </c>
      <c r="M36" s="32">
        <v>227293</v>
      </c>
      <c r="N36" s="32">
        <v>220660</v>
      </c>
      <c r="O36" s="33">
        <f t="shared" ref="O36:O48" si="3">SUM(C36:N36)</f>
        <v>3254314</v>
      </c>
      <c r="P36" s="37">
        <v>1.24E-3</v>
      </c>
      <c r="R36" s="42">
        <f t="shared" ref="R36:R44" si="4">P36*O36</f>
        <v>4035.3493600000002</v>
      </c>
    </row>
    <row r="37" spans="1:18">
      <c r="A37" s="22" t="s">
        <v>65</v>
      </c>
      <c r="B37" s="3" t="s">
        <v>98</v>
      </c>
      <c r="C37" s="36">
        <v>96</v>
      </c>
      <c r="D37" s="9">
        <v>-84</v>
      </c>
      <c r="E37" s="9">
        <v>545</v>
      </c>
      <c r="F37" s="9">
        <v>1302</v>
      </c>
      <c r="G37" s="9">
        <v>150</v>
      </c>
      <c r="H37" s="9">
        <v>557</v>
      </c>
      <c r="I37" s="9">
        <v>1396</v>
      </c>
      <c r="J37" s="9">
        <v>33</v>
      </c>
      <c r="K37" s="9">
        <v>1826</v>
      </c>
      <c r="L37" s="9">
        <v>1074</v>
      </c>
      <c r="M37" s="9">
        <v>0</v>
      </c>
      <c r="N37" s="9">
        <v>34</v>
      </c>
      <c r="O37" s="33">
        <f t="shared" si="3"/>
        <v>6929</v>
      </c>
      <c r="P37" s="37">
        <v>1.24E-3</v>
      </c>
      <c r="R37" s="42">
        <f t="shared" si="4"/>
        <v>8.5919600000000003</v>
      </c>
    </row>
    <row r="38" spans="1:18">
      <c r="A38" s="22">
        <v>24</v>
      </c>
      <c r="B38" s="3" t="s">
        <v>26</v>
      </c>
      <c r="C38" s="36">
        <v>1909641</v>
      </c>
      <c r="D38" s="9">
        <v>1806944</v>
      </c>
      <c r="E38" s="9">
        <v>1549411</v>
      </c>
      <c r="F38" s="9">
        <v>1277233</v>
      </c>
      <c r="G38" s="9">
        <v>1348630</v>
      </c>
      <c r="H38" s="9">
        <v>1329979</v>
      </c>
      <c r="I38" s="9">
        <v>1795617</v>
      </c>
      <c r="J38" s="9">
        <v>1427677</v>
      </c>
      <c r="K38" s="9">
        <v>1355114</v>
      </c>
      <c r="L38" s="9">
        <v>1254624</v>
      </c>
      <c r="M38" s="9">
        <v>1247407</v>
      </c>
      <c r="N38" s="9">
        <v>1703611</v>
      </c>
      <c r="O38" s="33">
        <f t="shared" si="3"/>
        <v>18005888</v>
      </c>
      <c r="P38" s="37">
        <v>1.24E-3</v>
      </c>
      <c r="R38" s="42">
        <f t="shared" si="4"/>
        <v>22327.30112</v>
      </c>
    </row>
    <row r="39" spans="1:18">
      <c r="A39" s="22" t="s">
        <v>61</v>
      </c>
      <c r="B39" s="3" t="s">
        <v>27</v>
      </c>
      <c r="C39" s="36">
        <v>2776</v>
      </c>
      <c r="D39" s="9">
        <v>2776</v>
      </c>
      <c r="E39" s="9">
        <v>2776</v>
      </c>
      <c r="F39" s="9">
        <v>2776</v>
      </c>
      <c r="G39" s="9">
        <v>2776</v>
      </c>
      <c r="H39" s="9">
        <v>2776</v>
      </c>
      <c r="I39" s="9">
        <v>2776</v>
      </c>
      <c r="J39" s="9">
        <v>2776</v>
      </c>
      <c r="K39" s="9">
        <v>2776</v>
      </c>
      <c r="L39" s="9">
        <v>2776</v>
      </c>
      <c r="M39" s="9">
        <v>2776</v>
      </c>
      <c r="N39" s="9">
        <v>2776</v>
      </c>
      <c r="O39" s="33">
        <f t="shared" si="3"/>
        <v>33312</v>
      </c>
      <c r="P39" s="37">
        <v>1.24E-3</v>
      </c>
      <c r="R39" s="42">
        <f t="shared" si="4"/>
        <v>41.30688</v>
      </c>
    </row>
    <row r="40" spans="1:18">
      <c r="A40" s="22">
        <v>36</v>
      </c>
      <c r="B40" s="3" t="s">
        <v>103</v>
      </c>
      <c r="C40" s="36">
        <v>100640</v>
      </c>
      <c r="D40" s="9">
        <v>95384</v>
      </c>
      <c r="E40" s="9">
        <v>73480</v>
      </c>
      <c r="F40" s="9">
        <v>80320</v>
      </c>
      <c r="G40" s="9">
        <v>87200</v>
      </c>
      <c r="H40" s="9">
        <v>113520</v>
      </c>
      <c r="I40" s="9">
        <v>168842</v>
      </c>
      <c r="J40" s="9">
        <v>199560</v>
      </c>
      <c r="K40" s="9">
        <v>987400</v>
      </c>
      <c r="L40" s="9">
        <v>1570360</v>
      </c>
      <c r="M40" s="9">
        <v>249680</v>
      </c>
      <c r="N40" s="9">
        <v>149720</v>
      </c>
      <c r="O40" s="33">
        <f t="shared" si="3"/>
        <v>3876106</v>
      </c>
      <c r="P40" s="37">
        <v>1.0200000000000001E-3</v>
      </c>
      <c r="R40" s="42">
        <f t="shared" si="4"/>
        <v>3953.6281200000003</v>
      </c>
    </row>
    <row r="41" spans="1:18">
      <c r="A41" s="22" t="s">
        <v>64</v>
      </c>
      <c r="B41" s="3" t="s">
        <v>95</v>
      </c>
      <c r="C41" s="36"/>
      <c r="D41" s="9"/>
      <c r="E41" s="9"/>
      <c r="F41" s="9">
        <v>54000</v>
      </c>
      <c r="G41" s="9">
        <v>-54000</v>
      </c>
      <c r="H41" s="9"/>
      <c r="I41" s="9"/>
      <c r="J41" s="9"/>
      <c r="K41" s="9"/>
      <c r="L41" s="9"/>
      <c r="M41" s="9"/>
      <c r="N41" s="9"/>
      <c r="O41" s="33">
        <f t="shared" si="3"/>
        <v>0</v>
      </c>
      <c r="P41" s="37">
        <v>8.3000000000000001E-4</v>
      </c>
      <c r="R41" s="42">
        <f t="shared" si="4"/>
        <v>0</v>
      </c>
    </row>
    <row r="42" spans="1:18">
      <c r="A42" s="22">
        <v>36</v>
      </c>
      <c r="B42" s="3" t="s">
        <v>28</v>
      </c>
      <c r="C42" s="36">
        <v>10318300</v>
      </c>
      <c r="D42" s="9">
        <v>12442180</v>
      </c>
      <c r="E42" s="9">
        <v>11211240</v>
      </c>
      <c r="F42" s="9">
        <v>9636920</v>
      </c>
      <c r="G42" s="9">
        <v>10839840</v>
      </c>
      <c r="H42" s="9">
        <v>9171000</v>
      </c>
      <c r="I42" s="9">
        <v>10177875</v>
      </c>
      <c r="J42" s="9">
        <v>10771855</v>
      </c>
      <c r="K42" s="9">
        <v>11930134</v>
      </c>
      <c r="L42" s="9">
        <v>13859241</v>
      </c>
      <c r="M42" s="9">
        <v>14520180</v>
      </c>
      <c r="N42" s="9">
        <v>11750660</v>
      </c>
      <c r="O42" s="33">
        <f t="shared" si="3"/>
        <v>136629425</v>
      </c>
      <c r="P42" s="37">
        <v>1.0200000000000001E-3</v>
      </c>
      <c r="R42" s="42">
        <f t="shared" si="4"/>
        <v>139362.0135</v>
      </c>
    </row>
    <row r="43" spans="1:18">
      <c r="A43" s="22" t="s">
        <v>63</v>
      </c>
      <c r="B43" s="3" t="s">
        <v>43</v>
      </c>
      <c r="C43" s="34">
        <v>2948000</v>
      </c>
      <c r="D43" s="9">
        <v>2612000</v>
      </c>
      <c r="E43" s="9">
        <v>2349000</v>
      </c>
      <c r="F43" s="9">
        <v>2241000</v>
      </c>
      <c r="G43" s="9">
        <v>1942000</v>
      </c>
      <c r="H43" s="9">
        <v>1761000</v>
      </c>
      <c r="I43" s="9">
        <v>2096000</v>
      </c>
      <c r="J43" s="9">
        <v>2221000</v>
      </c>
      <c r="K43" s="9">
        <v>1602000</v>
      </c>
      <c r="L43" s="9">
        <v>1544000</v>
      </c>
      <c r="M43" s="9">
        <v>1868000</v>
      </c>
      <c r="N43" s="9">
        <v>2647000</v>
      </c>
      <c r="O43" s="33">
        <f t="shared" si="3"/>
        <v>25831000</v>
      </c>
      <c r="P43" s="37">
        <v>8.3000000000000001E-4</v>
      </c>
      <c r="R43" s="42">
        <f t="shared" si="4"/>
        <v>21439.73</v>
      </c>
    </row>
    <row r="44" spans="1:18">
      <c r="A44" s="22" t="s">
        <v>21</v>
      </c>
      <c r="B44" s="3" t="s">
        <v>29</v>
      </c>
      <c r="C44" s="34">
        <v>49783800</v>
      </c>
      <c r="D44" s="9">
        <v>59340000</v>
      </c>
      <c r="E44" s="9">
        <v>57320600</v>
      </c>
      <c r="F44" s="9">
        <v>54656650</v>
      </c>
      <c r="G44" s="9">
        <v>55667450</v>
      </c>
      <c r="H44" s="9">
        <v>40957550</v>
      </c>
      <c r="I44" s="9">
        <v>56388555</v>
      </c>
      <c r="J44" s="9">
        <v>61600850</v>
      </c>
      <c r="K44" s="9">
        <v>60175601</v>
      </c>
      <c r="L44" s="9">
        <v>57164750</v>
      </c>
      <c r="M44" s="9">
        <v>58007500</v>
      </c>
      <c r="N44" s="9">
        <v>63661250</v>
      </c>
      <c r="O44" s="33">
        <f t="shared" si="3"/>
        <v>674724556</v>
      </c>
      <c r="P44" s="37">
        <v>8.3000000000000001E-4</v>
      </c>
      <c r="R44" s="42">
        <f t="shared" si="4"/>
        <v>560021.38147999998</v>
      </c>
    </row>
    <row r="45" spans="1:18">
      <c r="B45" s="3" t="s">
        <v>30</v>
      </c>
      <c r="C45" s="34"/>
      <c r="D45" s="9"/>
      <c r="E45" s="9"/>
      <c r="F45" s="9"/>
      <c r="G45" s="9"/>
      <c r="H45" s="9"/>
      <c r="I45" s="9">
        <v>0</v>
      </c>
      <c r="J45" s="9">
        <v>0</v>
      </c>
      <c r="K45" s="9">
        <v>0</v>
      </c>
      <c r="L45" s="9"/>
      <c r="M45" s="9"/>
      <c r="N45" s="9"/>
      <c r="O45" s="33">
        <f t="shared" si="3"/>
        <v>0</v>
      </c>
    </row>
    <row r="46" spans="1:18">
      <c r="A46" s="22" t="s">
        <v>62</v>
      </c>
      <c r="B46" s="3" t="s">
        <v>36</v>
      </c>
      <c r="C46" s="34">
        <v>10756</v>
      </c>
      <c r="D46" s="9">
        <v>11243</v>
      </c>
      <c r="E46" s="9">
        <v>11348</v>
      </c>
      <c r="F46" s="9">
        <v>10494</v>
      </c>
      <c r="G46" s="9">
        <v>10714</v>
      </c>
      <c r="H46" s="9">
        <v>10392</v>
      </c>
      <c r="I46" s="9">
        <v>10322</v>
      </c>
      <c r="J46" s="9">
        <v>10317</v>
      </c>
      <c r="K46" s="9">
        <v>9746</v>
      </c>
      <c r="L46" s="9">
        <v>10468</v>
      </c>
      <c r="M46" s="9">
        <v>10361</v>
      </c>
      <c r="N46" s="9">
        <v>10770</v>
      </c>
      <c r="O46" s="33">
        <f t="shared" si="3"/>
        <v>126931</v>
      </c>
      <c r="P46" s="37">
        <v>1.09E-3</v>
      </c>
      <c r="R46" s="42">
        <f>P46*O46</f>
        <v>138.35479000000001</v>
      </c>
    </row>
    <row r="47" spans="1:18">
      <c r="A47" s="22" t="s">
        <v>62</v>
      </c>
      <c r="B47" s="3" t="s">
        <v>101</v>
      </c>
      <c r="C47" s="34">
        <v>2684</v>
      </c>
      <c r="D47" s="9">
        <v>2684</v>
      </c>
      <c r="E47" s="9">
        <v>2684</v>
      </c>
      <c r="F47" s="9">
        <v>2684</v>
      </c>
      <c r="G47" s="9">
        <v>2608</v>
      </c>
      <c r="H47" s="9">
        <v>2760</v>
      </c>
      <c r="I47" s="9">
        <v>2686</v>
      </c>
      <c r="J47" s="9">
        <v>2685</v>
      </c>
      <c r="K47" s="9">
        <v>2684</v>
      </c>
      <c r="L47" s="9">
        <v>2684</v>
      </c>
      <c r="M47" s="9">
        <v>2684</v>
      </c>
      <c r="N47" s="9">
        <v>2684</v>
      </c>
      <c r="O47" s="33">
        <f t="shared" si="3"/>
        <v>32211</v>
      </c>
      <c r="P47" s="37">
        <v>1.09E-3</v>
      </c>
      <c r="R47" s="42">
        <f>P47*O47</f>
        <v>35.109990000000003</v>
      </c>
    </row>
    <row r="48" spans="1:18">
      <c r="A48" s="22">
        <v>47</v>
      </c>
      <c r="B48" s="3" t="s">
        <v>44</v>
      </c>
      <c r="C48" s="34">
        <v>0</v>
      </c>
      <c r="D48" s="9">
        <v>420000</v>
      </c>
      <c r="E48" s="9">
        <v>0</v>
      </c>
      <c r="F48" s="9">
        <v>140000</v>
      </c>
      <c r="G48" s="9">
        <v>0</v>
      </c>
      <c r="H48" s="9">
        <v>140000</v>
      </c>
      <c r="I48" s="9">
        <v>140000</v>
      </c>
      <c r="J48" s="9">
        <v>140000</v>
      </c>
      <c r="K48" s="9">
        <v>140000</v>
      </c>
      <c r="L48" s="9">
        <v>140000</v>
      </c>
      <c r="M48" s="9">
        <v>140000</v>
      </c>
      <c r="N48" s="9">
        <v>140000</v>
      </c>
      <c r="O48" s="33">
        <f t="shared" si="3"/>
        <v>1540000</v>
      </c>
      <c r="P48" s="37">
        <v>8.3000000000000001E-4</v>
      </c>
      <c r="R48" s="42">
        <f>P48*O48</f>
        <v>1278.2</v>
      </c>
    </row>
    <row r="49" spans="1:18">
      <c r="A49" s="22" t="s">
        <v>13</v>
      </c>
      <c r="B49" s="3" t="s">
        <v>38</v>
      </c>
      <c r="C49" s="34"/>
      <c r="D49" s="9"/>
      <c r="E49" s="9"/>
      <c r="F49" s="9"/>
      <c r="G49" s="9"/>
      <c r="H49" s="9">
        <v>0</v>
      </c>
      <c r="I49" s="9"/>
      <c r="J49" s="9">
        <v>0</v>
      </c>
      <c r="K49" s="9"/>
      <c r="L49" s="9">
        <v>0</v>
      </c>
      <c r="M49" s="9"/>
      <c r="N49" s="9"/>
      <c r="O49" s="3">
        <v>0</v>
      </c>
    </row>
    <row r="50" spans="1:18">
      <c r="B50" s="3" t="s">
        <v>39</v>
      </c>
      <c r="C50" s="34"/>
      <c r="D50" s="9"/>
      <c r="E50" s="9"/>
      <c r="F50" s="9"/>
      <c r="G50" s="9"/>
      <c r="H50" s="9">
        <v>0</v>
      </c>
      <c r="I50" s="9"/>
      <c r="J50" s="9">
        <v>0</v>
      </c>
      <c r="K50" s="9"/>
      <c r="L50" s="9"/>
      <c r="M50" s="9"/>
      <c r="N50" s="9"/>
      <c r="O50" s="3">
        <v>0</v>
      </c>
    </row>
    <row r="51" spans="1:18">
      <c r="B51" s="3" t="s">
        <v>99</v>
      </c>
      <c r="C51" s="34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/>
      <c r="J51" s="9"/>
      <c r="K51" s="9"/>
      <c r="L51" s="9"/>
      <c r="M51" s="9"/>
      <c r="N51" s="9"/>
      <c r="O51" s="3">
        <v>0</v>
      </c>
    </row>
    <row r="52" spans="1:18">
      <c r="B52" s="3" t="s">
        <v>100</v>
      </c>
      <c r="C52" s="34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/>
      <c r="J52" s="9"/>
      <c r="K52" s="9"/>
      <c r="L52" s="9"/>
      <c r="M52" s="9"/>
      <c r="N52" s="9"/>
      <c r="O52" s="3">
        <v>0</v>
      </c>
    </row>
    <row r="53" spans="1:18">
      <c r="B53" s="3" t="s">
        <v>40</v>
      </c>
    </row>
    <row r="54" spans="1:18">
      <c r="C54" s="33">
        <f t="shared" ref="C54:O54" si="5">SUM(C36:C52)</f>
        <v>65322549</v>
      </c>
      <c r="D54" s="33">
        <f t="shared" si="5"/>
        <v>76970170</v>
      </c>
      <c r="E54" s="33">
        <f t="shared" si="5"/>
        <v>72711629</v>
      </c>
      <c r="F54" s="33">
        <f t="shared" si="5"/>
        <v>68267582</v>
      </c>
      <c r="G54" s="33">
        <f t="shared" si="5"/>
        <v>70025693</v>
      </c>
      <c r="H54" s="33">
        <f t="shared" si="5"/>
        <v>53705132</v>
      </c>
      <c r="I54" s="33">
        <f t="shared" si="5"/>
        <v>71077583</v>
      </c>
      <c r="J54" s="33">
        <f t="shared" si="5"/>
        <v>76683925</v>
      </c>
      <c r="K54" s="33">
        <f t="shared" si="5"/>
        <v>76734276</v>
      </c>
      <c r="L54" s="33">
        <f t="shared" si="5"/>
        <v>75997087</v>
      </c>
      <c r="M54" s="33">
        <f t="shared" si="5"/>
        <v>76275881</v>
      </c>
      <c r="N54" s="33">
        <f t="shared" si="5"/>
        <v>80289165</v>
      </c>
      <c r="O54" s="33">
        <f t="shared" si="5"/>
        <v>864060672</v>
      </c>
    </row>
    <row r="55" spans="1:18">
      <c r="B55" s="3" t="s">
        <v>45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41</v>
      </c>
    </row>
    <row r="57" spans="1:18">
      <c r="A57" s="22">
        <v>40</v>
      </c>
      <c r="B57" s="3" t="s">
        <v>46</v>
      </c>
      <c r="C57" s="31">
        <v>124730</v>
      </c>
      <c r="D57" s="32">
        <v>162249</v>
      </c>
      <c r="E57" s="32">
        <v>1299080</v>
      </c>
      <c r="F57" s="32">
        <v>7016538</v>
      </c>
      <c r="G57" s="32">
        <v>14528558</v>
      </c>
      <c r="H57" s="32">
        <v>22434860</v>
      </c>
      <c r="I57" s="32">
        <v>27592080</v>
      </c>
      <c r="J57" s="32">
        <v>27861032</v>
      </c>
      <c r="K57" s="32">
        <v>22999788</v>
      </c>
      <c r="L57" s="32">
        <v>15185882</v>
      </c>
      <c r="M57" s="32">
        <v>4628381</v>
      </c>
      <c r="N57" s="32">
        <v>95256</v>
      </c>
      <c r="O57" s="33">
        <f t="shared" ref="O57:O68" si="6">SUM(C57:N57)</f>
        <v>143928434</v>
      </c>
      <c r="P57" s="37">
        <v>1.1299999999999999E-3</v>
      </c>
      <c r="R57" s="42">
        <f>P57*O57</f>
        <v>162639.13042</v>
      </c>
    </row>
    <row r="58" spans="1:18">
      <c r="A58" s="22" t="s">
        <v>66</v>
      </c>
      <c r="B58" s="3" t="s">
        <v>47</v>
      </c>
      <c r="C58" s="34">
        <v>102459</v>
      </c>
      <c r="D58" s="9">
        <v>42286</v>
      </c>
      <c r="E58" s="9">
        <v>64181</v>
      </c>
      <c r="F58" s="9">
        <v>1216993</v>
      </c>
      <c r="G58" s="9">
        <v>2153761</v>
      </c>
      <c r="H58" s="9">
        <v>2795376</v>
      </c>
      <c r="I58" s="9">
        <v>3573149</v>
      </c>
      <c r="J58" s="9">
        <v>4095509</v>
      </c>
      <c r="K58" s="9">
        <v>3017180</v>
      </c>
      <c r="L58" s="9">
        <v>2319141</v>
      </c>
      <c r="M58" s="9">
        <v>828689</v>
      </c>
      <c r="N58" s="9">
        <v>45789</v>
      </c>
      <c r="O58" s="33">
        <f t="shared" si="6"/>
        <v>20254513</v>
      </c>
      <c r="P58" s="37">
        <v>1.1299999999999999E-3</v>
      </c>
      <c r="R58" s="42">
        <f>P58*O58</f>
        <v>22887.599689999999</v>
      </c>
    </row>
    <row r="59" spans="1:18">
      <c r="B59" s="3" t="s">
        <v>30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3">
        <f t="shared" si="6"/>
        <v>0</v>
      </c>
    </row>
    <row r="60" spans="1:18">
      <c r="B60" s="3" t="s">
        <v>31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3">
        <f t="shared" si="6"/>
        <v>0</v>
      </c>
    </row>
    <row r="61" spans="1:18">
      <c r="A61" s="22" t="s">
        <v>13</v>
      </c>
      <c r="B61" s="3" t="s">
        <v>32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3">
        <f t="shared" si="6"/>
        <v>0</v>
      </c>
    </row>
    <row r="62" spans="1:18">
      <c r="A62" s="22" t="s">
        <v>13</v>
      </c>
      <c r="B62" s="3" t="s">
        <v>33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3">
        <f t="shared" si="6"/>
        <v>0</v>
      </c>
    </row>
    <row r="63" spans="1:18">
      <c r="A63" s="22" t="s">
        <v>13</v>
      </c>
      <c r="B63" s="3" t="s">
        <v>34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3">
        <f t="shared" si="6"/>
        <v>0</v>
      </c>
    </row>
    <row r="64" spans="1:18">
      <c r="B64" s="23" t="s">
        <v>106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3">
        <f t="shared" si="6"/>
        <v>0</v>
      </c>
    </row>
    <row r="65" spans="1:18">
      <c r="B65" s="23" t="s">
        <v>107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3">
        <f t="shared" si="6"/>
        <v>0</v>
      </c>
    </row>
    <row r="66" spans="1:18">
      <c r="A66" s="22" t="s">
        <v>13</v>
      </c>
      <c r="B66" s="3" t="s">
        <v>38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3">
        <f t="shared" si="6"/>
        <v>0</v>
      </c>
    </row>
    <row r="67" spans="1:18">
      <c r="A67" s="22" t="s">
        <v>13</v>
      </c>
      <c r="B67" s="3" t="s">
        <v>39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3">
        <f t="shared" si="6"/>
        <v>0</v>
      </c>
    </row>
    <row r="68" spans="1:18">
      <c r="A68" s="22" t="s">
        <v>13</v>
      </c>
      <c r="B68" s="3" t="s">
        <v>48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3">
        <f t="shared" si="6"/>
        <v>0</v>
      </c>
    </row>
    <row r="69" spans="1:18">
      <c r="C69" s="33">
        <f>SUM(C57:C68)</f>
        <v>227189</v>
      </c>
      <c r="D69" s="33">
        <v>197601</v>
      </c>
      <c r="E69" s="33">
        <v>775917</v>
      </c>
      <c r="F69" s="33">
        <v>9268537</v>
      </c>
      <c r="G69" s="33">
        <f>SUM(C69:F69)</f>
        <v>10469244</v>
      </c>
      <c r="H69" s="33">
        <v>13670831</v>
      </c>
      <c r="I69" s="33">
        <v>27350041</v>
      </c>
      <c r="J69" s="33">
        <v>33739633</v>
      </c>
      <c r="K69" s="33">
        <v>28176106</v>
      </c>
      <c r="L69" s="33">
        <v>17440142</v>
      </c>
      <c r="M69" s="33">
        <v>6008504</v>
      </c>
      <c r="N69" s="33">
        <v>295653</v>
      </c>
      <c r="O69" s="33">
        <f>SUM(O57:O68)</f>
        <v>164182947</v>
      </c>
    </row>
    <row r="70" spans="1:18">
      <c r="B70" s="3" t="s">
        <v>49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41</v>
      </c>
    </row>
    <row r="72" spans="1:18">
      <c r="B72" s="3" t="s">
        <v>50</v>
      </c>
      <c r="C72" s="31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9">
        <f t="shared" ref="O72:O77" si="7">SUM(C72:N72)</f>
        <v>0</v>
      </c>
    </row>
    <row r="73" spans="1:18">
      <c r="A73" s="22">
        <v>52</v>
      </c>
      <c r="B73" s="3" t="s">
        <v>51</v>
      </c>
      <c r="C73" s="34">
        <v>39116</v>
      </c>
      <c r="D73" s="9">
        <v>39034</v>
      </c>
      <c r="E73" s="9">
        <v>37272</v>
      </c>
      <c r="F73" s="9">
        <v>37252</v>
      </c>
      <c r="G73" s="9">
        <v>37208</v>
      </c>
      <c r="H73" s="9">
        <v>37208</v>
      </c>
      <c r="I73" s="9">
        <v>37678</v>
      </c>
      <c r="J73" s="9">
        <v>37814</v>
      </c>
      <c r="K73" s="9">
        <v>37522</v>
      </c>
      <c r="L73" s="9">
        <v>37522</v>
      </c>
      <c r="M73" s="9">
        <v>37522</v>
      </c>
      <c r="N73" s="9">
        <v>37478</v>
      </c>
      <c r="O73" s="9">
        <f t="shared" si="7"/>
        <v>452626</v>
      </c>
      <c r="P73" s="37">
        <v>1.09E-3</v>
      </c>
      <c r="R73" s="42">
        <f>P73*O73</f>
        <v>493.36234000000002</v>
      </c>
    </row>
    <row r="74" spans="1:18">
      <c r="A74" s="22" t="s">
        <v>67</v>
      </c>
      <c r="B74" s="3" t="s">
        <v>52</v>
      </c>
      <c r="C74" s="34">
        <v>276471</v>
      </c>
      <c r="D74" s="9">
        <v>290547</v>
      </c>
      <c r="E74" s="9">
        <v>288752</v>
      </c>
      <c r="F74" s="9">
        <v>285340</v>
      </c>
      <c r="G74" s="9">
        <v>286822</v>
      </c>
      <c r="H74" s="9">
        <v>286785</v>
      </c>
      <c r="I74" s="9">
        <v>289392</v>
      </c>
      <c r="J74" s="9">
        <v>288158</v>
      </c>
      <c r="K74" s="9">
        <v>278871</v>
      </c>
      <c r="L74" s="9">
        <v>296043</v>
      </c>
      <c r="M74" s="9">
        <v>274250</v>
      </c>
      <c r="N74" s="9">
        <v>291719</v>
      </c>
      <c r="O74" s="9">
        <f t="shared" si="7"/>
        <v>3433150</v>
      </c>
      <c r="P74" s="37">
        <v>1.09E-3</v>
      </c>
      <c r="R74" s="42">
        <f>P74*O74</f>
        <v>3742.1334999999999</v>
      </c>
    </row>
    <row r="75" spans="1:18">
      <c r="A75" s="22" t="s">
        <v>68</v>
      </c>
      <c r="B75" s="3" t="s">
        <v>53</v>
      </c>
      <c r="C75" s="34">
        <v>107921</v>
      </c>
      <c r="D75" s="9">
        <v>113134</v>
      </c>
      <c r="E75" s="9">
        <v>93288</v>
      </c>
      <c r="F75" s="9">
        <v>78692</v>
      </c>
      <c r="G75" s="9">
        <v>73504</v>
      </c>
      <c r="H75" s="9">
        <v>67123</v>
      </c>
      <c r="I75" s="9">
        <v>59224</v>
      </c>
      <c r="J75" s="9">
        <v>66326</v>
      </c>
      <c r="K75" s="9">
        <v>68501</v>
      </c>
      <c r="L75" s="9">
        <v>91363</v>
      </c>
      <c r="M75" s="9">
        <v>83603</v>
      </c>
      <c r="N75" s="9">
        <v>115636</v>
      </c>
      <c r="O75" s="9">
        <f t="shared" si="7"/>
        <v>1018315</v>
      </c>
      <c r="P75" s="37">
        <v>1.09E-3</v>
      </c>
      <c r="R75" s="42">
        <f>P75*O75</f>
        <v>1109.96335</v>
      </c>
    </row>
    <row r="76" spans="1:18">
      <c r="A76" s="22">
        <v>51</v>
      </c>
      <c r="B76" s="3" t="s">
        <v>54</v>
      </c>
      <c r="C76" s="34">
        <v>261534</v>
      </c>
      <c r="D76" s="9">
        <v>236821</v>
      </c>
      <c r="E76" s="9">
        <v>217887</v>
      </c>
      <c r="F76" s="9">
        <v>244442</v>
      </c>
      <c r="G76" s="9">
        <v>270529</v>
      </c>
      <c r="H76" s="9">
        <v>244741</v>
      </c>
      <c r="I76" s="9">
        <v>245152</v>
      </c>
      <c r="J76" s="9">
        <v>248212</v>
      </c>
      <c r="K76" s="9">
        <v>221114</v>
      </c>
      <c r="L76" s="9">
        <v>247975</v>
      </c>
      <c r="M76" s="9">
        <v>246781</v>
      </c>
      <c r="N76" s="9">
        <v>248442</v>
      </c>
      <c r="O76" s="9">
        <f t="shared" si="7"/>
        <v>2933630</v>
      </c>
      <c r="P76" s="37">
        <v>1.09E-3</v>
      </c>
      <c r="R76" s="42">
        <f>P76*O76</f>
        <v>3197.6567</v>
      </c>
    </row>
    <row r="77" spans="1:18">
      <c r="A77" s="22">
        <v>57</v>
      </c>
      <c r="B77" s="3" t="s">
        <v>55</v>
      </c>
      <c r="C77" s="34">
        <v>177159</v>
      </c>
      <c r="D77" s="9">
        <v>174004</v>
      </c>
      <c r="E77" s="9">
        <v>171585</v>
      </c>
      <c r="F77" s="9">
        <v>171220</v>
      </c>
      <c r="G77" s="9">
        <v>172424</v>
      </c>
      <c r="H77" s="9">
        <v>170016</v>
      </c>
      <c r="I77" s="9">
        <v>173034</v>
      </c>
      <c r="J77" s="9">
        <v>170420</v>
      </c>
      <c r="K77" s="9">
        <v>168890</v>
      </c>
      <c r="L77" s="9">
        <v>170578</v>
      </c>
      <c r="M77" s="9">
        <v>169577</v>
      </c>
      <c r="N77" s="9">
        <v>170320</v>
      </c>
      <c r="O77" s="9">
        <f t="shared" si="7"/>
        <v>2059227</v>
      </c>
      <c r="P77" s="37">
        <v>1.09E-3</v>
      </c>
      <c r="R77" s="42">
        <f>P77*O77</f>
        <v>2244.5574300000003</v>
      </c>
    </row>
    <row r="78" spans="1:18">
      <c r="B78" s="3" t="s">
        <v>38</v>
      </c>
      <c r="C78" s="34"/>
      <c r="D78" s="9"/>
      <c r="E78" s="9"/>
      <c r="F78" s="9"/>
      <c r="G78" s="9"/>
      <c r="H78" s="9"/>
      <c r="I78" s="9"/>
      <c r="J78" s="9"/>
      <c r="K78" s="9"/>
      <c r="L78" s="9">
        <v>0</v>
      </c>
      <c r="M78" s="9"/>
      <c r="N78" s="9"/>
      <c r="O78" s="33"/>
      <c r="P78" s="37"/>
      <c r="R78" s="42"/>
    </row>
    <row r="79" spans="1:18">
      <c r="B79" s="3" t="s">
        <v>39</v>
      </c>
      <c r="C79" s="34"/>
      <c r="D79" s="9">
        <v>0</v>
      </c>
      <c r="E79" s="9"/>
      <c r="F79" s="9"/>
      <c r="G79" s="9"/>
      <c r="H79" s="9"/>
      <c r="I79" s="9"/>
      <c r="J79" s="9"/>
      <c r="K79" s="9"/>
      <c r="L79" s="9">
        <v>0</v>
      </c>
      <c r="M79" s="9"/>
      <c r="N79" s="9"/>
      <c r="O79" s="33"/>
      <c r="P79" s="37"/>
      <c r="R79" s="42"/>
    </row>
    <row r="80" spans="1:18">
      <c r="A80" s="22" t="s">
        <v>13</v>
      </c>
      <c r="B80" s="3" t="s">
        <v>40</v>
      </c>
      <c r="C80" s="34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</row>
    <row r="81" spans="1:18">
      <c r="A81" s="22" t="s">
        <v>13</v>
      </c>
      <c r="C81" s="33">
        <f t="shared" ref="C81:O81" si="8">SUM(C72:C80)</f>
        <v>862201</v>
      </c>
      <c r="D81" s="33">
        <f t="shared" si="8"/>
        <v>853540</v>
      </c>
      <c r="E81" s="33">
        <f t="shared" si="8"/>
        <v>808784</v>
      </c>
      <c r="F81" s="33">
        <f t="shared" si="8"/>
        <v>816946</v>
      </c>
      <c r="G81" s="33">
        <f t="shared" si="8"/>
        <v>840487</v>
      </c>
      <c r="H81" s="33">
        <f t="shared" si="8"/>
        <v>805873</v>
      </c>
      <c r="I81" s="33">
        <f t="shared" si="8"/>
        <v>804480</v>
      </c>
      <c r="J81" s="33">
        <f t="shared" si="8"/>
        <v>810930</v>
      </c>
      <c r="K81" s="33">
        <f t="shared" si="8"/>
        <v>774898</v>
      </c>
      <c r="L81" s="33">
        <f t="shared" si="8"/>
        <v>843481</v>
      </c>
      <c r="M81" s="33">
        <f t="shared" si="8"/>
        <v>811733</v>
      </c>
      <c r="N81" s="33">
        <f t="shared" si="8"/>
        <v>863595</v>
      </c>
      <c r="O81" s="33">
        <f t="shared" si="8"/>
        <v>9896948</v>
      </c>
    </row>
    <row r="82" spans="1:18">
      <c r="A82" s="22" t="s">
        <v>13</v>
      </c>
      <c r="B82" s="3" t="s">
        <v>56</v>
      </c>
    </row>
    <row r="83" spans="1:18">
      <c r="A83" s="22" t="s">
        <v>13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41</v>
      </c>
    </row>
    <row r="84" spans="1:18">
      <c r="B84" s="43" t="s">
        <v>108</v>
      </c>
      <c r="C84" s="31"/>
      <c r="D84" s="32"/>
      <c r="E84" s="32"/>
      <c r="F84" s="32"/>
      <c r="G84" s="32"/>
      <c r="H84" s="32"/>
      <c r="I84" s="32"/>
      <c r="J84" s="32">
        <v>0</v>
      </c>
      <c r="K84" s="32"/>
      <c r="L84" s="32"/>
      <c r="M84" s="32">
        <v>0</v>
      </c>
      <c r="N84" s="32"/>
      <c r="O84" s="9">
        <f t="shared" ref="O84:O95" si="9">SUM(C84:N84)</f>
        <v>0</v>
      </c>
    </row>
    <row r="85" spans="1:18">
      <c r="A85" s="22" t="s">
        <v>13</v>
      </c>
      <c r="B85" s="3" t="s">
        <v>33</v>
      </c>
      <c r="C85" s="34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f t="shared" si="9"/>
        <v>0</v>
      </c>
    </row>
    <row r="86" spans="1:18">
      <c r="A86" s="22" t="s">
        <v>69</v>
      </c>
      <c r="B86" s="3" t="s">
        <v>104</v>
      </c>
      <c r="C86" s="34">
        <v>96033</v>
      </c>
      <c r="D86" s="9">
        <v>102581</v>
      </c>
      <c r="E86" s="9">
        <v>98161</v>
      </c>
      <c r="F86" s="9">
        <v>96801</v>
      </c>
      <c r="G86" s="9">
        <v>101713</v>
      </c>
      <c r="H86" s="9">
        <v>97522</v>
      </c>
      <c r="I86" s="9">
        <v>98076</v>
      </c>
      <c r="J86" s="9">
        <v>97431</v>
      </c>
      <c r="K86" s="9">
        <v>94196</v>
      </c>
      <c r="L86" s="9">
        <v>97685</v>
      </c>
      <c r="M86" s="9">
        <v>96036</v>
      </c>
      <c r="N86" s="9">
        <v>96187</v>
      </c>
      <c r="O86" s="9">
        <f t="shared" si="9"/>
        <v>1172422</v>
      </c>
      <c r="P86" s="37">
        <v>1.09E-3</v>
      </c>
      <c r="R86" s="42">
        <f>P86*O86</f>
        <v>1277.9399800000001</v>
      </c>
    </row>
    <row r="87" spans="1:18">
      <c r="A87" s="22">
        <v>16</v>
      </c>
      <c r="B87" s="3" t="s">
        <v>57</v>
      </c>
      <c r="C87" s="34">
        <v>208728854</v>
      </c>
      <c r="D87" s="9">
        <v>192294557</v>
      </c>
      <c r="E87" s="9">
        <v>139201527</v>
      </c>
      <c r="F87" s="9">
        <v>110523128</v>
      </c>
      <c r="G87" s="9">
        <v>97501475</v>
      </c>
      <c r="H87" s="9">
        <v>94591910</v>
      </c>
      <c r="I87" s="9">
        <v>114063547</v>
      </c>
      <c r="J87" s="9">
        <v>121993355</v>
      </c>
      <c r="K87" s="9">
        <v>102349329</v>
      </c>
      <c r="L87" s="9">
        <v>93719602</v>
      </c>
      <c r="M87" s="9">
        <v>122711460</v>
      </c>
      <c r="N87" s="9">
        <v>181663338</v>
      </c>
      <c r="O87" s="9">
        <f t="shared" si="9"/>
        <v>1579342082</v>
      </c>
      <c r="P87" s="37">
        <v>1.2199999999999999E-3</v>
      </c>
      <c r="R87" s="42">
        <f>P87*O87</f>
        <v>1926797.3400399999</v>
      </c>
    </row>
    <row r="88" spans="1:18">
      <c r="A88" s="22">
        <v>17</v>
      </c>
      <c r="B88" s="3" t="s">
        <v>58</v>
      </c>
      <c r="C88" s="34">
        <v>6943483</v>
      </c>
      <c r="D88" s="9">
        <v>6819158</v>
      </c>
      <c r="E88" s="9">
        <v>5017558</v>
      </c>
      <c r="F88" s="9">
        <v>3565575</v>
      </c>
      <c r="G88" s="9">
        <v>2801635</v>
      </c>
      <c r="H88" s="9">
        <v>2210918</v>
      </c>
      <c r="I88" s="9">
        <v>2418611</v>
      </c>
      <c r="J88" s="9">
        <v>2445134</v>
      </c>
      <c r="K88" s="9">
        <v>1554422</v>
      </c>
      <c r="L88" s="9">
        <v>1767989</v>
      </c>
      <c r="M88" s="9">
        <v>3674873</v>
      </c>
      <c r="N88" s="9">
        <v>6622568</v>
      </c>
      <c r="O88" s="9">
        <f t="shared" si="9"/>
        <v>45841924</v>
      </c>
      <c r="P88" s="37">
        <v>1.2199999999999999E-3</v>
      </c>
      <c r="R88" s="42">
        <f>P88*O88</f>
        <v>55927.147279999997</v>
      </c>
    </row>
    <row r="89" spans="1:18">
      <c r="A89" s="22">
        <v>18</v>
      </c>
      <c r="B89" s="3" t="s">
        <v>59</v>
      </c>
      <c r="C89" s="34">
        <v>277527</v>
      </c>
      <c r="D89" s="9">
        <v>282459</v>
      </c>
      <c r="E89" s="9">
        <v>220886</v>
      </c>
      <c r="F89" s="9">
        <v>205763</v>
      </c>
      <c r="G89" s="9">
        <v>191937</v>
      </c>
      <c r="H89" s="9">
        <v>205945</v>
      </c>
      <c r="I89" s="9">
        <v>247950</v>
      </c>
      <c r="J89" s="9">
        <v>250179</v>
      </c>
      <c r="K89" s="9">
        <v>213978</v>
      </c>
      <c r="L89" s="9">
        <v>188874</v>
      </c>
      <c r="M89" s="9">
        <v>201556</v>
      </c>
      <c r="N89" s="9">
        <v>257499</v>
      </c>
      <c r="O89" s="9">
        <f t="shared" si="9"/>
        <v>2744553</v>
      </c>
      <c r="P89" s="37">
        <v>1.2199999999999999E-3</v>
      </c>
      <c r="R89" s="42">
        <f>P89*O89</f>
        <v>3348.35466</v>
      </c>
    </row>
    <row r="90" spans="1:18">
      <c r="A90" s="22" t="s">
        <v>70</v>
      </c>
      <c r="B90" s="3" t="s">
        <v>60</v>
      </c>
      <c r="C90" s="34">
        <v>79539</v>
      </c>
      <c r="D90" s="9">
        <v>71861</v>
      </c>
      <c r="E90" s="9">
        <v>65956</v>
      </c>
      <c r="F90" s="9">
        <v>53835</v>
      </c>
      <c r="G90" s="9">
        <v>58265</v>
      </c>
      <c r="H90" s="9">
        <v>42371</v>
      </c>
      <c r="I90" s="9">
        <v>68542</v>
      </c>
      <c r="J90" s="9">
        <v>68348</v>
      </c>
      <c r="K90" s="9">
        <v>54179</v>
      </c>
      <c r="L90" s="9">
        <v>40639</v>
      </c>
      <c r="M90" s="9">
        <v>47570</v>
      </c>
      <c r="N90" s="9">
        <v>58886</v>
      </c>
      <c r="O90" s="9">
        <f t="shared" si="9"/>
        <v>709991</v>
      </c>
      <c r="P90" s="37">
        <v>1.2199999999999999E-3</v>
      </c>
      <c r="R90" s="42">
        <f>P90*O90</f>
        <v>866.18901999999991</v>
      </c>
    </row>
    <row r="91" spans="1:18">
      <c r="B91" s="3" t="s">
        <v>38</v>
      </c>
      <c r="C91" s="34">
        <v>0</v>
      </c>
      <c r="D91" s="9">
        <v>0</v>
      </c>
      <c r="E91" s="9">
        <v>0</v>
      </c>
      <c r="F91" s="9"/>
      <c r="G91" s="9"/>
      <c r="H91" s="9"/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f t="shared" si="9"/>
        <v>0</v>
      </c>
    </row>
    <row r="92" spans="1:18">
      <c r="B92" s="3" t="s">
        <v>39</v>
      </c>
      <c r="C92" s="34"/>
      <c r="D92" s="9"/>
      <c r="E92" s="9">
        <v>0</v>
      </c>
      <c r="F92" s="9">
        <v>0</v>
      </c>
      <c r="G92" s="9"/>
      <c r="H92" s="9"/>
      <c r="I92" s="9"/>
      <c r="J92" s="9"/>
      <c r="K92" s="9">
        <v>0</v>
      </c>
      <c r="L92" s="9">
        <v>0</v>
      </c>
      <c r="M92" s="9"/>
      <c r="N92" s="9"/>
      <c r="O92" s="9">
        <f t="shared" si="9"/>
        <v>0</v>
      </c>
    </row>
    <row r="93" spans="1:18">
      <c r="B93" s="3" t="s">
        <v>96</v>
      </c>
      <c r="C93" s="34">
        <v>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9"/>
        <v>0</v>
      </c>
    </row>
    <row r="94" spans="1:18">
      <c r="B94" s="3" t="s">
        <v>99</v>
      </c>
      <c r="C94" s="34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/>
      <c r="J94" s="9"/>
      <c r="K94" s="9"/>
      <c r="L94" s="9"/>
      <c r="M94" s="9"/>
      <c r="N94" s="9"/>
      <c r="O94" s="9">
        <f t="shared" si="9"/>
        <v>0</v>
      </c>
    </row>
    <row r="95" spans="1:18">
      <c r="B95" s="3" t="s">
        <v>100</v>
      </c>
      <c r="C95" s="34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/>
      <c r="J95" s="9"/>
      <c r="K95" s="9"/>
      <c r="L95" s="9"/>
      <c r="M95" s="9"/>
      <c r="N95" s="9"/>
      <c r="O95" s="9">
        <f t="shared" si="9"/>
        <v>0</v>
      </c>
    </row>
    <row r="96" spans="1:18">
      <c r="B96" s="3" t="s">
        <v>40</v>
      </c>
    </row>
    <row r="97" spans="3:18">
      <c r="C97" s="33">
        <f t="shared" ref="C97:O97" si="10">SUM(C84:C95)</f>
        <v>216125436</v>
      </c>
      <c r="D97" s="33">
        <f t="shared" si="10"/>
        <v>199570616</v>
      </c>
      <c r="E97" s="33">
        <f t="shared" si="10"/>
        <v>144604088</v>
      </c>
      <c r="F97" s="33">
        <f t="shared" si="10"/>
        <v>114445102</v>
      </c>
      <c r="G97" s="33">
        <f t="shared" si="10"/>
        <v>100655025</v>
      </c>
      <c r="H97" s="33">
        <f t="shared" si="10"/>
        <v>97148666</v>
      </c>
      <c r="I97" s="33">
        <f t="shared" si="10"/>
        <v>116896726</v>
      </c>
      <c r="J97" s="33">
        <f t="shared" si="10"/>
        <v>124854447</v>
      </c>
      <c r="K97" s="33">
        <f t="shared" si="10"/>
        <v>104266104</v>
      </c>
      <c r="L97" s="33">
        <f t="shared" si="10"/>
        <v>95814789</v>
      </c>
      <c r="M97" s="33">
        <f t="shared" si="10"/>
        <v>126731495</v>
      </c>
      <c r="N97" s="33">
        <f t="shared" si="10"/>
        <v>188698478</v>
      </c>
      <c r="O97" s="33">
        <f t="shared" si="10"/>
        <v>1629810972</v>
      </c>
      <c r="R97" s="42">
        <f>SUM(R8:R96)</f>
        <v>4474033.4386200001</v>
      </c>
    </row>
    <row r="99" spans="3:18">
      <c r="O99" s="33">
        <f>O97+O81+O69+O54+O33</f>
        <v>4093241027</v>
      </c>
    </row>
  </sheetData>
  <phoneticPr fontId="2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transitionEvaluation="1" transitionEntry="1" codeName="Sheet20"/>
  <dimension ref="A1:AE1051"/>
  <sheetViews>
    <sheetView workbookViewId="0"/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33" bestFit="1" customWidth="1"/>
    <col min="16" max="16" width="12.75" style="33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109" t="s">
        <v>13</v>
      </c>
      <c r="B1" s="110"/>
      <c r="C1" s="110"/>
      <c r="D1" s="110"/>
      <c r="E1" s="111"/>
      <c r="F1" s="111"/>
      <c r="G1" s="110"/>
      <c r="H1" s="110"/>
      <c r="I1" s="111"/>
      <c r="J1" s="110"/>
      <c r="K1" s="110"/>
      <c r="M1" s="11"/>
      <c r="N1" s="11"/>
      <c r="O1" s="38"/>
      <c r="P1" s="38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31" ht="18">
      <c r="A2" s="870" t="s">
        <v>377</v>
      </c>
      <c r="B2" s="870"/>
      <c r="C2" s="870"/>
      <c r="D2" s="870"/>
      <c r="E2" s="870"/>
      <c r="F2" s="870"/>
      <c r="G2" s="870"/>
      <c r="H2" s="110"/>
      <c r="I2" s="111"/>
      <c r="J2" s="110"/>
      <c r="K2" s="110"/>
      <c r="M2" s="11"/>
      <c r="N2" s="11"/>
      <c r="O2" s="38"/>
      <c r="P2" s="38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31" ht="18">
      <c r="A3" s="870" t="s">
        <v>150</v>
      </c>
      <c r="B3" s="870"/>
      <c r="C3" s="870"/>
      <c r="D3" s="870"/>
      <c r="E3" s="870"/>
      <c r="F3" s="870"/>
      <c r="G3" s="870"/>
      <c r="H3" s="110"/>
      <c r="I3" s="111"/>
      <c r="J3" s="110"/>
      <c r="K3" s="110"/>
      <c r="M3" s="11"/>
      <c r="N3" s="11"/>
      <c r="O3" s="38"/>
      <c r="P3" s="38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31">
      <c r="A4" s="872" t="s">
        <v>410</v>
      </c>
      <c r="B4" s="872"/>
      <c r="C4" s="872"/>
      <c r="D4" s="872"/>
      <c r="E4" s="872"/>
      <c r="F4" s="872"/>
      <c r="G4" s="872"/>
      <c r="H4" s="113"/>
      <c r="I4" s="114"/>
      <c r="J4" s="113"/>
      <c r="K4" s="113"/>
      <c r="M4" s="11"/>
      <c r="N4" s="11"/>
      <c r="O4" s="38"/>
      <c r="P4" s="38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31">
      <c r="A5" s="873" t="s">
        <v>151</v>
      </c>
      <c r="B5" s="873"/>
      <c r="C5" s="873"/>
      <c r="D5" s="873"/>
      <c r="E5" s="873"/>
      <c r="F5" s="873"/>
      <c r="G5" s="873"/>
      <c r="H5" s="113"/>
      <c r="I5" s="114"/>
      <c r="J5" s="113"/>
      <c r="K5" s="113"/>
      <c r="M5" s="11"/>
      <c r="N5" s="11"/>
      <c r="O5" s="38"/>
      <c r="P5" s="38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31">
      <c r="A6" s="115"/>
      <c r="B6" s="113"/>
      <c r="C6" s="113"/>
      <c r="D6" s="113"/>
      <c r="E6" s="114"/>
      <c r="F6" s="114"/>
      <c r="G6" s="113"/>
      <c r="H6" s="113"/>
      <c r="I6" s="114"/>
      <c r="J6" s="113"/>
      <c r="K6" s="113"/>
      <c r="M6" s="11"/>
      <c r="N6" s="11"/>
      <c r="O6" s="38"/>
      <c r="P6" s="38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31">
      <c r="A7" s="115"/>
      <c r="B7" s="113"/>
      <c r="C7" s="113"/>
      <c r="D7" s="113"/>
      <c r="E7" s="114"/>
      <c r="F7" s="114"/>
      <c r="G7" s="113"/>
      <c r="H7" s="113"/>
      <c r="I7" s="114"/>
      <c r="J7" s="113"/>
      <c r="K7" s="113"/>
      <c r="M7" s="11"/>
      <c r="N7" s="11"/>
      <c r="O7" s="38"/>
      <c r="P7" s="38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31">
      <c r="A8" s="113"/>
      <c r="B8" s="113"/>
      <c r="C8" s="113"/>
      <c r="D8" s="113"/>
      <c r="E8" s="114"/>
      <c r="F8" s="114"/>
      <c r="G8" s="113"/>
      <c r="H8" s="113"/>
      <c r="I8" s="114"/>
      <c r="J8" s="113"/>
      <c r="K8" s="113"/>
      <c r="M8" s="11"/>
      <c r="N8" s="11"/>
      <c r="O8" s="38"/>
      <c r="P8" s="38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31">
      <c r="A9" s="116"/>
      <c r="B9" s="116"/>
      <c r="C9" s="117"/>
      <c r="D9" s="117"/>
      <c r="E9" s="118"/>
      <c r="F9" s="118"/>
      <c r="G9" s="119" t="s">
        <v>85</v>
      </c>
      <c r="H9" s="120"/>
      <c r="I9" s="118"/>
      <c r="J9" s="119"/>
      <c r="K9" s="119"/>
      <c r="M9" s="11"/>
      <c r="N9" s="11"/>
      <c r="O9" s="38"/>
      <c r="P9" s="38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31">
      <c r="A10" s="116"/>
      <c r="B10" s="116"/>
      <c r="C10" s="117" t="s">
        <v>152</v>
      </c>
      <c r="D10" s="117"/>
      <c r="E10" s="119" t="s">
        <v>175</v>
      </c>
      <c r="F10" s="118"/>
      <c r="G10" s="121" t="s">
        <v>153</v>
      </c>
      <c r="H10" s="120" t="s">
        <v>113</v>
      </c>
      <c r="I10" s="119" t="s">
        <v>120</v>
      </c>
      <c r="J10" s="117"/>
      <c r="K10" s="119" t="s">
        <v>120</v>
      </c>
      <c r="M10" s="11"/>
      <c r="N10" s="11"/>
      <c r="O10" s="38"/>
      <c r="P10" s="38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31">
      <c r="A11" s="116"/>
      <c r="B11" s="116"/>
      <c r="C11" s="122" t="s">
        <v>119</v>
      </c>
      <c r="D11" s="117" t="s">
        <v>152</v>
      </c>
      <c r="E11" s="123" t="s">
        <v>4</v>
      </c>
      <c r="F11" s="124"/>
      <c r="G11" s="123" t="s">
        <v>119</v>
      </c>
      <c r="H11" s="119" t="s">
        <v>153</v>
      </c>
      <c r="I11" s="123" t="s">
        <v>4</v>
      </c>
      <c r="J11" s="123"/>
      <c r="K11" s="123" t="s">
        <v>153</v>
      </c>
      <c r="M11" s="121"/>
      <c r="N11" s="11"/>
      <c r="O11" s="38"/>
      <c r="P11" s="38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31">
      <c r="A12" s="125" t="s">
        <v>155</v>
      </c>
      <c r="G12" s="126"/>
      <c r="H12" s="126"/>
      <c r="M12" s="11"/>
      <c r="N12" s="11"/>
      <c r="O12" s="38"/>
      <c r="P12" s="38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31">
      <c r="A13" s="3" t="s">
        <v>156</v>
      </c>
      <c r="G13" s="126"/>
      <c r="H13" s="126"/>
      <c r="M13" s="11"/>
      <c r="N13" s="11"/>
      <c r="O13" s="38"/>
      <c r="P13" s="38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31">
      <c r="G14" s="126"/>
      <c r="H14" s="126"/>
      <c r="M14" s="11"/>
      <c r="N14" s="11"/>
      <c r="O14" s="38"/>
      <c r="P14" s="38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31">
      <c r="A15" s="3" t="s">
        <v>157</v>
      </c>
      <c r="G15" s="126"/>
      <c r="H15" s="126"/>
      <c r="M15" s="11"/>
      <c r="N15" s="11"/>
      <c r="O15" s="38"/>
      <c r="P15" s="38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31">
      <c r="A16" s="3" t="s">
        <v>158</v>
      </c>
      <c r="C16" s="127">
        <f t="shared" ref="C16:D18" si="0">C33+C50+C67</f>
        <v>29903</v>
      </c>
      <c r="D16" s="127">
        <f t="shared" si="0"/>
        <v>31243</v>
      </c>
      <c r="E16" s="128">
        <v>9.6</v>
      </c>
      <c r="G16" s="2">
        <f t="shared" ref="G16:H18" si="1">G33+G50+G67</f>
        <v>287069</v>
      </c>
      <c r="H16" s="2">
        <f t="shared" si="1"/>
        <v>299933</v>
      </c>
      <c r="I16" s="128" t="e">
        <f>E16+E16*$P$27</f>
        <v>#REF!</v>
      </c>
      <c r="K16" s="2" t="e">
        <f>K33+K50+K67</f>
        <v>#REF!</v>
      </c>
      <c r="M16" s="42" t="e">
        <f>I16*D16</f>
        <v>#REF!</v>
      </c>
      <c r="O16" s="48"/>
      <c r="P16" s="129"/>
      <c r="Q16" s="129"/>
      <c r="R16" s="130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42"/>
    </row>
    <row r="17" spans="1:31">
      <c r="A17" s="3" t="s">
        <v>159</v>
      </c>
      <c r="C17" s="127">
        <f t="shared" si="0"/>
        <v>4807</v>
      </c>
      <c r="D17" s="127">
        <f t="shared" si="0"/>
        <v>5092</v>
      </c>
      <c r="E17" s="128">
        <v>18.28</v>
      </c>
      <c r="G17" s="2">
        <f t="shared" si="1"/>
        <v>87872</v>
      </c>
      <c r="H17" s="2">
        <f t="shared" si="1"/>
        <v>93082</v>
      </c>
      <c r="I17" s="128" t="e">
        <f>E17+E17*$P$27</f>
        <v>#REF!</v>
      </c>
      <c r="K17" s="2" t="e">
        <f>K34+K51+K68</f>
        <v>#REF!</v>
      </c>
      <c r="M17" s="42" t="e">
        <f>I17*D17</f>
        <v>#REF!</v>
      </c>
      <c r="O17" s="48"/>
      <c r="P17" s="129"/>
      <c r="Q17" s="129"/>
      <c r="R17" s="130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42"/>
    </row>
    <row r="18" spans="1:31">
      <c r="A18" s="3" t="s">
        <v>160</v>
      </c>
      <c r="C18" s="127">
        <f t="shared" si="0"/>
        <v>659</v>
      </c>
      <c r="D18" s="127">
        <f t="shared" si="0"/>
        <v>700</v>
      </c>
      <c r="E18" s="128">
        <v>37.82</v>
      </c>
      <c r="G18" s="2">
        <f t="shared" si="1"/>
        <v>24923</v>
      </c>
      <c r="H18" s="2">
        <f t="shared" si="1"/>
        <v>26474</v>
      </c>
      <c r="I18" s="128" t="e">
        <f>E18+E18*$P$27</f>
        <v>#REF!</v>
      </c>
      <c r="K18" s="2" t="e">
        <f>K35+K52+K69</f>
        <v>#REF!</v>
      </c>
      <c r="M18" s="42" t="e">
        <f>I18*D18</f>
        <v>#REF!</v>
      </c>
      <c r="O18" s="48"/>
      <c r="P18" s="129"/>
      <c r="Q18" s="129"/>
      <c r="R18" s="130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42"/>
    </row>
    <row r="19" spans="1:31">
      <c r="A19" s="3" t="s">
        <v>161</v>
      </c>
      <c r="C19" s="127"/>
      <c r="D19" s="127"/>
      <c r="E19" s="128"/>
      <c r="G19" s="2"/>
      <c r="H19" s="2"/>
      <c r="I19" s="479"/>
      <c r="K19" s="2"/>
      <c r="M19" s="42"/>
      <c r="O19" s="3"/>
      <c r="P19" s="129"/>
      <c r="Q19" s="129"/>
      <c r="R19" s="13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42"/>
    </row>
    <row r="20" spans="1:31">
      <c r="A20" s="3" t="s">
        <v>162</v>
      </c>
      <c r="C20" s="127">
        <f t="shared" ref="C20:D25" si="2">C37+C54+C71</f>
        <v>2083</v>
      </c>
      <c r="D20" s="127">
        <f t="shared" si="2"/>
        <v>2178</v>
      </c>
      <c r="E20" s="128">
        <v>10.92</v>
      </c>
      <c r="G20" s="2">
        <f t="shared" ref="G20:H23" si="3">G37+G54+G71</f>
        <v>22746</v>
      </c>
      <c r="H20" s="2">
        <f t="shared" si="3"/>
        <v>23783</v>
      </c>
      <c r="I20" s="128" t="e">
        <f>E20+E20*$P$27</f>
        <v>#REF!</v>
      </c>
      <c r="K20" s="2" t="e">
        <f>K37+K54+K71</f>
        <v>#REF!</v>
      </c>
      <c r="M20" s="42" t="e">
        <f>I20*D20</f>
        <v>#REF!</v>
      </c>
      <c r="O20" s="48"/>
      <c r="P20" s="129"/>
      <c r="Q20" s="129"/>
      <c r="R20" s="130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E20" s="42"/>
    </row>
    <row r="21" spans="1:31">
      <c r="A21" s="3" t="s">
        <v>163</v>
      </c>
      <c r="C21" s="127">
        <f t="shared" si="2"/>
        <v>1818</v>
      </c>
      <c r="D21" s="127">
        <f t="shared" si="2"/>
        <v>1921</v>
      </c>
      <c r="E21" s="128">
        <v>16.04</v>
      </c>
      <c r="G21" s="2">
        <f t="shared" si="3"/>
        <v>29160</v>
      </c>
      <c r="H21" s="2">
        <f t="shared" si="3"/>
        <v>30813</v>
      </c>
      <c r="I21" s="128" t="e">
        <f>E21+E21*$P$27</f>
        <v>#REF!</v>
      </c>
      <c r="K21" s="2" t="e">
        <f>K38+K55+K72</f>
        <v>#REF!</v>
      </c>
      <c r="M21" s="42" t="e">
        <f>I21*D21</f>
        <v>#REF!</v>
      </c>
      <c r="O21" s="48"/>
      <c r="P21" s="129"/>
      <c r="Q21" s="129"/>
      <c r="R21" s="130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E21" s="42"/>
    </row>
    <row r="22" spans="1:31">
      <c r="A22" s="3" t="s">
        <v>164</v>
      </c>
      <c r="C22" s="127">
        <f t="shared" si="2"/>
        <v>480</v>
      </c>
      <c r="D22" s="127">
        <f t="shared" si="2"/>
        <v>509</v>
      </c>
      <c r="E22" s="128">
        <v>25.88</v>
      </c>
      <c r="G22" s="2">
        <f t="shared" si="3"/>
        <v>12423</v>
      </c>
      <c r="H22" s="2">
        <f t="shared" si="3"/>
        <v>13173</v>
      </c>
      <c r="I22" s="128" t="e">
        <f>E22+E22*$P$27</f>
        <v>#REF!</v>
      </c>
      <c r="K22" s="2" t="e">
        <f>K39+K56+K73</f>
        <v>#REF!</v>
      </c>
      <c r="M22" s="42" t="e">
        <f>I22*D22</f>
        <v>#REF!</v>
      </c>
      <c r="O22" s="48"/>
      <c r="P22" s="129"/>
      <c r="Q22" s="129"/>
      <c r="R22" s="130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E22" s="42"/>
    </row>
    <row r="23" spans="1:31">
      <c r="A23" s="3" t="s">
        <v>165</v>
      </c>
      <c r="C23" s="127">
        <f t="shared" si="2"/>
        <v>623</v>
      </c>
      <c r="D23" s="127">
        <f t="shared" si="2"/>
        <v>658</v>
      </c>
      <c r="E23" s="132">
        <v>1</v>
      </c>
      <c r="F23" s="11"/>
      <c r="G23" s="2">
        <f t="shared" si="3"/>
        <v>623</v>
      </c>
      <c r="H23" s="2">
        <f t="shared" si="3"/>
        <v>658</v>
      </c>
      <c r="I23" s="128">
        <f>'Blocking - detail'!I23</f>
        <v>1</v>
      </c>
      <c r="J23" s="11"/>
      <c r="K23" s="2">
        <f>K40+K57+K74</f>
        <v>623</v>
      </c>
      <c r="M23" s="42">
        <f>I23*D23</f>
        <v>658</v>
      </c>
      <c r="O23" s="48"/>
      <c r="P23" s="3"/>
      <c r="Q23" s="129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E23" s="42"/>
    </row>
    <row r="24" spans="1:31">
      <c r="A24" s="3" t="s">
        <v>166</v>
      </c>
      <c r="C24" s="127">
        <f t="shared" si="2"/>
        <v>33244</v>
      </c>
      <c r="D24" s="127">
        <f t="shared" si="2"/>
        <v>2797.0833333333335</v>
      </c>
      <c r="E24" s="128"/>
      <c r="G24" s="2"/>
      <c r="H24" s="2"/>
      <c r="I24" s="128"/>
      <c r="K24" s="2"/>
      <c r="M24" s="42"/>
      <c r="O24" s="42"/>
      <c r="P24" s="3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E24" s="42"/>
    </row>
    <row r="25" spans="1:31">
      <c r="A25" s="3" t="s">
        <v>15</v>
      </c>
      <c r="C25" s="127">
        <f t="shared" si="2"/>
        <v>3613896</v>
      </c>
      <c r="D25" s="127">
        <f t="shared" si="2"/>
        <v>3794904.7279999279</v>
      </c>
      <c r="E25" s="132"/>
      <c r="F25" s="11"/>
      <c r="G25" s="2">
        <f>G42+G59+G76</f>
        <v>464816</v>
      </c>
      <c r="H25" s="2">
        <f>H42+H59+H76</f>
        <v>487916</v>
      </c>
      <c r="I25" s="132"/>
      <c r="J25" s="11"/>
      <c r="K25" s="133" t="e">
        <f>K42+K59+K76</f>
        <v>#REF!</v>
      </c>
      <c r="M25" s="42" t="e">
        <f>SUM(M16:M24)</f>
        <v>#REF!</v>
      </c>
      <c r="O25" s="134"/>
      <c r="P25" s="3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E25" s="42"/>
    </row>
    <row r="26" spans="1:31">
      <c r="A26" s="3" t="s">
        <v>167</v>
      </c>
      <c r="C26" s="127" t="e">
        <f>C43+C60+C77</f>
        <v>#REF!</v>
      </c>
      <c r="D26" s="127">
        <v>0</v>
      </c>
      <c r="E26" s="132"/>
      <c r="F26" s="11"/>
      <c r="G26" s="135" t="e">
        <f>G43+G60+G77</f>
        <v>#REF!</v>
      </c>
      <c r="H26" s="135">
        <v>0</v>
      </c>
      <c r="I26" s="132"/>
      <c r="J26" s="11"/>
      <c r="K26" s="135" t="e">
        <f>G26</f>
        <v>#REF!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E26" s="42"/>
    </row>
    <row r="27" spans="1:31" ht="16.5" thickBot="1">
      <c r="A27" s="3" t="s">
        <v>1</v>
      </c>
      <c r="C27" s="136" t="e">
        <f>C25+C26</f>
        <v>#REF!</v>
      </c>
      <c r="D27" s="136">
        <f>D25+D26</f>
        <v>3794904.7279999279</v>
      </c>
      <c r="E27" s="137"/>
      <c r="F27" s="137"/>
      <c r="G27" s="137" t="e">
        <f>G25+G26</f>
        <v>#REF!</v>
      </c>
      <c r="H27" s="137">
        <f>H25+H26</f>
        <v>487916</v>
      </c>
      <c r="I27" s="137"/>
      <c r="J27" s="137"/>
      <c r="K27" s="137" t="e">
        <f>K25+K26</f>
        <v>#REF!</v>
      </c>
      <c r="N27" s="3" t="s">
        <v>168</v>
      </c>
      <c r="O27" s="33" t="e">
        <f>#REF!*1000</f>
        <v>#REF!</v>
      </c>
      <c r="P27" s="8" t="e">
        <f>(O27-G27)/G27</f>
        <v>#REF!</v>
      </c>
      <c r="Q27" s="8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42"/>
    </row>
    <row r="28" spans="1:31" ht="16.5" thickTop="1">
      <c r="C28" s="138"/>
      <c r="D28" s="138"/>
      <c r="E28" s="138"/>
      <c r="F28" s="138"/>
      <c r="G28" s="126"/>
      <c r="H28" s="126"/>
      <c r="I28" s="1" t="s">
        <v>13</v>
      </c>
      <c r="J28" s="138"/>
      <c r="K28" s="2" t="s">
        <v>13</v>
      </c>
      <c r="N28" s="3" t="s">
        <v>114</v>
      </c>
      <c r="O28" s="33" t="e">
        <f>O27-K27</f>
        <v>#REF!</v>
      </c>
      <c r="P28" s="8" t="e">
        <f>(O27-K27)/K27</f>
        <v>#REF!</v>
      </c>
      <c r="Q28" s="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42"/>
    </row>
    <row r="29" spans="1:31">
      <c r="A29" s="125" t="s">
        <v>155</v>
      </c>
      <c r="G29" s="126"/>
      <c r="H29" s="126"/>
      <c r="O29" s="139" t="s">
        <v>13</v>
      </c>
      <c r="P29" s="3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E29" s="42"/>
    </row>
    <row r="30" spans="1:31">
      <c r="A30" s="3" t="s">
        <v>169</v>
      </c>
      <c r="G30" s="126"/>
      <c r="H30" s="126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1"/>
      <c r="Z30" s="11"/>
      <c r="AA30" s="11"/>
      <c r="AB30" s="11"/>
      <c r="AC30" s="11"/>
      <c r="AE30" s="42"/>
    </row>
    <row r="31" spans="1:31">
      <c r="E31" s="127"/>
      <c r="G31" s="126"/>
      <c r="H31" s="126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1"/>
      <c r="Z31" s="11"/>
      <c r="AA31" s="11"/>
      <c r="AB31" s="11"/>
      <c r="AC31" s="11"/>
      <c r="AE31" s="42"/>
    </row>
    <row r="32" spans="1:31">
      <c r="A32" s="3" t="s">
        <v>157</v>
      </c>
      <c r="G32" s="126"/>
      <c r="H32" s="126"/>
      <c r="M32" s="141"/>
      <c r="N32" s="141"/>
      <c r="O32" s="141"/>
      <c r="P32" s="38"/>
      <c r="Q32" s="142"/>
      <c r="R32" s="143"/>
      <c r="S32" s="144"/>
      <c r="T32" s="145"/>
      <c r="U32" s="141"/>
      <c r="V32" s="141"/>
      <c r="W32" s="141"/>
      <c r="X32" s="141"/>
      <c r="Y32" s="11"/>
      <c r="Z32" s="11"/>
      <c r="AA32" s="11"/>
      <c r="AB32" s="11"/>
      <c r="AC32" s="11"/>
      <c r="AE32" s="42"/>
    </row>
    <row r="33" spans="1:31">
      <c r="A33" s="3" t="s">
        <v>158</v>
      </c>
      <c r="C33" s="127">
        <f>13866+112</f>
        <v>13978</v>
      </c>
      <c r="D33" s="127">
        <f>ROUND(C33*($D$42/$C$42),0)</f>
        <v>14355</v>
      </c>
      <c r="E33" s="128">
        <f>$E$16</f>
        <v>9.6</v>
      </c>
      <c r="G33" s="2">
        <f>ROUND(E33*$C33,0)</f>
        <v>134189</v>
      </c>
      <c r="H33" s="2">
        <f>ROUND(E33*$D33,0)</f>
        <v>137808</v>
      </c>
      <c r="I33" s="128" t="e">
        <f>$I$16</f>
        <v>#REF!</v>
      </c>
      <c r="K33" s="2" t="e">
        <f>ROUND(I33*$C33,0)</f>
        <v>#REF!</v>
      </c>
      <c r="M33" s="11"/>
      <c r="N33" s="11"/>
      <c r="O33" s="144"/>
      <c r="P33" s="38"/>
      <c r="Q33" s="141"/>
      <c r="R33" s="146"/>
      <c r="S33" s="147"/>
      <c r="T33" s="141"/>
      <c r="U33" s="144"/>
      <c r="V33" s="144"/>
      <c r="W33" s="148"/>
      <c r="X33" s="144"/>
      <c r="Y33" s="11"/>
      <c r="Z33" s="11"/>
      <c r="AA33" s="11"/>
      <c r="AB33" s="11"/>
      <c r="AC33" s="11"/>
      <c r="AE33" s="42"/>
    </row>
    <row r="34" spans="1:31">
      <c r="A34" s="3" t="s">
        <v>159</v>
      </c>
      <c r="C34" s="127">
        <f>264+13</f>
        <v>277</v>
      </c>
      <c r="D34" s="127">
        <f>ROUND(C34*($D$42/$C$42),0)</f>
        <v>284</v>
      </c>
      <c r="E34" s="128">
        <f>$E$17</f>
        <v>18.28</v>
      </c>
      <c r="G34" s="2">
        <f>ROUND(E34*$C34,0)</f>
        <v>5064</v>
      </c>
      <c r="H34" s="2">
        <f>ROUND(E34*$D34,0)</f>
        <v>5192</v>
      </c>
      <c r="I34" s="128" t="e">
        <f>$I$17</f>
        <v>#REF!</v>
      </c>
      <c r="K34" s="2" t="e">
        <f>ROUND(I34*$C34,0)</f>
        <v>#REF!</v>
      </c>
      <c r="M34" s="11"/>
      <c r="N34" s="11"/>
      <c r="O34" s="144"/>
      <c r="P34" s="38"/>
      <c r="Q34" s="11"/>
      <c r="R34" s="150"/>
      <c r="S34" s="141"/>
      <c r="T34" s="141"/>
      <c r="U34" s="144"/>
      <c r="V34" s="144"/>
      <c r="W34" s="148"/>
      <c r="X34" s="144"/>
      <c r="Y34" s="11"/>
      <c r="Z34" s="11"/>
      <c r="AA34" s="11"/>
      <c r="AB34" s="11"/>
      <c r="AC34" s="11"/>
      <c r="AE34" s="42"/>
    </row>
    <row r="35" spans="1:31">
      <c r="A35" s="3" t="s">
        <v>160</v>
      </c>
      <c r="C35" s="127">
        <v>0</v>
      </c>
      <c r="D35" s="127">
        <f>ROUND(C35*($D$42/$C$42),0)</f>
        <v>0</v>
      </c>
      <c r="E35" s="128">
        <f>$E$18</f>
        <v>37.82</v>
      </c>
      <c r="G35" s="2">
        <f>ROUND(E35*$C35,0)</f>
        <v>0</v>
      </c>
      <c r="H35" s="2">
        <f>ROUND(E35*$D35,0)</f>
        <v>0</v>
      </c>
      <c r="I35" s="128" t="e">
        <f>$I$18</f>
        <v>#REF!</v>
      </c>
      <c r="K35" s="2" t="e">
        <f>ROUND(I35*$C35,0)</f>
        <v>#REF!</v>
      </c>
      <c r="M35" s="11"/>
      <c r="N35" s="11"/>
      <c r="O35" s="144"/>
      <c r="P35" s="38"/>
      <c r="Q35" s="11"/>
      <c r="R35" s="150"/>
      <c r="S35" s="141"/>
      <c r="T35" s="141"/>
      <c r="U35" s="144"/>
      <c r="V35" s="144"/>
      <c r="W35" s="148"/>
      <c r="X35" s="144"/>
      <c r="Y35" s="11"/>
      <c r="Z35" s="11"/>
      <c r="AA35" s="11"/>
      <c r="AB35" s="11"/>
      <c r="AC35" s="11"/>
      <c r="AE35" s="42"/>
    </row>
    <row r="36" spans="1:31">
      <c r="A36" s="3" t="s">
        <v>161</v>
      </c>
      <c r="C36" s="127"/>
      <c r="D36" s="127"/>
      <c r="E36" s="128"/>
      <c r="G36" s="2"/>
      <c r="H36" s="2"/>
      <c r="I36" s="128"/>
      <c r="K36" s="2"/>
      <c r="M36" s="11"/>
      <c r="N36" s="11"/>
      <c r="O36" s="144"/>
      <c r="P36" s="38"/>
      <c r="Q36" s="11"/>
      <c r="R36" s="150"/>
      <c r="S36" s="141"/>
      <c r="T36" s="141"/>
      <c r="U36" s="144"/>
      <c r="V36" s="144"/>
      <c r="W36" s="148"/>
      <c r="X36" s="144"/>
      <c r="Y36" s="11"/>
      <c r="Z36" s="11"/>
      <c r="AA36" s="11"/>
      <c r="AB36" s="11"/>
      <c r="AC36" s="11"/>
      <c r="AE36" s="42"/>
    </row>
    <row r="37" spans="1:31">
      <c r="A37" s="3" t="s">
        <v>162</v>
      </c>
      <c r="C37" s="127">
        <f>921</f>
        <v>921</v>
      </c>
      <c r="D37" s="127">
        <f>ROUND(C37*($D$42/$C$42),0)</f>
        <v>946</v>
      </c>
      <c r="E37" s="128">
        <f>$E$20</f>
        <v>10.92</v>
      </c>
      <c r="G37" s="2">
        <f>ROUND(E37*$C37,0)</f>
        <v>10057</v>
      </c>
      <c r="H37" s="2">
        <f>ROUND(E37*$D37,0)</f>
        <v>10330</v>
      </c>
      <c r="I37" s="128" t="e">
        <f>$I$20</f>
        <v>#REF!</v>
      </c>
      <c r="K37" s="2" t="e">
        <f>ROUND(I37*$C37,0)</f>
        <v>#REF!</v>
      </c>
      <c r="M37" s="11"/>
      <c r="N37" s="11"/>
      <c r="O37" s="144"/>
      <c r="P37" s="38"/>
      <c r="Q37" s="11"/>
      <c r="R37" s="150"/>
      <c r="S37" s="141"/>
      <c r="T37" s="141"/>
      <c r="U37" s="144"/>
      <c r="V37" s="144"/>
      <c r="W37" s="148"/>
      <c r="X37" s="144"/>
      <c r="Y37" s="11"/>
      <c r="Z37" s="11"/>
      <c r="AA37" s="11"/>
      <c r="AB37" s="11"/>
      <c r="AC37" s="11"/>
      <c r="AE37" s="42"/>
    </row>
    <row r="38" spans="1:31">
      <c r="A38" s="3" t="s">
        <v>163</v>
      </c>
      <c r="C38" s="127">
        <f>228</f>
        <v>228</v>
      </c>
      <c r="D38" s="127">
        <f>ROUND(C38*($D$42/$C$42),0)</f>
        <v>234</v>
      </c>
      <c r="E38" s="128">
        <f>$E$21</f>
        <v>16.04</v>
      </c>
      <c r="G38" s="2">
        <f>ROUND(E38*$C38,0)</f>
        <v>3657</v>
      </c>
      <c r="H38" s="2">
        <f>ROUND(E38*$D38,0)</f>
        <v>3753</v>
      </c>
      <c r="I38" s="128" t="e">
        <f>$I$21</f>
        <v>#REF!</v>
      </c>
      <c r="K38" s="2" t="e">
        <f>ROUND(I38*$C38,0)</f>
        <v>#REF!</v>
      </c>
      <c r="M38" s="11"/>
      <c r="N38" s="11"/>
      <c r="O38" s="144"/>
      <c r="P38" s="38"/>
      <c r="Q38" s="11"/>
      <c r="R38" s="150"/>
      <c r="S38" s="141"/>
      <c r="T38" s="141"/>
      <c r="U38" s="144"/>
      <c r="V38" s="144"/>
      <c r="W38" s="148"/>
      <c r="X38" s="144"/>
      <c r="Y38" s="11"/>
      <c r="Z38" s="11"/>
      <c r="AA38" s="11"/>
      <c r="AB38" s="11"/>
      <c r="AC38" s="11"/>
      <c r="AE38" s="42"/>
    </row>
    <row r="39" spans="1:31">
      <c r="A39" s="3" t="s">
        <v>164</v>
      </c>
      <c r="C39" s="127">
        <f>12</f>
        <v>12</v>
      </c>
      <c r="D39" s="127">
        <f>ROUND(C39*($D$42/$C$42),0)</f>
        <v>12</v>
      </c>
      <c r="E39" s="128">
        <f>$E$22</f>
        <v>25.88</v>
      </c>
      <c r="G39" s="2">
        <f>ROUND(E39*$C39,0)</f>
        <v>311</v>
      </c>
      <c r="H39" s="2">
        <f>ROUND(E39*$D39,0)</f>
        <v>311</v>
      </c>
      <c r="I39" s="128" t="e">
        <f>$I$22</f>
        <v>#REF!</v>
      </c>
      <c r="K39" s="2" t="e">
        <f>ROUND(I39*$C39,0)</f>
        <v>#REF!</v>
      </c>
      <c r="M39" s="11"/>
      <c r="N39" s="11"/>
      <c r="O39" s="144"/>
      <c r="P39" s="38"/>
      <c r="Q39" s="11"/>
      <c r="R39" s="150"/>
      <c r="S39" s="141"/>
      <c r="T39" s="141"/>
      <c r="U39" s="144"/>
      <c r="V39" s="144"/>
      <c r="W39" s="148"/>
      <c r="X39" s="144"/>
      <c r="Y39" s="11"/>
      <c r="Z39" s="11"/>
      <c r="AA39" s="11"/>
      <c r="AB39" s="11"/>
      <c r="AC39" s="11"/>
      <c r="AE39" s="42"/>
    </row>
    <row r="40" spans="1:31">
      <c r="A40" s="3" t="s">
        <v>165</v>
      </c>
      <c r="C40" s="127">
        <f>112+13</f>
        <v>125</v>
      </c>
      <c r="D40" s="127">
        <f>ROUND(C40*($D$42/$C$42),0)</f>
        <v>128</v>
      </c>
      <c r="E40" s="128">
        <f>$E$23</f>
        <v>1</v>
      </c>
      <c r="F40" s="11"/>
      <c r="G40" s="135">
        <f>ROUND(E40*$C40,0)</f>
        <v>125</v>
      </c>
      <c r="H40" s="135">
        <f>ROUND(E40*$D40,0)</f>
        <v>128</v>
      </c>
      <c r="I40" s="132">
        <f>$I$23</f>
        <v>1</v>
      </c>
      <c r="J40" s="11"/>
      <c r="K40" s="135">
        <f>ROUND(I40*$C40,0)</f>
        <v>125</v>
      </c>
      <c r="M40" s="141"/>
      <c r="N40" s="141"/>
      <c r="O40" s="144"/>
      <c r="P40" s="38"/>
      <c r="Q40" s="11"/>
      <c r="R40" s="141"/>
      <c r="S40" s="141"/>
      <c r="T40" s="141"/>
      <c r="U40" s="144"/>
      <c r="V40" s="144"/>
      <c r="W40" s="144"/>
      <c r="X40" s="144"/>
      <c r="Y40" s="11"/>
      <c r="Z40" s="11"/>
      <c r="AA40" s="11"/>
      <c r="AB40" s="11"/>
      <c r="AC40" s="11"/>
      <c r="AE40" s="42"/>
    </row>
    <row r="41" spans="1:31">
      <c r="A41" s="3" t="s">
        <v>166</v>
      </c>
      <c r="C41" s="127">
        <v>15099</v>
      </c>
      <c r="D41" s="127">
        <v>1276.1666666666667</v>
      </c>
      <c r="E41" s="128"/>
      <c r="G41" s="2"/>
      <c r="H41" s="2"/>
      <c r="I41" s="128"/>
      <c r="K41" s="2"/>
      <c r="M41" s="141"/>
      <c r="N41" s="141"/>
      <c r="O41" s="141"/>
      <c r="P41" s="141"/>
      <c r="Q41" s="141"/>
      <c r="R41" s="141"/>
      <c r="S41" s="141"/>
      <c r="T41" s="141"/>
      <c r="U41" s="151"/>
      <c r="V41" s="141"/>
      <c r="W41" s="141"/>
      <c r="X41" s="141"/>
      <c r="Y41" s="11"/>
      <c r="Z41" s="11"/>
      <c r="AA41" s="11"/>
      <c r="AB41" s="11"/>
      <c r="AC41" s="11"/>
      <c r="AE41" s="42"/>
    </row>
    <row r="42" spans="1:31">
      <c r="A42" s="3" t="s">
        <v>15</v>
      </c>
      <c r="C42" s="127">
        <v>1147205</v>
      </c>
      <c r="D42" s="127">
        <v>1178171.795773752</v>
      </c>
      <c r="E42" s="132"/>
      <c r="F42" s="11"/>
      <c r="G42" s="135">
        <f>SUM(G33:G40)</f>
        <v>153403</v>
      </c>
      <c r="H42" s="135">
        <f>SUM(H33:H40)</f>
        <v>157522</v>
      </c>
      <c r="I42" s="132"/>
      <c r="J42" s="11"/>
      <c r="K42" s="135" t="e">
        <f>SUM(K33:K40)</f>
        <v>#REF!</v>
      </c>
      <c r="M42" s="141"/>
      <c r="N42" s="141"/>
      <c r="O42" s="150"/>
      <c r="P42" s="141"/>
      <c r="Q42" s="11"/>
      <c r="R42" s="11"/>
      <c r="S42" s="11"/>
      <c r="T42" s="141"/>
      <c r="U42" s="141"/>
      <c r="V42" s="141"/>
      <c r="W42" s="141"/>
      <c r="X42" s="141"/>
      <c r="Y42" s="11"/>
      <c r="Z42" s="11"/>
      <c r="AA42" s="11"/>
      <c r="AB42" s="11"/>
      <c r="AC42" s="11"/>
      <c r="AE42" s="42"/>
    </row>
    <row r="43" spans="1:31">
      <c r="A43" s="3" t="s">
        <v>167</v>
      </c>
      <c r="C43" s="127" t="e">
        <f>#REF!</f>
        <v>#REF!</v>
      </c>
      <c r="D43" s="127">
        <v>0</v>
      </c>
      <c r="E43" s="132"/>
      <c r="F43" s="11"/>
      <c r="G43" s="135" t="e">
        <f>#REF!</f>
        <v>#REF!</v>
      </c>
      <c r="H43" s="135">
        <v>0</v>
      </c>
      <c r="I43" s="132"/>
      <c r="J43" s="11"/>
      <c r="K43" s="135" t="e">
        <f>G43</f>
        <v>#REF!</v>
      </c>
      <c r="M43" s="307"/>
      <c r="N43" s="307"/>
      <c r="O43" s="150"/>
      <c r="P43" s="141"/>
      <c r="Q43" s="141"/>
      <c r="R43" s="146"/>
      <c r="S43" s="144"/>
      <c r="T43" s="141"/>
      <c r="U43" s="141"/>
      <c r="V43" s="141"/>
      <c r="W43" s="141"/>
      <c r="X43" s="141"/>
      <c r="Y43" s="11"/>
      <c r="Z43" s="11"/>
      <c r="AA43" s="11"/>
      <c r="AB43" s="11"/>
      <c r="AC43" s="11"/>
      <c r="AE43" s="42"/>
    </row>
    <row r="44" spans="1:31" ht="16.5" thickBot="1">
      <c r="A44" s="3" t="s">
        <v>1</v>
      </c>
      <c r="C44" s="136" t="e">
        <f>C42+C43</f>
        <v>#REF!</v>
      </c>
      <c r="D44" s="136">
        <f>SUM(D42:D43)</f>
        <v>1178171.795773752</v>
      </c>
      <c r="E44" s="137"/>
      <c r="F44" s="137"/>
      <c r="G44" s="137" t="e">
        <f>G42+G43</f>
        <v>#REF!</v>
      </c>
      <c r="H44" s="137">
        <f>H42+H43</f>
        <v>157522</v>
      </c>
      <c r="I44" s="137"/>
      <c r="J44" s="137"/>
      <c r="K44" s="137" t="e">
        <f>K42+K43</f>
        <v>#REF!</v>
      </c>
      <c r="M44" s="274"/>
      <c r="N44" s="274"/>
      <c r="O44" s="333"/>
      <c r="P44" s="141"/>
      <c r="Q44" s="141"/>
      <c r="R44" s="141"/>
      <c r="S44" s="141"/>
      <c r="T44" s="141"/>
      <c r="U44" s="141"/>
      <c r="V44" s="141"/>
      <c r="W44" s="141"/>
      <c r="X44" s="141"/>
      <c r="Y44" s="11"/>
      <c r="Z44" s="11"/>
      <c r="AA44" s="11"/>
      <c r="AB44" s="11"/>
      <c r="AC44" s="11"/>
      <c r="AE44" s="42"/>
    </row>
    <row r="45" spans="1:31" ht="16.5" thickTop="1">
      <c r="C45" s="138"/>
      <c r="D45" s="138"/>
      <c r="E45" s="138"/>
      <c r="F45" s="138"/>
      <c r="G45" s="126"/>
      <c r="H45" s="126"/>
      <c r="I45" s="1" t="s">
        <v>13</v>
      </c>
      <c r="J45" s="138"/>
      <c r="K45" s="2" t="s">
        <v>13</v>
      </c>
      <c r="M45" s="11"/>
      <c r="N45" s="11"/>
      <c r="O45" s="38"/>
      <c r="P45" s="38"/>
      <c r="Q45" s="11"/>
      <c r="R45" s="11"/>
      <c r="S45" s="11"/>
      <c r="T45" s="141"/>
      <c r="U45" s="141"/>
      <c r="V45" s="141"/>
      <c r="W45" s="141"/>
      <c r="X45" s="141"/>
      <c r="Y45" s="11"/>
      <c r="Z45" s="11"/>
      <c r="AA45" s="11"/>
      <c r="AB45" s="11"/>
      <c r="AC45" s="11"/>
      <c r="AE45" s="42"/>
    </row>
    <row r="46" spans="1:31">
      <c r="A46" s="125" t="s">
        <v>155</v>
      </c>
      <c r="G46" s="126"/>
      <c r="H46" s="126"/>
      <c r="M46" s="11"/>
      <c r="N46" s="11"/>
      <c r="O46" s="38"/>
      <c r="P46" s="38"/>
      <c r="Q46" s="11"/>
      <c r="R46" s="11"/>
      <c r="S46" s="11"/>
      <c r="T46" s="141"/>
      <c r="U46" s="141"/>
      <c r="V46" s="141"/>
      <c r="W46" s="141"/>
      <c r="X46" s="141"/>
      <c r="Y46" s="11"/>
      <c r="Z46" s="11"/>
      <c r="AA46" s="11"/>
      <c r="AB46" s="11"/>
      <c r="AC46" s="11"/>
      <c r="AE46" s="42"/>
    </row>
    <row r="47" spans="1:31">
      <c r="A47" s="3" t="s">
        <v>170</v>
      </c>
      <c r="G47" s="126"/>
      <c r="H47" s="126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1"/>
      <c r="Z47" s="11"/>
      <c r="AA47" s="11"/>
      <c r="AB47" s="11"/>
      <c r="AC47" s="11"/>
      <c r="AE47" s="42"/>
    </row>
    <row r="48" spans="1:31">
      <c r="G48" s="126"/>
      <c r="H48" s="126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1"/>
      <c r="Z48" s="11"/>
      <c r="AA48" s="11"/>
      <c r="AB48" s="11"/>
      <c r="AC48" s="11"/>
      <c r="AE48" s="42"/>
    </row>
    <row r="49" spans="1:31">
      <c r="A49" s="3" t="s">
        <v>157</v>
      </c>
      <c r="G49" s="126"/>
      <c r="H49" s="126"/>
      <c r="M49" s="141"/>
      <c r="N49" s="141"/>
      <c r="O49" s="141"/>
      <c r="P49" s="38"/>
      <c r="Q49" s="142"/>
      <c r="R49" s="143"/>
      <c r="S49" s="144"/>
      <c r="T49" s="145"/>
      <c r="U49" s="141"/>
      <c r="V49" s="141"/>
      <c r="W49" s="141"/>
      <c r="X49" s="141"/>
      <c r="Y49" s="11"/>
      <c r="Z49" s="11"/>
      <c r="AA49" s="11"/>
      <c r="AB49" s="11"/>
      <c r="AC49" s="11"/>
      <c r="AE49" s="42"/>
    </row>
    <row r="50" spans="1:31">
      <c r="A50" s="3" t="s">
        <v>158</v>
      </c>
      <c r="C50" s="127">
        <f>8606+13+6615+38</f>
        <v>15272</v>
      </c>
      <c r="D50" s="127">
        <f>ROUND(C50*($D$59/$C$59),0)</f>
        <v>16186</v>
      </c>
      <c r="E50" s="128">
        <f>$E$16</f>
        <v>9.6</v>
      </c>
      <c r="G50" s="2">
        <f>ROUND(E50*$C50,0)</f>
        <v>146611</v>
      </c>
      <c r="H50" s="2">
        <f>ROUND(E50*$D50,0)</f>
        <v>155386</v>
      </c>
      <c r="I50" s="128" t="e">
        <f>$I$16</f>
        <v>#REF!</v>
      </c>
      <c r="K50" s="2" t="e">
        <f>ROUND(I50*$C50,0)</f>
        <v>#REF!</v>
      </c>
      <c r="M50" s="11"/>
      <c r="N50" s="11"/>
      <c r="O50" s="144"/>
      <c r="P50" s="38"/>
      <c r="Q50" s="141"/>
      <c r="R50" s="146"/>
      <c r="S50" s="147"/>
      <c r="T50" s="141"/>
      <c r="U50" s="144"/>
      <c r="V50" s="144"/>
      <c r="W50" s="148"/>
      <c r="X50" s="144"/>
      <c r="Y50" s="11"/>
      <c r="Z50" s="11"/>
      <c r="AA50" s="11"/>
      <c r="AB50" s="11"/>
      <c r="AC50" s="11"/>
      <c r="AE50" s="42"/>
    </row>
    <row r="51" spans="1:31">
      <c r="A51" s="3" t="s">
        <v>159</v>
      </c>
      <c r="C51" s="127">
        <f>3424+252+432</f>
        <v>4108</v>
      </c>
      <c r="D51" s="127">
        <f>ROUND(C51*($D$59/$C$59),0)</f>
        <v>4354</v>
      </c>
      <c r="E51" s="128">
        <f>$E$17</f>
        <v>18.28</v>
      </c>
      <c r="G51" s="2">
        <f>ROUND(E51*$C51,0)</f>
        <v>75094</v>
      </c>
      <c r="H51" s="2">
        <f>ROUND(E51*$D51,0)</f>
        <v>79591</v>
      </c>
      <c r="I51" s="128" t="e">
        <f>$I$17</f>
        <v>#REF!</v>
      </c>
      <c r="K51" s="2" t="e">
        <f>ROUND(I51*$C51,0)</f>
        <v>#REF!</v>
      </c>
      <c r="M51" s="11"/>
      <c r="N51" s="11"/>
      <c r="O51" s="144"/>
      <c r="P51" s="38"/>
      <c r="Q51" s="11"/>
      <c r="R51" s="150"/>
      <c r="S51" s="141"/>
      <c r="T51" s="141"/>
      <c r="U51" s="144"/>
      <c r="V51" s="144"/>
      <c r="W51" s="148"/>
      <c r="X51" s="144"/>
      <c r="Y51" s="11"/>
      <c r="Z51" s="11"/>
      <c r="AA51" s="11"/>
      <c r="AB51" s="11"/>
      <c r="AC51" s="11"/>
      <c r="AE51" s="42"/>
    </row>
    <row r="52" spans="1:31">
      <c r="A52" s="3" t="s">
        <v>160</v>
      </c>
      <c r="C52" s="127">
        <f>512+51+36+12</f>
        <v>611</v>
      </c>
      <c r="D52" s="127">
        <f>ROUND(C52*($D$59/$C$59),0)</f>
        <v>648</v>
      </c>
      <c r="E52" s="128">
        <f>$E$18</f>
        <v>37.82</v>
      </c>
      <c r="G52" s="2">
        <f>ROUND(E52*$C52,0)</f>
        <v>23108</v>
      </c>
      <c r="H52" s="2">
        <f>ROUND(E52*$D52,0)</f>
        <v>24507</v>
      </c>
      <c r="I52" s="128" t="e">
        <f>$I$18</f>
        <v>#REF!</v>
      </c>
      <c r="K52" s="2" t="e">
        <f>ROUND(I52*$C52,0)</f>
        <v>#REF!</v>
      </c>
      <c r="M52" s="11"/>
      <c r="N52" s="11"/>
      <c r="O52" s="144"/>
      <c r="P52" s="38"/>
      <c r="Q52" s="11"/>
      <c r="R52" s="150"/>
      <c r="S52" s="141"/>
      <c r="T52" s="141"/>
      <c r="U52" s="144"/>
      <c r="V52" s="144"/>
      <c r="W52" s="148"/>
      <c r="X52" s="144"/>
      <c r="Y52" s="11"/>
      <c r="Z52" s="11"/>
      <c r="AA52" s="11"/>
      <c r="AB52" s="11"/>
      <c r="AC52" s="11"/>
      <c r="AE52" s="42"/>
    </row>
    <row r="53" spans="1:31">
      <c r="A53" s="3" t="s">
        <v>161</v>
      </c>
      <c r="C53" s="127"/>
      <c r="D53" s="127"/>
      <c r="E53" s="128"/>
      <c r="G53" s="2"/>
      <c r="H53" s="2"/>
      <c r="I53" s="128"/>
      <c r="K53" s="2"/>
      <c r="M53" s="11"/>
      <c r="N53" s="11"/>
      <c r="O53" s="144"/>
      <c r="P53" s="38"/>
      <c r="Q53" s="11"/>
      <c r="R53" s="150"/>
      <c r="S53" s="141"/>
      <c r="T53" s="141"/>
      <c r="U53" s="144"/>
      <c r="V53" s="144"/>
      <c r="W53" s="148"/>
      <c r="X53" s="144"/>
      <c r="Y53" s="11"/>
      <c r="Z53" s="11"/>
      <c r="AA53" s="11"/>
      <c r="AB53" s="11"/>
      <c r="AC53" s="11"/>
      <c r="AE53" s="42"/>
    </row>
    <row r="54" spans="1:31">
      <c r="A54" s="3" t="s">
        <v>162</v>
      </c>
      <c r="C54" s="127">
        <f>649+501</f>
        <v>1150</v>
      </c>
      <c r="D54" s="127">
        <f>ROUND(C54*($D$59/$C$59),0)</f>
        <v>1219</v>
      </c>
      <c r="E54" s="128">
        <f>$E$20</f>
        <v>10.92</v>
      </c>
      <c r="G54" s="2">
        <f>ROUND(E54*$C54,0)</f>
        <v>12558</v>
      </c>
      <c r="H54" s="2">
        <f>ROUND(E54*$D54,0)</f>
        <v>13311</v>
      </c>
      <c r="I54" s="128" t="e">
        <f>$I$20</f>
        <v>#REF!</v>
      </c>
      <c r="K54" s="2" t="e">
        <f>ROUND(I54*$C54,0)</f>
        <v>#REF!</v>
      </c>
      <c r="M54" s="11"/>
      <c r="N54" s="11"/>
      <c r="O54" s="144"/>
      <c r="P54" s="38"/>
      <c r="Q54" s="11"/>
      <c r="R54" s="150"/>
      <c r="S54" s="141"/>
      <c r="T54" s="141"/>
      <c r="U54" s="144"/>
      <c r="V54" s="144"/>
      <c r="W54" s="148"/>
      <c r="X54" s="144"/>
      <c r="Y54" s="11"/>
      <c r="Z54" s="11"/>
      <c r="AA54" s="11"/>
      <c r="AB54" s="11"/>
      <c r="AC54" s="11"/>
      <c r="AE54" s="42"/>
    </row>
    <row r="55" spans="1:31">
      <c r="A55" s="3" t="s">
        <v>163</v>
      </c>
      <c r="C55" s="127">
        <f>1253+229</f>
        <v>1482</v>
      </c>
      <c r="D55" s="127">
        <f>ROUND(C55*($D$59/$C$59),0)</f>
        <v>1571</v>
      </c>
      <c r="E55" s="128">
        <f>$E$21</f>
        <v>16.04</v>
      </c>
      <c r="G55" s="2">
        <f>ROUND(E55*$C55,0)</f>
        <v>23771</v>
      </c>
      <c r="H55" s="2">
        <f>ROUND(E55*$D55,0)</f>
        <v>25199</v>
      </c>
      <c r="I55" s="128" t="e">
        <f>$I$21</f>
        <v>#REF!</v>
      </c>
      <c r="K55" s="2" t="e">
        <f>ROUND(I55*$C55,0)</f>
        <v>#REF!</v>
      </c>
      <c r="M55" s="11"/>
      <c r="N55" s="11"/>
      <c r="O55" s="144"/>
      <c r="P55" s="38"/>
      <c r="Q55" s="11"/>
      <c r="R55" s="150"/>
      <c r="S55" s="141"/>
      <c r="T55" s="141"/>
      <c r="U55" s="144"/>
      <c r="V55" s="144"/>
      <c r="W55" s="148"/>
      <c r="X55" s="144"/>
      <c r="Y55" s="11"/>
      <c r="Z55" s="11"/>
      <c r="AA55" s="11"/>
      <c r="AB55" s="11"/>
      <c r="AC55" s="11"/>
      <c r="AE55" s="42"/>
    </row>
    <row r="56" spans="1:31">
      <c r="A56" s="3" t="s">
        <v>164</v>
      </c>
      <c r="C56" s="127">
        <f>384+48</f>
        <v>432</v>
      </c>
      <c r="D56" s="127">
        <f>ROUND(C56*($D$59/$C$59),0)</f>
        <v>458</v>
      </c>
      <c r="E56" s="128">
        <f>$E$22</f>
        <v>25.88</v>
      </c>
      <c r="G56" s="2">
        <f>ROUND(E56*$C56,0)</f>
        <v>11180</v>
      </c>
      <c r="H56" s="2">
        <f>ROUND(E56*$D56,0)</f>
        <v>11853</v>
      </c>
      <c r="I56" s="128" t="e">
        <f>$I$22</f>
        <v>#REF!</v>
      </c>
      <c r="K56" s="2" t="e">
        <f>ROUND(I56*$C56,0)</f>
        <v>#REF!</v>
      </c>
      <c r="M56" s="11"/>
      <c r="N56" s="11"/>
      <c r="O56" s="144"/>
      <c r="P56" s="38"/>
      <c r="Q56" s="11"/>
      <c r="R56" s="150"/>
      <c r="S56" s="141"/>
      <c r="T56" s="141"/>
      <c r="U56" s="144"/>
      <c r="V56" s="144"/>
      <c r="W56" s="148"/>
      <c r="X56" s="144"/>
      <c r="Y56" s="11"/>
      <c r="Z56" s="11"/>
      <c r="AA56" s="11"/>
      <c r="AB56" s="11"/>
      <c r="AC56" s="11"/>
      <c r="AE56" s="42"/>
    </row>
    <row r="57" spans="1:31">
      <c r="A57" s="3" t="s">
        <v>165</v>
      </c>
      <c r="C57" s="127">
        <f>13+252+51+38+12</f>
        <v>366</v>
      </c>
      <c r="D57" s="127">
        <f>ROUND(C57*($D$59/$C$59),0)</f>
        <v>388</v>
      </c>
      <c r="E57" s="128">
        <f>$E$23</f>
        <v>1</v>
      </c>
      <c r="F57" s="11"/>
      <c r="G57" s="135">
        <f>ROUND(E57*$C57,0)</f>
        <v>366</v>
      </c>
      <c r="H57" s="135">
        <f>ROUND(E57*$D57,0)</f>
        <v>388</v>
      </c>
      <c r="I57" s="132">
        <f>$I$23</f>
        <v>1</v>
      </c>
      <c r="J57" s="11"/>
      <c r="K57" s="135">
        <f>ROUND(I57*$C57,0)</f>
        <v>366</v>
      </c>
      <c r="M57" s="141"/>
      <c r="N57" s="141"/>
      <c r="O57" s="144"/>
      <c r="P57" s="38"/>
      <c r="Q57" s="11"/>
      <c r="R57" s="141"/>
      <c r="S57" s="141"/>
      <c r="T57" s="141"/>
      <c r="U57" s="144"/>
      <c r="V57" s="144"/>
      <c r="W57" s="144"/>
      <c r="X57" s="144"/>
      <c r="Y57" s="11"/>
      <c r="Z57" s="11"/>
      <c r="AA57" s="11"/>
      <c r="AB57" s="11"/>
      <c r="AC57" s="11"/>
      <c r="AE57" s="42"/>
    </row>
    <row r="58" spans="1:31">
      <c r="A58" s="3" t="s">
        <v>166</v>
      </c>
      <c r="C58" s="127">
        <f>10688+6709</f>
        <v>17397</v>
      </c>
      <c r="D58" s="127">
        <v>1459</v>
      </c>
      <c r="E58" s="128"/>
      <c r="G58" s="2"/>
      <c r="H58" s="2"/>
      <c r="I58" s="128"/>
      <c r="K58" s="2"/>
      <c r="M58" s="141"/>
      <c r="N58" s="141"/>
      <c r="O58" s="141"/>
      <c r="P58" s="141"/>
      <c r="Q58" s="141"/>
      <c r="R58" s="141"/>
      <c r="S58" s="141"/>
      <c r="T58" s="141"/>
      <c r="U58" s="151"/>
      <c r="V58" s="141"/>
      <c r="W58" s="141"/>
      <c r="X58" s="141"/>
      <c r="Y58" s="11"/>
      <c r="Z58" s="11"/>
      <c r="AA58" s="11"/>
      <c r="AB58" s="11"/>
      <c r="AC58" s="11"/>
      <c r="AE58" s="42"/>
    </row>
    <row r="59" spans="1:31">
      <c r="A59" s="3" t="s">
        <v>15</v>
      </c>
      <c r="C59" s="127">
        <f>1679522+631102</f>
        <v>2310624</v>
      </c>
      <c r="D59" s="127">
        <v>2448984.1343942713</v>
      </c>
      <c r="E59" s="132"/>
      <c r="F59" s="11"/>
      <c r="G59" s="135">
        <f>SUM(G50:G57)</f>
        <v>292688</v>
      </c>
      <c r="H59" s="135">
        <f>SUM(H50:H57)</f>
        <v>310235</v>
      </c>
      <c r="I59" s="132"/>
      <c r="J59" s="11"/>
      <c r="K59" s="135" t="e">
        <f>SUM(K50:K57)</f>
        <v>#REF!</v>
      </c>
      <c r="M59" s="141"/>
      <c r="N59" s="141"/>
      <c r="O59" s="150"/>
      <c r="P59" s="141"/>
      <c r="Q59" s="11"/>
      <c r="R59" s="11"/>
      <c r="S59" s="11"/>
      <c r="T59" s="141"/>
      <c r="U59" s="141"/>
      <c r="V59" s="141"/>
      <c r="W59" s="141"/>
      <c r="X59" s="141"/>
      <c r="Y59" s="11"/>
      <c r="Z59" s="11"/>
      <c r="AA59" s="11"/>
      <c r="AB59" s="11"/>
      <c r="AC59" s="11"/>
      <c r="AE59" s="42"/>
    </row>
    <row r="60" spans="1:31">
      <c r="A60" s="3" t="s">
        <v>167</v>
      </c>
      <c r="C60" s="127" t="e">
        <f>#REF!</f>
        <v>#REF!</v>
      </c>
      <c r="D60" s="127">
        <v>0</v>
      </c>
      <c r="E60" s="132"/>
      <c r="F60" s="11"/>
      <c r="G60" s="135" t="e">
        <f>#REF!</f>
        <v>#REF!</v>
      </c>
      <c r="H60" s="135">
        <v>0</v>
      </c>
      <c r="I60" s="132"/>
      <c r="J60" s="11"/>
      <c r="K60" s="135" t="e">
        <f>G60</f>
        <v>#REF!</v>
      </c>
      <c r="M60" s="307"/>
      <c r="N60" s="307"/>
      <c r="O60" s="150"/>
      <c r="P60" s="141"/>
      <c r="Q60" s="141"/>
      <c r="R60" s="146"/>
      <c r="S60" s="144"/>
      <c r="T60" s="141"/>
      <c r="U60" s="141"/>
      <c r="V60" s="141"/>
      <c r="W60" s="141"/>
      <c r="X60" s="141"/>
      <c r="Y60" s="11"/>
      <c r="Z60" s="11"/>
      <c r="AA60" s="11"/>
      <c r="AB60" s="11"/>
      <c r="AC60" s="11"/>
      <c r="AE60" s="42"/>
    </row>
    <row r="61" spans="1:31" ht="16.5" thickBot="1">
      <c r="A61" s="3" t="s">
        <v>1</v>
      </c>
      <c r="C61" s="136" t="e">
        <f>C59+C60</f>
        <v>#REF!</v>
      </c>
      <c r="D61" s="136">
        <f>SUM(D59:D60)</f>
        <v>2448984.1343942713</v>
      </c>
      <c r="E61" s="137"/>
      <c r="F61" s="137"/>
      <c r="G61" s="137" t="e">
        <f>G59+G60</f>
        <v>#REF!</v>
      </c>
      <c r="H61" s="137">
        <f>H59+H60</f>
        <v>310235</v>
      </c>
      <c r="I61" s="137"/>
      <c r="J61" s="137"/>
      <c r="K61" s="137" t="e">
        <f>K59+K60</f>
        <v>#REF!</v>
      </c>
      <c r="M61" s="274"/>
      <c r="N61" s="274"/>
      <c r="O61" s="333"/>
      <c r="P61" s="141"/>
      <c r="Q61" s="141"/>
      <c r="R61" s="141"/>
      <c r="S61" s="141"/>
      <c r="T61" s="141"/>
      <c r="U61" s="141"/>
      <c r="V61" s="141"/>
      <c r="W61" s="141"/>
      <c r="X61" s="141"/>
      <c r="Y61" s="11"/>
      <c r="Z61" s="11"/>
      <c r="AA61" s="11"/>
      <c r="AB61" s="11"/>
      <c r="AC61" s="11"/>
      <c r="AE61" s="42"/>
    </row>
    <row r="62" spans="1:31" ht="16.5" thickTop="1">
      <c r="C62" s="138"/>
      <c r="D62" s="138"/>
      <c r="E62" s="138"/>
      <c r="F62" s="138"/>
      <c r="G62" s="126"/>
      <c r="H62" s="126"/>
      <c r="I62" s="1" t="s">
        <v>13</v>
      </c>
      <c r="J62" s="138"/>
      <c r="K62" s="2" t="s">
        <v>13</v>
      </c>
      <c r="M62" s="11"/>
      <c r="N62" s="11"/>
      <c r="O62" s="38"/>
      <c r="P62" s="38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E62" s="42"/>
    </row>
    <row r="63" spans="1:31">
      <c r="A63" s="125" t="s">
        <v>155</v>
      </c>
      <c r="G63" s="126"/>
      <c r="H63" s="126"/>
      <c r="M63" s="11"/>
      <c r="N63" s="11"/>
      <c r="O63" s="38"/>
      <c r="P63" s="38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E63" s="42"/>
    </row>
    <row r="64" spans="1:31">
      <c r="A64" s="3" t="s">
        <v>171</v>
      </c>
      <c r="G64" s="126"/>
      <c r="H64" s="126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1"/>
      <c r="Z64" s="11"/>
      <c r="AA64" s="11"/>
      <c r="AB64" s="11"/>
      <c r="AC64" s="11"/>
      <c r="AE64" s="42"/>
    </row>
    <row r="65" spans="1:31">
      <c r="G65" s="126"/>
      <c r="H65" s="126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1"/>
      <c r="Z65" s="11"/>
      <c r="AA65" s="11"/>
      <c r="AB65" s="11"/>
      <c r="AC65" s="11"/>
      <c r="AE65" s="42"/>
    </row>
    <row r="66" spans="1:31">
      <c r="A66" s="3" t="s">
        <v>157</v>
      </c>
      <c r="G66" s="126"/>
      <c r="H66" s="126"/>
      <c r="M66" s="141"/>
      <c r="N66" s="141"/>
      <c r="O66" s="141"/>
      <c r="P66" s="38"/>
      <c r="Q66" s="142"/>
      <c r="R66" s="143"/>
      <c r="S66" s="144"/>
      <c r="T66" s="145"/>
      <c r="U66" s="141"/>
      <c r="V66" s="141"/>
      <c r="W66" s="141"/>
      <c r="X66" s="141"/>
      <c r="Y66" s="11"/>
      <c r="Z66" s="11"/>
      <c r="AA66" s="11"/>
      <c r="AB66" s="11"/>
      <c r="AC66" s="11"/>
      <c r="AE66" s="42"/>
    </row>
    <row r="67" spans="1:31">
      <c r="A67" s="3" t="s">
        <v>158</v>
      </c>
      <c r="C67" s="127">
        <f>329+192+132</f>
        <v>653</v>
      </c>
      <c r="D67" s="127">
        <f>ROUND(C67*($D$76/$C$76),0)</f>
        <v>702</v>
      </c>
      <c r="E67" s="128">
        <f>$E$16</f>
        <v>9.6</v>
      </c>
      <c r="G67" s="2">
        <f>ROUND(E67*$C67,0)</f>
        <v>6269</v>
      </c>
      <c r="H67" s="2">
        <f>ROUND(E67*$D67,0)</f>
        <v>6739</v>
      </c>
      <c r="I67" s="128" t="e">
        <f>$I$16</f>
        <v>#REF!</v>
      </c>
      <c r="K67" s="2" t="e">
        <f>ROUND(I67*$C67,0)</f>
        <v>#REF!</v>
      </c>
      <c r="M67" s="11"/>
      <c r="N67" s="11"/>
      <c r="O67" s="144"/>
      <c r="P67" s="38"/>
      <c r="Q67" s="141"/>
      <c r="R67" s="146"/>
      <c r="S67" s="147"/>
      <c r="T67" s="141"/>
      <c r="U67" s="144"/>
      <c r="V67" s="144"/>
      <c r="W67" s="148"/>
      <c r="X67" s="144"/>
      <c r="Y67" s="11"/>
      <c r="Z67" s="11"/>
      <c r="AA67" s="11"/>
      <c r="AB67" s="11"/>
      <c r="AC67" s="11"/>
      <c r="AE67" s="42"/>
    </row>
    <row r="68" spans="1:31">
      <c r="A68" s="3" t="s">
        <v>159</v>
      </c>
      <c r="C68" s="127">
        <f>386+36</f>
        <v>422</v>
      </c>
      <c r="D68" s="127">
        <f>ROUND(C68*($D$76/$C$76),0)</f>
        <v>454</v>
      </c>
      <c r="E68" s="128">
        <f>$E$17</f>
        <v>18.28</v>
      </c>
      <c r="G68" s="2">
        <f>ROUND(E68*$C68,0)</f>
        <v>7714</v>
      </c>
      <c r="H68" s="2">
        <f>ROUND(E68*$D68,0)</f>
        <v>8299</v>
      </c>
      <c r="I68" s="128" t="e">
        <f>$I$17</f>
        <v>#REF!</v>
      </c>
      <c r="K68" s="2" t="e">
        <f>ROUND(I68*$C68,0)</f>
        <v>#REF!</v>
      </c>
      <c r="M68" s="11"/>
      <c r="N68" s="11"/>
      <c r="O68" s="144"/>
      <c r="P68" s="38"/>
      <c r="Q68" s="11"/>
      <c r="R68" s="150"/>
      <c r="S68" s="141"/>
      <c r="T68" s="141"/>
      <c r="U68" s="144"/>
      <c r="V68" s="144"/>
      <c r="W68" s="148"/>
      <c r="X68" s="144"/>
      <c r="Y68" s="11"/>
      <c r="Z68" s="11"/>
      <c r="AA68" s="11"/>
      <c r="AB68" s="11"/>
      <c r="AC68" s="11"/>
      <c r="AE68" s="42"/>
    </row>
    <row r="69" spans="1:31">
      <c r="A69" s="3" t="s">
        <v>160</v>
      </c>
      <c r="C69" s="127">
        <f>48</f>
        <v>48</v>
      </c>
      <c r="D69" s="127">
        <f>ROUND(C69*($D$76/$C$76),0)</f>
        <v>52</v>
      </c>
      <c r="E69" s="128">
        <f>$E$18</f>
        <v>37.82</v>
      </c>
      <c r="G69" s="2">
        <f>ROUND(E69*$C69,0)</f>
        <v>1815</v>
      </c>
      <c r="H69" s="2">
        <f>ROUND(E69*$D69,0)</f>
        <v>1967</v>
      </c>
      <c r="I69" s="128" t="e">
        <f>$I$18</f>
        <v>#REF!</v>
      </c>
      <c r="K69" s="2" t="e">
        <f>ROUND(I69*$C69,0)</f>
        <v>#REF!</v>
      </c>
      <c r="M69" s="11"/>
      <c r="N69" s="11"/>
      <c r="O69" s="144"/>
      <c r="P69" s="38"/>
      <c r="Q69" s="11"/>
      <c r="R69" s="150"/>
      <c r="S69" s="141"/>
      <c r="T69" s="141"/>
      <c r="U69" s="144"/>
      <c r="V69" s="144"/>
      <c r="W69" s="148"/>
      <c r="X69" s="144"/>
      <c r="Y69" s="11"/>
      <c r="Z69" s="11"/>
      <c r="AA69" s="11"/>
      <c r="AB69" s="11"/>
      <c r="AC69" s="11"/>
      <c r="AE69" s="42"/>
    </row>
    <row r="70" spans="1:31">
      <c r="A70" s="3" t="s">
        <v>161</v>
      </c>
      <c r="C70" s="127"/>
      <c r="D70" s="127"/>
      <c r="E70" s="128"/>
      <c r="G70" s="2"/>
      <c r="H70" s="2"/>
      <c r="I70" s="128"/>
      <c r="K70" s="2"/>
      <c r="M70" s="11"/>
      <c r="N70" s="11"/>
      <c r="O70" s="144"/>
      <c r="P70" s="38"/>
      <c r="Q70" s="11"/>
      <c r="R70" s="150"/>
      <c r="S70" s="141"/>
      <c r="T70" s="141"/>
      <c r="U70" s="144"/>
      <c r="V70" s="144"/>
      <c r="W70" s="148"/>
      <c r="X70" s="144"/>
      <c r="Y70" s="11"/>
      <c r="Z70" s="11"/>
      <c r="AA70" s="11"/>
      <c r="AB70" s="11"/>
      <c r="AC70" s="11"/>
      <c r="AE70" s="42"/>
    </row>
    <row r="71" spans="1:31">
      <c r="A71" s="3" t="s">
        <v>162</v>
      </c>
      <c r="C71" s="127">
        <f>12</f>
        <v>12</v>
      </c>
      <c r="D71" s="127">
        <f>ROUND(C71*($D$76/$C$76),0)</f>
        <v>13</v>
      </c>
      <c r="E71" s="128">
        <f>$E$20</f>
        <v>10.92</v>
      </c>
      <c r="G71" s="2">
        <f>ROUND(E71*$C71,0)</f>
        <v>131</v>
      </c>
      <c r="H71" s="2">
        <f>ROUND(E71*$D71,0)</f>
        <v>142</v>
      </c>
      <c r="I71" s="128" t="e">
        <f>$I$20</f>
        <v>#REF!</v>
      </c>
      <c r="K71" s="2" t="e">
        <f>ROUND(I71*$C71,0)</f>
        <v>#REF!</v>
      </c>
      <c r="M71" s="11"/>
      <c r="N71" s="11"/>
      <c r="O71" s="144"/>
      <c r="P71" s="38"/>
      <c r="Q71" s="11"/>
      <c r="R71" s="150"/>
      <c r="S71" s="141"/>
      <c r="T71" s="141"/>
      <c r="U71" s="144"/>
      <c r="V71" s="144"/>
      <c r="W71" s="148"/>
      <c r="X71" s="144"/>
      <c r="Y71" s="11"/>
      <c r="Z71" s="11"/>
      <c r="AA71" s="11"/>
      <c r="AB71" s="11"/>
      <c r="AC71" s="11"/>
      <c r="AE71" s="42"/>
    </row>
    <row r="72" spans="1:31">
      <c r="A72" s="3" t="s">
        <v>163</v>
      </c>
      <c r="C72" s="127">
        <f>96+12</f>
        <v>108</v>
      </c>
      <c r="D72" s="127">
        <f>ROUND(C72*($D$76/$C$76),0)</f>
        <v>116</v>
      </c>
      <c r="E72" s="128">
        <f>$E$21</f>
        <v>16.04</v>
      </c>
      <c r="G72" s="2">
        <f>ROUND(E72*$C72,0)</f>
        <v>1732</v>
      </c>
      <c r="H72" s="2">
        <f>ROUND(E72*$D72,0)</f>
        <v>1861</v>
      </c>
      <c r="I72" s="128" t="e">
        <f>$I$21</f>
        <v>#REF!</v>
      </c>
      <c r="K72" s="2" t="e">
        <f>ROUND(I72*$C72,0)</f>
        <v>#REF!</v>
      </c>
      <c r="M72" s="11"/>
      <c r="N72" s="11"/>
      <c r="O72" s="144"/>
      <c r="P72" s="38"/>
      <c r="Q72" s="11"/>
      <c r="R72" s="150"/>
      <c r="S72" s="141"/>
      <c r="T72" s="141"/>
      <c r="U72" s="144"/>
      <c r="V72" s="144"/>
      <c r="W72" s="148"/>
      <c r="X72" s="144"/>
      <c r="Y72" s="11"/>
      <c r="Z72" s="11"/>
      <c r="AA72" s="11"/>
      <c r="AB72" s="11"/>
      <c r="AC72" s="11"/>
      <c r="AE72" s="42"/>
    </row>
    <row r="73" spans="1:31">
      <c r="A73" s="3" t="s">
        <v>164</v>
      </c>
      <c r="C73" s="127">
        <f>36</f>
        <v>36</v>
      </c>
      <c r="D73" s="127">
        <f>ROUND(C73*($D$76/$C$76),0)</f>
        <v>39</v>
      </c>
      <c r="E73" s="128">
        <f>$E$22</f>
        <v>25.88</v>
      </c>
      <c r="G73" s="2">
        <f>ROUND(E73*$C73,0)</f>
        <v>932</v>
      </c>
      <c r="H73" s="2">
        <f>ROUND(E73*$D73,0)</f>
        <v>1009</v>
      </c>
      <c r="I73" s="128" t="e">
        <f>$I$22</f>
        <v>#REF!</v>
      </c>
      <c r="K73" s="2" t="e">
        <f>ROUND(I73*$C73,0)</f>
        <v>#REF!</v>
      </c>
      <c r="M73" s="11"/>
      <c r="N73" s="11"/>
      <c r="O73" s="144"/>
      <c r="P73" s="38"/>
      <c r="Q73" s="11"/>
      <c r="R73" s="150"/>
      <c r="S73" s="141"/>
      <c r="T73" s="141"/>
      <c r="U73" s="144"/>
      <c r="V73" s="144"/>
      <c r="W73" s="148"/>
      <c r="X73" s="144"/>
      <c r="Y73" s="11"/>
      <c r="Z73" s="11"/>
      <c r="AA73" s="11"/>
      <c r="AB73" s="11"/>
      <c r="AC73" s="11"/>
      <c r="AE73" s="42"/>
    </row>
    <row r="74" spans="1:31">
      <c r="A74" s="3" t="s">
        <v>165</v>
      </c>
      <c r="C74" s="127">
        <f>132</f>
        <v>132</v>
      </c>
      <c r="D74" s="127">
        <f>ROUND(C74*($D$76/$C$76),0)</f>
        <v>142</v>
      </c>
      <c r="E74" s="128">
        <f>$E$23</f>
        <v>1</v>
      </c>
      <c r="F74" s="11"/>
      <c r="G74" s="135">
        <f>ROUND(E74*$C74,0)</f>
        <v>132</v>
      </c>
      <c r="H74" s="135">
        <f>ROUND(E74*$D74,0)</f>
        <v>142</v>
      </c>
      <c r="I74" s="132">
        <f>$I$23</f>
        <v>1</v>
      </c>
      <c r="J74" s="11"/>
      <c r="K74" s="135">
        <f>ROUND(I74*$C74,0)</f>
        <v>132</v>
      </c>
      <c r="M74" s="141"/>
      <c r="N74" s="141"/>
      <c r="O74" s="144"/>
      <c r="P74" s="38"/>
      <c r="Q74" s="11"/>
      <c r="R74" s="141"/>
      <c r="S74" s="141"/>
      <c r="T74" s="141"/>
      <c r="U74" s="144"/>
      <c r="V74" s="144"/>
      <c r="W74" s="144"/>
      <c r="X74" s="144"/>
      <c r="Y74" s="11"/>
      <c r="Z74" s="11"/>
      <c r="AA74" s="11"/>
      <c r="AB74" s="11"/>
      <c r="AC74" s="11"/>
      <c r="AE74" s="42"/>
    </row>
    <row r="75" spans="1:31">
      <c r="A75" s="3" t="s">
        <v>166</v>
      </c>
      <c r="C75" s="127">
        <f>520+228</f>
        <v>748</v>
      </c>
      <c r="D75" s="127">
        <v>61.916666666666664</v>
      </c>
      <c r="E75" s="128"/>
      <c r="G75" s="2"/>
      <c r="H75" s="2"/>
      <c r="I75" s="128"/>
      <c r="K75" s="2"/>
      <c r="M75" s="141"/>
      <c r="N75" s="141"/>
      <c r="O75" s="141"/>
      <c r="P75" s="141"/>
      <c r="Q75" s="141"/>
      <c r="R75" s="141"/>
      <c r="S75" s="141"/>
      <c r="T75" s="141"/>
      <c r="U75" s="151"/>
      <c r="V75" s="141"/>
      <c r="W75" s="141"/>
      <c r="X75" s="141"/>
      <c r="Y75" s="11"/>
      <c r="Z75" s="11"/>
      <c r="AA75" s="11"/>
      <c r="AB75" s="11"/>
      <c r="AC75" s="11"/>
      <c r="AE75" s="42"/>
    </row>
    <row r="76" spans="1:31">
      <c r="A76" s="3" t="s">
        <v>15</v>
      </c>
      <c r="C76" s="127">
        <f>124900+31167</f>
        <v>156067</v>
      </c>
      <c r="D76" s="127">
        <v>167748.79783190461</v>
      </c>
      <c r="E76" s="132"/>
      <c r="F76" s="11"/>
      <c r="G76" s="135">
        <f>SUM(G67:G74)</f>
        <v>18725</v>
      </c>
      <c r="H76" s="135">
        <f>SUM(H67:H74)</f>
        <v>20159</v>
      </c>
      <c r="I76" s="132"/>
      <c r="J76" s="11"/>
      <c r="K76" s="135" t="e">
        <f>SUM(K67:K74)</f>
        <v>#REF!</v>
      </c>
      <c r="M76" s="141"/>
      <c r="N76" s="141"/>
      <c r="O76" s="150"/>
      <c r="P76" s="141"/>
      <c r="Q76" s="11"/>
      <c r="R76" s="11"/>
      <c r="S76" s="11"/>
      <c r="T76" s="141"/>
      <c r="U76" s="141"/>
      <c r="V76" s="141"/>
      <c r="W76" s="141"/>
      <c r="X76" s="141"/>
      <c r="Y76" s="11"/>
      <c r="Z76" s="11"/>
      <c r="AA76" s="11"/>
      <c r="AB76" s="11"/>
      <c r="AC76" s="11"/>
      <c r="AE76" s="42"/>
    </row>
    <row r="77" spans="1:31">
      <c r="A77" s="3" t="s">
        <v>167</v>
      </c>
      <c r="C77" s="127" t="e">
        <f>#REF!</f>
        <v>#REF!</v>
      </c>
      <c r="D77" s="127">
        <v>0</v>
      </c>
      <c r="E77" s="132"/>
      <c r="F77" s="11"/>
      <c r="G77" s="135" t="e">
        <f>#REF!</f>
        <v>#REF!</v>
      </c>
      <c r="H77" s="135">
        <v>0</v>
      </c>
      <c r="I77" s="132"/>
      <c r="J77" s="11"/>
      <c r="K77" s="135" t="e">
        <f>G77</f>
        <v>#REF!</v>
      </c>
      <c r="M77" s="307"/>
      <c r="N77" s="307"/>
      <c r="O77" s="150"/>
      <c r="P77" s="141"/>
      <c r="Q77" s="141"/>
      <c r="R77" s="146"/>
      <c r="S77" s="144"/>
      <c r="T77" s="141"/>
      <c r="U77" s="141"/>
      <c r="V77" s="141"/>
      <c r="W77" s="141"/>
      <c r="X77" s="141"/>
      <c r="Y77" s="11"/>
      <c r="Z77" s="11"/>
      <c r="AA77" s="11"/>
      <c r="AB77" s="11"/>
      <c r="AC77" s="11"/>
      <c r="AE77" s="42"/>
    </row>
    <row r="78" spans="1:31" ht="16.5" thickBot="1">
      <c r="A78" s="3" t="s">
        <v>1</v>
      </c>
      <c r="C78" s="136" t="e">
        <f>C76+C77</f>
        <v>#REF!</v>
      </c>
      <c r="D78" s="136">
        <f>SUM(D76:D77)</f>
        <v>167748.79783190461</v>
      </c>
      <c r="E78" s="137"/>
      <c r="F78" s="137"/>
      <c r="G78" s="137" t="e">
        <f>G76+G77</f>
        <v>#REF!</v>
      </c>
      <c r="H78" s="137">
        <f>H76+H77</f>
        <v>20159</v>
      </c>
      <c r="I78" s="137"/>
      <c r="J78" s="137"/>
      <c r="K78" s="137" t="e">
        <f>K76+K77</f>
        <v>#REF!</v>
      </c>
      <c r="M78" s="274"/>
      <c r="N78" s="274"/>
      <c r="O78" s="333"/>
      <c r="P78" s="141"/>
      <c r="Q78" s="141"/>
      <c r="R78" s="141"/>
      <c r="S78" s="141"/>
      <c r="T78" s="141"/>
      <c r="U78" s="141"/>
      <c r="V78" s="141"/>
      <c r="W78" s="141"/>
      <c r="X78" s="141"/>
      <c r="Y78" s="11"/>
      <c r="Z78" s="11"/>
      <c r="AA78" s="11"/>
      <c r="AB78" s="11"/>
      <c r="AC78" s="11"/>
      <c r="AE78" s="42"/>
    </row>
    <row r="79" spans="1:31" ht="16.5" thickTop="1">
      <c r="C79" s="138"/>
      <c r="D79" s="138"/>
      <c r="E79" s="138"/>
      <c r="F79" s="138"/>
      <c r="G79" s="126"/>
      <c r="H79" s="126"/>
      <c r="I79" s="1" t="s">
        <v>13</v>
      </c>
      <c r="J79" s="138"/>
      <c r="K79" s="2" t="s">
        <v>13</v>
      </c>
      <c r="M79" s="11"/>
      <c r="N79" s="11"/>
      <c r="O79" s="38"/>
      <c r="P79" s="38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E79" s="42"/>
    </row>
    <row r="80" spans="1:31">
      <c r="A80" s="156" t="s">
        <v>172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11"/>
      <c r="N80" s="11"/>
      <c r="O80" s="38"/>
      <c r="P80" s="38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E80" s="42"/>
    </row>
    <row r="81" spans="1:31">
      <c r="A81" s="1" t="s">
        <v>173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334"/>
      <c r="N81" s="334"/>
      <c r="O81" s="38"/>
      <c r="P81" s="38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E81" s="42"/>
    </row>
    <row r="82" spans="1:31">
      <c r="A82" s="160"/>
      <c r="B82" s="1"/>
      <c r="C82" s="1"/>
      <c r="D82" s="1"/>
      <c r="E82" s="12"/>
      <c r="F82" s="12"/>
      <c r="G82" s="1"/>
      <c r="H82" s="1"/>
      <c r="I82" s="12"/>
      <c r="J82" s="1"/>
      <c r="K82" s="1"/>
      <c r="M82" s="11"/>
      <c r="N82" s="11"/>
      <c r="O82" s="38"/>
      <c r="P82" s="38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E82" s="42"/>
    </row>
    <row r="83" spans="1:31">
      <c r="A83" s="1" t="s">
        <v>174</v>
      </c>
      <c r="B83" s="1"/>
      <c r="C83" s="12">
        <f t="shared" ref="C83:D90" si="4">C96+C109+C122+C135</f>
        <v>1229595</v>
      </c>
      <c r="D83" s="12">
        <f t="shared" si="4"/>
        <v>1221387</v>
      </c>
      <c r="E83" s="161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161">
        <v>6.75</v>
      </c>
      <c r="J83" s="1"/>
      <c r="K83" s="2">
        <f t="shared" ref="K83:K89" si="6">K96+K109+K122+K135</f>
        <v>8299768</v>
      </c>
      <c r="M83" s="42">
        <f>I83*D83</f>
        <v>8244362.25</v>
      </c>
      <c r="O83" s="8">
        <f t="shared" ref="O83:O88" si="7">(I83-E83)/E83</f>
        <v>0.125</v>
      </c>
      <c r="T83" s="3" t="s">
        <v>175</v>
      </c>
      <c r="U83" s="3" t="s">
        <v>120</v>
      </c>
      <c r="V83" s="3" t="s">
        <v>176</v>
      </c>
      <c r="W83" s="3" t="s">
        <v>126</v>
      </c>
      <c r="X83" s="11"/>
      <c r="Y83" s="11"/>
      <c r="Z83" s="11"/>
      <c r="AA83" s="11"/>
      <c r="AB83" s="11"/>
      <c r="AC83" s="11"/>
      <c r="AE83" s="42"/>
    </row>
    <row r="84" spans="1:31">
      <c r="A84" s="1" t="s">
        <v>177</v>
      </c>
      <c r="B84" s="1"/>
      <c r="C84" s="12" t="e">
        <f t="shared" si="4"/>
        <v>#REF!</v>
      </c>
      <c r="D84" s="12">
        <f t="shared" si="4"/>
        <v>670554218.28816807</v>
      </c>
      <c r="E84" s="162">
        <v>4.9139999999999997</v>
      </c>
      <c r="F84" s="1" t="s">
        <v>178</v>
      </c>
      <c r="G84" s="2" t="e">
        <f t="shared" si="5"/>
        <v>#REF!</v>
      </c>
      <c r="H84" s="2">
        <f t="shared" si="5"/>
        <v>32951033</v>
      </c>
      <c r="I84" s="162">
        <v>5.4039999999999999</v>
      </c>
      <c r="J84" s="1" t="s">
        <v>178</v>
      </c>
      <c r="K84" s="2" t="e">
        <f t="shared" si="6"/>
        <v>#REF!</v>
      </c>
      <c r="M84" s="42">
        <f>(I84/100)*D84</f>
        <v>36236749.956292599</v>
      </c>
      <c r="O84" s="8">
        <f t="shared" si="7"/>
        <v>9.9715099715099759E-2</v>
      </c>
      <c r="Q84" s="101">
        <f>(E85-E84)/E84</f>
        <v>0.57733007733007746</v>
      </c>
      <c r="S84" s="3" t="s">
        <v>7</v>
      </c>
      <c r="T84" s="42">
        <f>H83</f>
        <v>7328322</v>
      </c>
      <c r="U84" s="42">
        <f>K83</f>
        <v>8299768</v>
      </c>
      <c r="V84" s="49">
        <v>10560201.731189568</v>
      </c>
      <c r="W84" s="101">
        <f>U84/V84</f>
        <v>0.78594786456461585</v>
      </c>
      <c r="X84" s="11"/>
      <c r="Y84" s="11"/>
      <c r="Z84" s="11"/>
      <c r="AA84" s="11"/>
      <c r="AB84" s="11"/>
      <c r="AC84" s="11"/>
      <c r="AE84" s="42"/>
    </row>
    <row r="85" spans="1:31">
      <c r="A85" s="1" t="s">
        <v>179</v>
      </c>
      <c r="B85" s="1"/>
      <c r="C85" s="12" t="e">
        <f t="shared" si="4"/>
        <v>#REF!</v>
      </c>
      <c r="D85" s="12">
        <f t="shared" si="4"/>
        <v>958583102.59308743</v>
      </c>
      <c r="E85" s="162">
        <v>7.7510000000000003</v>
      </c>
      <c r="F85" s="1" t="s">
        <v>178</v>
      </c>
      <c r="G85" s="2" t="e">
        <f t="shared" si="5"/>
        <v>#REF!</v>
      </c>
      <c r="H85" s="2">
        <f t="shared" si="5"/>
        <v>74299776</v>
      </c>
      <c r="I85" s="162">
        <f>ROUND((E85/E84*I84),3)-0.003</f>
        <v>8.520999999999999</v>
      </c>
      <c r="J85" s="1" t="s">
        <v>178</v>
      </c>
      <c r="K85" s="2" t="e">
        <f t="shared" si="6"/>
        <v>#REF!</v>
      </c>
      <c r="M85" s="42">
        <f>(I85/100)*D85</f>
        <v>81680866.171956971</v>
      </c>
      <c r="N85" s="163"/>
      <c r="O85" s="8">
        <f t="shared" si="7"/>
        <v>9.9342020384466351E-2</v>
      </c>
      <c r="Q85" s="101">
        <f>(I85-I84)/I84</f>
        <v>0.57679496669133956</v>
      </c>
      <c r="S85" s="3" t="s">
        <v>180</v>
      </c>
      <c r="T85" s="49">
        <f>E84*(D84+D85)/100</f>
        <v>80055807.948104903</v>
      </c>
      <c r="U85" s="49">
        <f>I84*(D84+D85)/100</f>
        <v>88038580.820423052</v>
      </c>
      <c r="V85" s="49">
        <v>74901422.706720337</v>
      </c>
      <c r="W85" s="101">
        <f>U85/V85</f>
        <v>1.1753926379361552</v>
      </c>
      <c r="X85" s="11"/>
      <c r="Y85" s="11"/>
      <c r="Z85" s="11"/>
      <c r="AA85" s="11"/>
      <c r="AB85" s="11"/>
      <c r="AC85" s="11"/>
      <c r="AE85" s="42"/>
    </row>
    <row r="86" spans="1:31">
      <c r="A86" s="1" t="s">
        <v>181</v>
      </c>
      <c r="B86" s="1"/>
      <c r="C86" s="12">
        <f t="shared" si="4"/>
        <v>5923</v>
      </c>
      <c r="D86" s="12">
        <f t="shared" si="4"/>
        <v>6971.808259255954</v>
      </c>
      <c r="E86" s="164">
        <v>1.55</v>
      </c>
      <c r="F86" s="1"/>
      <c r="G86" s="2">
        <f t="shared" si="5"/>
        <v>9181</v>
      </c>
      <c r="H86" s="2">
        <f t="shared" si="5"/>
        <v>10806</v>
      </c>
      <c r="I86" s="164">
        <v>1.65</v>
      </c>
      <c r="J86" s="1"/>
      <c r="K86" s="2">
        <f t="shared" si="6"/>
        <v>9773</v>
      </c>
      <c r="M86" s="42">
        <f>I86*D86</f>
        <v>11503.483627772324</v>
      </c>
      <c r="O86" s="8">
        <f t="shared" si="7"/>
        <v>6.4516129032257979E-2</v>
      </c>
      <c r="S86" s="3" t="s">
        <v>182</v>
      </c>
      <c r="T86" s="42">
        <f>H84+H85-T85</f>
        <v>27195001.051895097</v>
      </c>
      <c r="U86" s="42" t="e">
        <f>K84+K85-U85</f>
        <v>#REF!</v>
      </c>
      <c r="V86" s="49">
        <v>33130328.65840701</v>
      </c>
      <c r="W86" s="101" t="e">
        <f>U86/V86</f>
        <v>#REF!</v>
      </c>
      <c r="X86" s="11"/>
      <c r="Y86" s="11"/>
      <c r="Z86" s="11"/>
      <c r="AA86" s="11"/>
      <c r="AB86" s="11"/>
      <c r="AC86" s="11"/>
      <c r="AE86" s="42"/>
    </row>
    <row r="87" spans="1:31">
      <c r="A87" s="166" t="s">
        <v>183</v>
      </c>
      <c r="B87" s="166"/>
      <c r="C87" s="12">
        <f t="shared" si="4"/>
        <v>979</v>
      </c>
      <c r="D87" s="12">
        <f t="shared" si="4"/>
        <v>1152.184035507054</v>
      </c>
      <c r="E87" s="164">
        <v>3</v>
      </c>
      <c r="F87" s="166"/>
      <c r="G87" s="2">
        <f t="shared" si="5"/>
        <v>2937</v>
      </c>
      <c r="H87" s="2">
        <f t="shared" si="5"/>
        <v>3457</v>
      </c>
      <c r="I87" s="164">
        <f>ROUND(I86/E86*E87,2)+0.01</f>
        <v>3.1999999999999997</v>
      </c>
      <c r="J87" s="166"/>
      <c r="K87" s="2">
        <f t="shared" si="6"/>
        <v>3132</v>
      </c>
      <c r="M87" s="42">
        <f>I87*D87</f>
        <v>3686.9889136225725</v>
      </c>
      <c r="O87" s="8">
        <f t="shared" si="7"/>
        <v>6.6666666666666582E-2</v>
      </c>
      <c r="X87" s="11"/>
      <c r="Y87" s="11"/>
      <c r="Z87" s="11"/>
      <c r="AA87" s="11"/>
      <c r="AB87" s="11"/>
      <c r="AC87" s="11"/>
      <c r="AE87" s="42"/>
    </row>
    <row r="88" spans="1:31">
      <c r="A88" s="166" t="s">
        <v>184</v>
      </c>
      <c r="B88" s="166"/>
      <c r="C88" s="12">
        <f t="shared" si="4"/>
        <v>70</v>
      </c>
      <c r="D88" s="12">
        <f t="shared" si="4"/>
        <v>82.551683985472636</v>
      </c>
      <c r="E88" s="167">
        <v>-1.55</v>
      </c>
      <c r="F88" s="166"/>
      <c r="G88" s="2">
        <f t="shared" si="5"/>
        <v>-108</v>
      </c>
      <c r="H88" s="2">
        <f t="shared" si="5"/>
        <v>-128</v>
      </c>
      <c r="I88" s="167">
        <f>-I86</f>
        <v>-1.65</v>
      </c>
      <c r="J88" s="166"/>
      <c r="K88" s="2">
        <f t="shared" si="6"/>
        <v>-115</v>
      </c>
      <c r="M88" s="42">
        <f>I88*D88</f>
        <v>-136.21027857602985</v>
      </c>
      <c r="O88" s="8">
        <f t="shared" si="7"/>
        <v>6.4516129032257979E-2</v>
      </c>
      <c r="X88" s="11"/>
      <c r="Y88" s="11"/>
      <c r="Z88" s="11"/>
      <c r="AA88" s="11"/>
      <c r="AB88" s="11"/>
      <c r="AC88" s="11"/>
      <c r="AE88" s="42"/>
    </row>
    <row r="89" spans="1:31">
      <c r="A89" s="1" t="s">
        <v>185</v>
      </c>
      <c r="B89" s="168"/>
      <c r="C89" s="12" t="e">
        <f t="shared" si="4"/>
        <v>#REF!</v>
      </c>
      <c r="D89" s="12">
        <f t="shared" si="4"/>
        <v>1629137320.8812554</v>
      </c>
      <c r="E89" s="169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42">
        <f>SUM(M83:M88)</f>
        <v>126177032.64051239</v>
      </c>
      <c r="O89" s="8"/>
      <c r="X89" s="11"/>
      <c r="Y89" s="11"/>
      <c r="Z89" s="11"/>
      <c r="AA89" s="11"/>
      <c r="AB89" s="11"/>
      <c r="AC89" s="11"/>
      <c r="AE89" s="42"/>
    </row>
    <row r="90" spans="1:31">
      <c r="A90" s="1" t="s">
        <v>167</v>
      </c>
      <c r="B90" s="170"/>
      <c r="C90" s="171" t="e">
        <f t="shared" si="4"/>
        <v>#REF!</v>
      </c>
      <c r="D90" s="171">
        <f t="shared" si="4"/>
        <v>0</v>
      </c>
      <c r="E90" s="172"/>
      <c r="F90" s="172"/>
      <c r="G90" s="173" t="e">
        <f t="shared" si="5"/>
        <v>#REF!</v>
      </c>
      <c r="H90" s="173">
        <f t="shared" si="5"/>
        <v>0</v>
      </c>
      <c r="I90" s="172"/>
      <c r="J90" s="172"/>
      <c r="K90" s="173" t="e">
        <f>G90</f>
        <v>#REF!</v>
      </c>
      <c r="X90" s="11"/>
      <c r="Y90" s="11"/>
      <c r="Z90" s="11"/>
      <c r="AA90" s="11"/>
      <c r="AB90" s="11"/>
      <c r="AC90" s="11"/>
      <c r="AE90" s="42"/>
    </row>
    <row r="91" spans="1:31" ht="16.5" thickBot="1">
      <c r="A91" s="1" t="s">
        <v>186</v>
      </c>
      <c r="B91" s="1"/>
      <c r="C91" s="174" t="e">
        <f>C89+C90</f>
        <v>#REF!</v>
      </c>
      <c r="D91" s="174">
        <f>D84+D85+D90</f>
        <v>1629137320.8812556</v>
      </c>
      <c r="E91" s="175"/>
      <c r="F91" s="175"/>
      <c r="G91" s="175" t="e">
        <f>G89+G90</f>
        <v>#REF!</v>
      </c>
      <c r="H91" s="175">
        <f>H89+H90</f>
        <v>114593266</v>
      </c>
      <c r="I91" s="175"/>
      <c r="J91" s="175"/>
      <c r="K91" s="175" t="e">
        <f>K89+K90</f>
        <v>#REF!</v>
      </c>
      <c r="N91" s="3" t="s">
        <v>168</v>
      </c>
      <c r="O91" s="33" t="e">
        <f>#REF!*1000</f>
        <v>#REF!</v>
      </c>
      <c r="X91" s="11"/>
      <c r="Y91" s="11"/>
      <c r="Z91" s="11"/>
      <c r="AA91" s="11"/>
      <c r="AB91" s="11"/>
      <c r="AC91" s="11"/>
      <c r="AE91" s="42"/>
    </row>
    <row r="92" spans="1:31" ht="16.5" thickTop="1">
      <c r="A92" s="1"/>
      <c r="B92" s="176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114</v>
      </c>
      <c r="O92" s="33" t="e">
        <f>O91-K91</f>
        <v>#REF!</v>
      </c>
      <c r="P92" s="177" t="e">
        <f>(O91-K91)/K91</f>
        <v>#REF!</v>
      </c>
      <c r="X92" s="11"/>
      <c r="Y92" s="11"/>
      <c r="Z92" s="11"/>
      <c r="AA92" s="11"/>
      <c r="AB92" s="11"/>
      <c r="AC92" s="11"/>
      <c r="AE92" s="42"/>
    </row>
    <row r="93" spans="1:31">
      <c r="A93" s="156" t="s">
        <v>187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M93" s="11"/>
      <c r="N93" s="11"/>
      <c r="O93" s="104"/>
      <c r="P93" s="38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E93" s="42"/>
    </row>
    <row r="94" spans="1:31">
      <c r="A94" s="1" t="s">
        <v>135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M94" s="11"/>
      <c r="N94" s="11"/>
      <c r="O94" s="38"/>
      <c r="P94" s="38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E94" s="42"/>
    </row>
    <row r="95" spans="1:31">
      <c r="A95" s="160"/>
      <c r="B95" s="1"/>
      <c r="C95" s="1"/>
      <c r="D95" s="1"/>
      <c r="E95" s="12"/>
      <c r="F95" s="12"/>
      <c r="G95" s="1"/>
      <c r="H95" s="1"/>
      <c r="I95" s="12"/>
      <c r="J95" s="1"/>
      <c r="K95" s="1"/>
      <c r="M95" s="11"/>
      <c r="N95" s="11"/>
      <c r="O95" s="38"/>
      <c r="P95" s="38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E95" s="42"/>
    </row>
    <row r="96" spans="1:31">
      <c r="A96" s="1" t="s">
        <v>174</v>
      </c>
      <c r="B96" s="1"/>
      <c r="C96" s="12">
        <f>1191112+6</f>
        <v>1191118</v>
      </c>
      <c r="D96" s="12">
        <f>1191112+6</f>
        <v>1191118</v>
      </c>
      <c r="E96" s="161">
        <f>$E$83</f>
        <v>6</v>
      </c>
      <c r="F96" s="1"/>
      <c r="G96" s="2">
        <f>ROUND(E96*$C96,0)</f>
        <v>7146708</v>
      </c>
      <c r="H96" s="2">
        <f>ROUND(E96*$D96,0)</f>
        <v>7146708</v>
      </c>
      <c r="I96" s="161">
        <f>$I$83</f>
        <v>6.75</v>
      </c>
      <c r="J96" s="1"/>
      <c r="K96" s="2">
        <f>ROUND(I96*$C96,0)</f>
        <v>8040047</v>
      </c>
      <c r="M96" s="11"/>
      <c r="N96" s="11"/>
      <c r="O96" s="38"/>
      <c r="P96" s="38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E96" s="42"/>
    </row>
    <row r="97" spans="1:31">
      <c r="A97" s="1" t="s">
        <v>177</v>
      </c>
      <c r="B97" s="1"/>
      <c r="C97" s="12" t="e">
        <f>652855208+600+#REF!*1000</f>
        <v>#REF!</v>
      </c>
      <c r="D97" s="12">
        <f>652855208+600</f>
        <v>652855808</v>
      </c>
      <c r="E97" s="162">
        <f>$E$84</f>
        <v>4.9139999999999997</v>
      </c>
      <c r="F97" s="1" t="s">
        <v>178</v>
      </c>
      <c r="G97" s="2" t="e">
        <f>ROUND(E97*$C97/100,0)</f>
        <v>#REF!</v>
      </c>
      <c r="H97" s="2">
        <f>ROUND(E97*$D97/100,0)</f>
        <v>32081334</v>
      </c>
      <c r="I97" s="162">
        <f>$I$84</f>
        <v>5.4039999999999999</v>
      </c>
      <c r="J97" s="1" t="s">
        <v>178</v>
      </c>
      <c r="K97" s="2" t="e">
        <f>ROUND(I97*$C97/100,0)</f>
        <v>#REF!</v>
      </c>
      <c r="M97" s="11"/>
      <c r="N97" s="11"/>
      <c r="O97" s="38"/>
      <c r="P97" s="38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E97" s="42"/>
    </row>
    <row r="98" spans="1:31">
      <c r="A98" s="1" t="s">
        <v>179</v>
      </c>
      <c r="B98" s="12"/>
      <c r="C98" s="12" t="e">
        <f>1582245854+1297-C97+#REF!*1000</f>
        <v>#REF!</v>
      </c>
      <c r="D98" s="12">
        <f>1582245854+1297-D97</f>
        <v>929391343</v>
      </c>
      <c r="E98" s="162">
        <f>$E$85</f>
        <v>7.7510000000000003</v>
      </c>
      <c r="F98" s="1" t="s">
        <v>178</v>
      </c>
      <c r="G98" s="2" t="e">
        <f>ROUND(E98*$C98/100,0)</f>
        <v>#REF!</v>
      </c>
      <c r="H98" s="2">
        <f>ROUND(E98*$D98/100,0)</f>
        <v>72037123</v>
      </c>
      <c r="I98" s="162">
        <f>$I$85</f>
        <v>8.520999999999999</v>
      </c>
      <c r="J98" s="1" t="s">
        <v>178</v>
      </c>
      <c r="K98" s="2" t="e">
        <f>ROUND(I98*$C98/100,0)</f>
        <v>#REF!</v>
      </c>
      <c r="M98" s="11"/>
      <c r="N98" s="11"/>
      <c r="O98" s="38"/>
      <c r="P98" s="38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E98" s="42"/>
    </row>
    <row r="99" spans="1:31">
      <c r="A99" s="1" t="s">
        <v>181</v>
      </c>
      <c r="B99" s="1"/>
      <c r="C99" s="12">
        <v>0</v>
      </c>
      <c r="D99" s="12">
        <v>0</v>
      </c>
      <c r="E99" s="164">
        <f>$E$86</f>
        <v>1.55</v>
      </c>
      <c r="F99" s="1"/>
      <c r="G99" s="2">
        <f>ROUND(E99*$C99,0)</f>
        <v>0</v>
      </c>
      <c r="H99" s="2">
        <v>0</v>
      </c>
      <c r="I99" s="164">
        <f>$I$86</f>
        <v>1.65</v>
      </c>
      <c r="J99" s="1"/>
      <c r="K99" s="2">
        <f>ROUND(I99*$C99,0)</f>
        <v>0</v>
      </c>
      <c r="M99" s="11"/>
      <c r="N99" s="11"/>
      <c r="O99" s="38"/>
      <c r="P99" s="38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E99" s="42"/>
    </row>
    <row r="100" spans="1:31">
      <c r="A100" s="166" t="s">
        <v>183</v>
      </c>
      <c r="B100" s="166"/>
      <c r="C100" s="12">
        <v>0</v>
      </c>
      <c r="D100" s="12">
        <v>0</v>
      </c>
      <c r="E100" s="164">
        <f>$E$87</f>
        <v>3</v>
      </c>
      <c r="F100" s="166"/>
      <c r="G100" s="2">
        <f>ROUND(E100*$C100,0)</f>
        <v>0</v>
      </c>
      <c r="H100" s="2">
        <v>0</v>
      </c>
      <c r="I100" s="164">
        <f>$I$87</f>
        <v>3.1999999999999997</v>
      </c>
      <c r="J100" s="166"/>
      <c r="K100" s="2">
        <f>ROUND(I100*$C100,0)</f>
        <v>0</v>
      </c>
      <c r="M100" s="11"/>
      <c r="N100" s="11"/>
      <c r="O100" s="38"/>
      <c r="P100" s="38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E100" s="42"/>
    </row>
    <row r="101" spans="1:31">
      <c r="A101" s="166" t="s">
        <v>184</v>
      </c>
      <c r="B101" s="166"/>
      <c r="C101" s="12">
        <v>0</v>
      </c>
      <c r="D101" s="12">
        <v>0</v>
      </c>
      <c r="E101" s="167">
        <f>-E99</f>
        <v>-1.55</v>
      </c>
      <c r="F101" s="166"/>
      <c r="G101" s="2">
        <f>ROUND(E101*$C101,0)</f>
        <v>0</v>
      </c>
      <c r="H101" s="2">
        <v>0</v>
      </c>
      <c r="I101" s="167">
        <f>-I99</f>
        <v>-1.65</v>
      </c>
      <c r="J101" s="166"/>
      <c r="K101" s="2">
        <f>ROUND(I101*$C101,0)</f>
        <v>0</v>
      </c>
      <c r="M101" s="11"/>
      <c r="N101" s="11"/>
      <c r="O101" s="38"/>
      <c r="P101" s="38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E101" s="42"/>
    </row>
    <row r="102" spans="1:31">
      <c r="A102" s="1" t="s">
        <v>185</v>
      </c>
      <c r="B102" s="168"/>
      <c r="C102" s="12" t="e">
        <f>SUM(C97:C98)</f>
        <v>#REF!</v>
      </c>
      <c r="D102" s="12">
        <f>SUM(D97:D98)</f>
        <v>1582247151</v>
      </c>
      <c r="E102" s="169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11"/>
      <c r="N102" s="11"/>
      <c r="O102" s="20"/>
      <c r="P102" s="38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E102" s="42"/>
    </row>
    <row r="103" spans="1:31">
      <c r="A103" s="1" t="s">
        <v>167</v>
      </c>
      <c r="B103" s="170"/>
      <c r="C103" s="180" t="e">
        <f>#REF!</f>
        <v>#REF!</v>
      </c>
      <c r="D103" s="171">
        <v>0</v>
      </c>
      <c r="E103" s="172"/>
      <c r="F103" s="172"/>
      <c r="G103" s="173" t="e">
        <f>#REF!</f>
        <v>#REF!</v>
      </c>
      <c r="H103" s="171">
        <v>0</v>
      </c>
      <c r="I103" s="172"/>
      <c r="J103" s="172"/>
      <c r="K103" s="173" t="e">
        <f>G103</f>
        <v>#REF!</v>
      </c>
      <c r="M103" s="307"/>
      <c r="N103" s="307"/>
      <c r="O103" s="150"/>
      <c r="P103" s="38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E103" s="42"/>
    </row>
    <row r="104" spans="1:31" ht="16.5" thickBot="1">
      <c r="A104" s="1" t="s">
        <v>186</v>
      </c>
      <c r="B104" s="1"/>
      <c r="C104" s="174" t="e">
        <f>C102+C103</f>
        <v>#REF!</v>
      </c>
      <c r="D104" s="174">
        <f>SUM(D102:D103)</f>
        <v>1582247151</v>
      </c>
      <c r="E104" s="175"/>
      <c r="F104" s="175"/>
      <c r="G104" s="175" t="e">
        <f>G102+G103</f>
        <v>#REF!</v>
      </c>
      <c r="H104" s="181">
        <f>SUM(H102:H103)</f>
        <v>111265165</v>
      </c>
      <c r="I104" s="175"/>
      <c r="J104" s="175"/>
      <c r="K104" s="175" t="e">
        <f>K102+K103</f>
        <v>#REF!</v>
      </c>
      <c r="M104" s="274"/>
      <c r="N104" s="274"/>
      <c r="O104" s="333"/>
      <c r="P104" s="38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E104" s="42"/>
    </row>
    <row r="105" spans="1:31" ht="16.5" thickTop="1">
      <c r="A105" s="1"/>
      <c r="B105" s="176"/>
      <c r="C105" s="12"/>
      <c r="D105" s="12"/>
      <c r="E105" s="12"/>
      <c r="F105" s="12"/>
      <c r="I105" s="1" t="s">
        <v>13</v>
      </c>
      <c r="J105" s="1"/>
      <c r="K105" s="2" t="s">
        <v>13</v>
      </c>
      <c r="M105" s="11"/>
      <c r="N105" s="11"/>
      <c r="O105" s="38"/>
      <c r="P105" s="38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E105" s="42"/>
    </row>
    <row r="106" spans="1:31">
      <c r="A106" s="156" t="s">
        <v>188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M106" s="11"/>
      <c r="N106" s="11"/>
      <c r="O106" s="38"/>
      <c r="P106" s="38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E106" s="42"/>
    </row>
    <row r="107" spans="1:31">
      <c r="A107" s="1" t="s">
        <v>135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M107" s="11"/>
      <c r="N107" s="11"/>
      <c r="O107" s="38"/>
      <c r="P107" s="38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E107" s="42"/>
    </row>
    <row r="108" spans="1:31">
      <c r="A108" s="160"/>
      <c r="B108" s="1"/>
      <c r="C108" s="1"/>
      <c r="D108" s="1"/>
      <c r="E108" s="12"/>
      <c r="F108" s="12"/>
      <c r="G108" s="1"/>
      <c r="H108" s="1"/>
      <c r="I108" s="12"/>
      <c r="J108" s="1"/>
      <c r="K108" s="1"/>
      <c r="M108" s="11"/>
      <c r="N108" s="11"/>
      <c r="O108" s="38"/>
      <c r="P108" s="38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E108" s="42"/>
    </row>
    <row r="109" spans="1:31">
      <c r="A109" s="1" t="s">
        <v>174</v>
      </c>
      <c r="B109" s="1"/>
      <c r="C109" s="12">
        <f>36986</f>
        <v>36986</v>
      </c>
      <c r="D109" s="12">
        <v>28799</v>
      </c>
      <c r="E109" s="161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161">
        <f>$I$83</f>
        <v>6.75</v>
      </c>
      <c r="J109" s="1"/>
      <c r="K109" s="2">
        <f>ROUND(I109*$C109,0)</f>
        <v>249656</v>
      </c>
      <c r="M109" s="11"/>
      <c r="N109" s="11"/>
      <c r="O109" s="38"/>
      <c r="P109" s="38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E109" s="42"/>
    </row>
    <row r="110" spans="1:31">
      <c r="A110" s="1" t="s">
        <v>177</v>
      </c>
      <c r="B110" s="1"/>
      <c r="C110" s="12">
        <f>21464809</f>
        <v>21464809</v>
      </c>
      <c r="D110" s="12">
        <v>16847282.170853201</v>
      </c>
      <c r="E110" s="162">
        <f>$E$84</f>
        <v>4.9139999999999997</v>
      </c>
      <c r="F110" s="1" t="s">
        <v>178</v>
      </c>
      <c r="G110" s="2">
        <f>ROUND(E110*$C110/100,0)</f>
        <v>1054781</v>
      </c>
      <c r="H110" s="2">
        <f>ROUND(E110*$D110/100,0)</f>
        <v>827875</v>
      </c>
      <c r="I110" s="162">
        <f>$I$84</f>
        <v>5.4039999999999999</v>
      </c>
      <c r="J110" s="1" t="s">
        <v>178</v>
      </c>
      <c r="K110" s="2">
        <f>ROUND(I110*$C110/100,0)</f>
        <v>1159958</v>
      </c>
      <c r="M110" s="11"/>
      <c r="N110" s="11"/>
      <c r="O110" s="38"/>
      <c r="P110" s="38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E110" s="42"/>
    </row>
    <row r="111" spans="1:31">
      <c r="A111" s="1" t="s">
        <v>179</v>
      </c>
      <c r="B111" s="1"/>
      <c r="C111" s="12">
        <f>55153831-C110</f>
        <v>33689022</v>
      </c>
      <c r="D111" s="12">
        <v>26441812.722120248</v>
      </c>
      <c r="E111" s="162">
        <f>$E$85</f>
        <v>7.7510000000000003</v>
      </c>
      <c r="F111" s="1" t="s">
        <v>178</v>
      </c>
      <c r="G111" s="2">
        <f>ROUND(E111*$C111/100,0)</f>
        <v>2611236</v>
      </c>
      <c r="H111" s="2">
        <f>ROUND(E111*$D111/100,0)</f>
        <v>2049505</v>
      </c>
      <c r="I111" s="162">
        <f>$I$85</f>
        <v>8.520999999999999</v>
      </c>
      <c r="J111" s="1" t="s">
        <v>178</v>
      </c>
      <c r="K111" s="2">
        <f>ROUND(I111*$C111/100,0)</f>
        <v>2870642</v>
      </c>
      <c r="M111" s="11"/>
      <c r="N111" s="11"/>
      <c r="O111" s="38"/>
      <c r="P111" s="38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E111" s="42"/>
    </row>
    <row r="112" spans="1:31">
      <c r="A112" s="1" t="s">
        <v>181</v>
      </c>
      <c r="B112" s="1"/>
      <c r="C112" s="12">
        <v>0</v>
      </c>
      <c r="D112" s="12">
        <v>0</v>
      </c>
      <c r="E112" s="164">
        <f>$E$86</f>
        <v>1.55</v>
      </c>
      <c r="F112" s="1"/>
      <c r="G112" s="2">
        <f>ROUND(E112*$C112,0)</f>
        <v>0</v>
      </c>
      <c r="H112" s="2">
        <v>0</v>
      </c>
      <c r="I112" s="164">
        <f>$I$86</f>
        <v>1.65</v>
      </c>
      <c r="J112" s="1"/>
      <c r="K112" s="2">
        <f>ROUND(I112*$C112,0)</f>
        <v>0</v>
      </c>
      <c r="M112" s="11"/>
      <c r="N112" s="11"/>
      <c r="O112" s="38"/>
      <c r="P112" s="38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E112" s="42"/>
    </row>
    <row r="113" spans="1:31">
      <c r="A113" s="166" t="s">
        <v>183</v>
      </c>
      <c r="B113" s="166"/>
      <c r="C113" s="12">
        <v>0</v>
      </c>
      <c r="D113" s="12">
        <v>0</v>
      </c>
      <c r="E113" s="164">
        <f>$E$87</f>
        <v>3</v>
      </c>
      <c r="F113" s="166"/>
      <c r="G113" s="2">
        <f>ROUND(E113*$C113,0)</f>
        <v>0</v>
      </c>
      <c r="H113" s="2">
        <v>0</v>
      </c>
      <c r="I113" s="164">
        <f>$I$87</f>
        <v>3.1999999999999997</v>
      </c>
      <c r="J113" s="166"/>
      <c r="K113" s="2">
        <f>ROUND(I113*$C113,0)</f>
        <v>0</v>
      </c>
      <c r="M113" s="11"/>
      <c r="N113" s="11"/>
      <c r="O113" s="38"/>
      <c r="P113" s="38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E113" s="42"/>
    </row>
    <row r="114" spans="1:31">
      <c r="A114" s="166" t="s">
        <v>184</v>
      </c>
      <c r="B114" s="166"/>
      <c r="C114" s="12">
        <v>0</v>
      </c>
      <c r="D114" s="12">
        <v>0</v>
      </c>
      <c r="E114" s="167">
        <f>-E112</f>
        <v>-1.55</v>
      </c>
      <c r="F114" s="166"/>
      <c r="G114" s="2">
        <f>ROUND(E114*$C114,0)</f>
        <v>0</v>
      </c>
      <c r="H114" s="2">
        <v>0</v>
      </c>
      <c r="I114" s="167">
        <f>-I112</f>
        <v>-1.65</v>
      </c>
      <c r="J114" s="166"/>
      <c r="K114" s="2">
        <f>ROUND(I114*$C114,0)</f>
        <v>0</v>
      </c>
      <c r="M114" s="11"/>
      <c r="N114" s="11"/>
      <c r="O114" s="38"/>
      <c r="P114" s="38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E114" s="42"/>
    </row>
    <row r="115" spans="1:31">
      <c r="A115" s="1" t="s">
        <v>185</v>
      </c>
      <c r="B115" s="1"/>
      <c r="C115" s="12">
        <f>SUM(C110:C111)</f>
        <v>55153831</v>
      </c>
      <c r="D115" s="12">
        <v>43289094.892973453</v>
      </c>
      <c r="E115" s="169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11"/>
      <c r="N115" s="11"/>
      <c r="O115" s="38"/>
      <c r="P115" s="38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E115" s="42"/>
    </row>
    <row r="116" spans="1:31">
      <c r="A116" s="1" t="s">
        <v>167</v>
      </c>
      <c r="B116" s="1"/>
      <c r="C116" s="180" t="e">
        <f>#REF!</f>
        <v>#REF!</v>
      </c>
      <c r="D116" s="171">
        <v>0</v>
      </c>
      <c r="E116" s="172"/>
      <c r="F116" s="172"/>
      <c r="G116" s="173" t="e">
        <f>#REF!</f>
        <v>#REF!</v>
      </c>
      <c r="H116" s="171">
        <v>0</v>
      </c>
      <c r="I116" s="172"/>
      <c r="J116" s="172"/>
      <c r="K116" s="173" t="e">
        <f>G116</f>
        <v>#REF!</v>
      </c>
      <c r="M116" s="307"/>
      <c r="N116" s="307"/>
      <c r="O116" s="150"/>
      <c r="P116" s="38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42"/>
    </row>
    <row r="117" spans="1:31" ht="16.5" thickBot="1">
      <c r="A117" s="1" t="s">
        <v>186</v>
      </c>
      <c r="B117" s="1"/>
      <c r="C117" s="174" t="e">
        <f>C115+C116</f>
        <v>#REF!</v>
      </c>
      <c r="D117" s="174">
        <f>SUM(D115:D116)</f>
        <v>43289094.892973453</v>
      </c>
      <c r="E117" s="175"/>
      <c r="F117" s="175"/>
      <c r="G117" s="175" t="e">
        <f>G115+G116</f>
        <v>#REF!</v>
      </c>
      <c r="H117" s="181">
        <f>SUM(H115:H116)</f>
        <v>3050174</v>
      </c>
      <c r="I117" s="175"/>
      <c r="J117" s="175"/>
      <c r="K117" s="175" t="e">
        <f>K115+K116</f>
        <v>#REF!</v>
      </c>
      <c r="M117" s="274"/>
      <c r="N117" s="274"/>
      <c r="O117" s="333"/>
      <c r="P117" s="38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E117" s="42"/>
    </row>
    <row r="118" spans="1:31" ht="16.5" thickTop="1">
      <c r="A118" s="1"/>
      <c r="B118" s="176"/>
      <c r="C118" s="12"/>
      <c r="D118" s="12"/>
      <c r="E118" s="12"/>
      <c r="F118" s="12"/>
      <c r="I118" s="1" t="s">
        <v>13</v>
      </c>
      <c r="J118" s="1"/>
      <c r="K118" s="2" t="s">
        <v>13</v>
      </c>
      <c r="M118" s="11"/>
      <c r="N118" s="11"/>
      <c r="O118" s="38"/>
      <c r="P118" s="38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E118" s="42"/>
    </row>
    <row r="119" spans="1:31">
      <c r="A119" s="156" t="s">
        <v>189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M119" s="11"/>
      <c r="N119" s="11"/>
      <c r="O119" s="38"/>
      <c r="P119" s="38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E119" s="42"/>
    </row>
    <row r="120" spans="1:31">
      <c r="A120" s="1" t="s">
        <v>135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M120" s="11"/>
      <c r="N120" s="11"/>
      <c r="O120" s="38"/>
      <c r="P120" s="38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E120" s="42"/>
    </row>
    <row r="121" spans="1:31">
      <c r="A121" s="160"/>
      <c r="B121" s="1"/>
      <c r="C121" s="1"/>
      <c r="D121" s="1"/>
      <c r="E121" s="12"/>
      <c r="F121" s="12"/>
      <c r="G121" s="1"/>
      <c r="H121" s="1"/>
      <c r="I121" s="12"/>
      <c r="J121" s="1"/>
      <c r="K121" s="1"/>
      <c r="M121" s="11"/>
      <c r="N121" s="11"/>
      <c r="O121" s="38"/>
      <c r="P121" s="38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E121" s="42"/>
    </row>
    <row r="122" spans="1:31">
      <c r="A122" s="1" t="s">
        <v>174</v>
      </c>
      <c r="B122" s="1"/>
      <c r="C122" s="12">
        <v>1189</v>
      </c>
      <c r="D122" s="12">
        <v>1155</v>
      </c>
      <c r="E122" s="161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161">
        <f>$I$83</f>
        <v>6.75</v>
      </c>
      <c r="J122" s="1"/>
      <c r="K122" s="2">
        <f>ROUND(I122*$C122,0)</f>
        <v>8026</v>
      </c>
      <c r="M122" s="11"/>
      <c r="N122" s="11"/>
      <c r="O122" s="38"/>
      <c r="P122" s="38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E122" s="42"/>
    </row>
    <row r="123" spans="1:31">
      <c r="A123" s="1" t="s">
        <v>177</v>
      </c>
      <c r="B123" s="1"/>
      <c r="C123" s="12" t="e">
        <f>651938+#REF!*1000</f>
        <v>#REF!</v>
      </c>
      <c r="D123" s="12">
        <v>640984.27568677999</v>
      </c>
      <c r="E123" s="162">
        <f>$E$84</f>
        <v>4.9139999999999997</v>
      </c>
      <c r="F123" s="1" t="s">
        <v>178</v>
      </c>
      <c r="G123" s="2" t="e">
        <f>ROUND(E123*$C123/100,0)</f>
        <v>#REF!</v>
      </c>
      <c r="H123" s="2">
        <f>ROUND(E123*$D123/100,0)</f>
        <v>31498</v>
      </c>
      <c r="I123" s="162">
        <f>$I$84</f>
        <v>5.4039999999999999</v>
      </c>
      <c r="J123" s="1" t="s">
        <v>178</v>
      </c>
      <c r="K123" s="2" t="e">
        <f>ROUND(I123*$C123/100,0)</f>
        <v>#REF!</v>
      </c>
      <c r="M123" s="11"/>
      <c r="N123" s="11"/>
      <c r="O123" s="38"/>
      <c r="P123" s="38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E123" s="42"/>
    </row>
    <row r="124" spans="1:31">
      <c r="A124" s="1" t="s">
        <v>179</v>
      </c>
      <c r="B124" s="1"/>
      <c r="C124" s="12" t="e">
        <f>2681515-C123+#REF!*1000+#REF!*1000</f>
        <v>#REF!</v>
      </c>
      <c r="D124" s="12">
        <v>2201637.146921176</v>
      </c>
      <c r="E124" s="162">
        <f>$E$85</f>
        <v>7.7510000000000003</v>
      </c>
      <c r="F124" s="1" t="s">
        <v>178</v>
      </c>
      <c r="G124" s="2" t="e">
        <f>ROUND(E124*$C124/100,0)</f>
        <v>#REF!</v>
      </c>
      <c r="H124" s="2">
        <f>ROUND(E124*$D124/100,0)</f>
        <v>170649</v>
      </c>
      <c r="I124" s="162">
        <f>$I$85</f>
        <v>8.520999999999999</v>
      </c>
      <c r="J124" s="1" t="s">
        <v>178</v>
      </c>
      <c r="K124" s="2" t="e">
        <f>ROUND(I124*$C124/100,0)</f>
        <v>#REF!</v>
      </c>
      <c r="M124" s="11"/>
      <c r="N124" s="11"/>
      <c r="O124" s="38"/>
      <c r="P124" s="38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E124" s="42"/>
    </row>
    <row r="125" spans="1:31">
      <c r="A125" s="1" t="s">
        <v>181</v>
      </c>
      <c r="B125" s="1"/>
      <c r="C125" s="12">
        <v>4907</v>
      </c>
      <c r="D125" s="12">
        <v>5762.7171576037508</v>
      </c>
      <c r="E125" s="164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164">
        <f>$I$86</f>
        <v>1.65</v>
      </c>
      <c r="J125" s="1"/>
      <c r="K125" s="2">
        <f>ROUND(I125*$C125,0)</f>
        <v>8097</v>
      </c>
      <c r="M125" s="11"/>
      <c r="N125" s="11"/>
      <c r="O125" s="38"/>
      <c r="P125" s="38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E125" s="42"/>
    </row>
    <row r="126" spans="1:31">
      <c r="A126" s="166" t="s">
        <v>183</v>
      </c>
      <c r="B126" s="166"/>
      <c r="C126" s="12">
        <v>822</v>
      </c>
      <c r="D126" s="12">
        <v>965.3461388934752</v>
      </c>
      <c r="E126" s="164">
        <f>$E$87</f>
        <v>3</v>
      </c>
      <c r="F126" s="166"/>
      <c r="G126" s="2">
        <f>ROUND(E126*$C126,0)</f>
        <v>2466</v>
      </c>
      <c r="H126" s="2">
        <f>ROUND(E126*$D126,0)</f>
        <v>2896</v>
      </c>
      <c r="I126" s="164">
        <f>$I$87</f>
        <v>3.1999999999999997</v>
      </c>
      <c r="J126" s="166"/>
      <c r="K126" s="2">
        <f>ROUND(I126*$C126,0)</f>
        <v>2630</v>
      </c>
      <c r="M126" s="11"/>
      <c r="N126" s="11"/>
      <c r="O126" s="38"/>
      <c r="P126" s="38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E126" s="42"/>
    </row>
    <row r="127" spans="1:31">
      <c r="A127" s="166" t="s">
        <v>184</v>
      </c>
      <c r="B127" s="166"/>
      <c r="C127" s="12">
        <v>48</v>
      </c>
      <c r="D127" s="12">
        <v>56.370577453633587</v>
      </c>
      <c r="E127" s="167">
        <f>-E125</f>
        <v>-1.55</v>
      </c>
      <c r="F127" s="166"/>
      <c r="G127" s="2">
        <f>ROUND(E127*$C127,0)</f>
        <v>-74</v>
      </c>
      <c r="H127" s="2">
        <f>ROUND(E127*$D127,0)</f>
        <v>-87</v>
      </c>
      <c r="I127" s="167">
        <f>-I125</f>
        <v>-1.65</v>
      </c>
      <c r="J127" s="166"/>
      <c r="K127" s="2">
        <f>ROUND(I127*$C127,0)</f>
        <v>-79</v>
      </c>
      <c r="M127" s="11"/>
      <c r="N127" s="11"/>
      <c r="O127" s="38"/>
      <c r="P127" s="38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E127" s="42"/>
    </row>
    <row r="128" spans="1:31">
      <c r="A128" s="1" t="s">
        <v>185</v>
      </c>
      <c r="B128" s="168"/>
      <c r="C128" s="12" t="e">
        <f>SUM(C123:C124)</f>
        <v>#REF!</v>
      </c>
      <c r="D128" s="12">
        <v>2842621.4226079565</v>
      </c>
      <c r="E128" s="169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11"/>
      <c r="N128" s="11"/>
      <c r="O128" s="38"/>
      <c r="P128" s="38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E128" s="42"/>
    </row>
    <row r="129" spans="1:31">
      <c r="A129" s="1" t="s">
        <v>167</v>
      </c>
      <c r="B129" s="15"/>
      <c r="C129" s="180" t="e">
        <f>#REF!</f>
        <v>#REF!</v>
      </c>
      <c r="D129" s="171">
        <v>0</v>
      </c>
      <c r="E129" s="172"/>
      <c r="F129" s="172"/>
      <c r="G129" s="173" t="e">
        <f>#REF!</f>
        <v>#REF!</v>
      </c>
      <c r="H129" s="173">
        <v>0</v>
      </c>
      <c r="I129" s="172"/>
      <c r="J129" s="172"/>
      <c r="K129" s="173" t="e">
        <f>G129</f>
        <v>#REF!</v>
      </c>
      <c r="M129" s="307"/>
      <c r="N129" s="307"/>
      <c r="O129" s="150"/>
      <c r="P129" s="38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E129" s="42"/>
    </row>
    <row r="130" spans="1:31" ht="16.5" thickBot="1">
      <c r="A130" s="1" t="s">
        <v>186</v>
      </c>
      <c r="B130" s="1"/>
      <c r="C130" s="174" t="e">
        <f>C128+C129</f>
        <v>#REF!</v>
      </c>
      <c r="D130" s="174">
        <f>SUM(D128:D129)</f>
        <v>2842621.4226079565</v>
      </c>
      <c r="E130" s="175"/>
      <c r="F130" s="175"/>
      <c r="G130" s="175" t="e">
        <f>G128+G129</f>
        <v>#REF!</v>
      </c>
      <c r="H130" s="175">
        <f>H128+H129</f>
        <v>220818</v>
      </c>
      <c r="I130" s="175"/>
      <c r="J130" s="175"/>
      <c r="K130" s="175" t="e">
        <f>K128+K129</f>
        <v>#REF!</v>
      </c>
      <c r="M130" s="274"/>
      <c r="N130" s="274"/>
      <c r="O130" s="333"/>
      <c r="P130" s="38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E130" s="42"/>
    </row>
    <row r="131" spans="1:31" ht="16.5" thickTop="1">
      <c r="A131" s="1"/>
      <c r="B131" s="176"/>
      <c r="C131" s="12"/>
      <c r="D131" s="12"/>
      <c r="E131" s="12"/>
      <c r="F131" s="12"/>
      <c r="I131" s="1" t="s">
        <v>13</v>
      </c>
      <c r="J131" s="1"/>
      <c r="K131" s="2" t="s">
        <v>13</v>
      </c>
      <c r="M131" s="11"/>
      <c r="N131" s="11"/>
      <c r="O131" s="38"/>
      <c r="P131" s="38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E131" s="42"/>
    </row>
    <row r="132" spans="1:31">
      <c r="A132" s="156" t="s">
        <v>190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M132" s="11"/>
      <c r="N132" s="11"/>
      <c r="O132" s="38"/>
      <c r="P132" s="38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E132" s="42"/>
    </row>
    <row r="133" spans="1:31">
      <c r="A133" s="1" t="s">
        <v>135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M133" s="11"/>
      <c r="N133" s="11"/>
      <c r="O133" s="38"/>
      <c r="P133" s="38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E133" s="42"/>
    </row>
    <row r="134" spans="1:31">
      <c r="A134" s="160"/>
      <c r="B134" s="1"/>
      <c r="C134" s="1"/>
      <c r="D134" s="1"/>
      <c r="E134" s="12"/>
      <c r="F134" s="12"/>
      <c r="G134" s="1"/>
      <c r="H134" s="1"/>
      <c r="I134" s="12"/>
      <c r="J134" s="1"/>
      <c r="K134" s="1"/>
      <c r="M134" s="11"/>
      <c r="N134" s="11"/>
      <c r="O134" s="38"/>
      <c r="P134" s="38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E134" s="42"/>
    </row>
    <row r="135" spans="1:31">
      <c r="A135" s="1" t="s">
        <v>174</v>
      </c>
      <c r="B135" s="1"/>
      <c r="C135" s="12">
        <v>302</v>
      </c>
      <c r="D135" s="12">
        <v>315</v>
      </c>
      <c r="E135" s="161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161">
        <f>$I$83</f>
        <v>6.75</v>
      </c>
      <c r="J135" s="1"/>
      <c r="K135" s="2">
        <f>ROUND(I135*$C135,0)</f>
        <v>2039</v>
      </c>
      <c r="M135" s="11"/>
      <c r="N135" s="11"/>
      <c r="O135" s="38"/>
      <c r="P135" s="38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E135" s="42"/>
    </row>
    <row r="136" spans="1:31">
      <c r="A136" s="1" t="s">
        <v>177</v>
      </c>
      <c r="B136" s="1"/>
      <c r="C136" s="12">
        <v>176584</v>
      </c>
      <c r="D136" s="12">
        <v>210143.84162810302</v>
      </c>
      <c r="E136" s="162">
        <f>$E$84</f>
        <v>4.9139999999999997</v>
      </c>
      <c r="F136" s="1" t="s">
        <v>178</v>
      </c>
      <c r="G136" s="2">
        <f>ROUND(E136*$C136/100,0)</f>
        <v>8677</v>
      </c>
      <c r="H136" s="2">
        <f>ROUND(E136*$D136/100,0)</f>
        <v>10326</v>
      </c>
      <c r="I136" s="162">
        <f>$I$84</f>
        <v>5.4039999999999999</v>
      </c>
      <c r="J136" s="1" t="s">
        <v>178</v>
      </c>
      <c r="K136" s="2">
        <f>ROUND(I136*$C136/100,0)</f>
        <v>9543</v>
      </c>
      <c r="M136" s="11"/>
      <c r="N136" s="11"/>
      <c r="O136" s="38"/>
      <c r="P136" s="38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E136" s="42"/>
    </row>
    <row r="137" spans="1:31">
      <c r="A137" s="1" t="s">
        <v>179</v>
      </c>
      <c r="B137" s="1"/>
      <c r="C137" s="12">
        <f>637329-C136</f>
        <v>460745</v>
      </c>
      <c r="D137" s="12">
        <v>548309.72404600831</v>
      </c>
      <c r="E137" s="162">
        <f>$E$85</f>
        <v>7.7510000000000003</v>
      </c>
      <c r="F137" s="1" t="s">
        <v>178</v>
      </c>
      <c r="G137" s="2">
        <f>ROUND(E137*$C137/100,0)</f>
        <v>35712</v>
      </c>
      <c r="H137" s="2">
        <f>ROUND(E137*$D137/100,0)</f>
        <v>42499</v>
      </c>
      <c r="I137" s="162">
        <f>$I$85</f>
        <v>8.520999999999999</v>
      </c>
      <c r="J137" s="1" t="s">
        <v>178</v>
      </c>
      <c r="K137" s="2">
        <f>ROUND(I137*$C137/100,0)</f>
        <v>39260</v>
      </c>
      <c r="M137" s="11"/>
      <c r="N137" s="11"/>
      <c r="O137" s="38"/>
      <c r="P137" s="38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E137" s="42"/>
    </row>
    <row r="138" spans="1:31">
      <c r="A138" s="1" t="s">
        <v>181</v>
      </c>
      <c r="B138" s="1"/>
      <c r="C138" s="12">
        <v>1016</v>
      </c>
      <c r="D138" s="12">
        <v>1209.0911016522034</v>
      </c>
      <c r="E138" s="164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164">
        <f>$I$86</f>
        <v>1.65</v>
      </c>
      <c r="J138" s="1"/>
      <c r="K138" s="2">
        <f>ROUND(I138*$C138,0)</f>
        <v>1676</v>
      </c>
      <c r="M138" s="11"/>
      <c r="N138" s="11"/>
      <c r="O138" s="38"/>
      <c r="P138" s="38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E138" s="42"/>
    </row>
    <row r="139" spans="1:31">
      <c r="A139" s="166" t="s">
        <v>183</v>
      </c>
      <c r="B139" s="166"/>
      <c r="C139" s="12">
        <v>157</v>
      </c>
      <c r="D139" s="12">
        <v>186.83789661357866</v>
      </c>
      <c r="E139" s="164">
        <f>$E$87</f>
        <v>3</v>
      </c>
      <c r="F139" s="166"/>
      <c r="G139" s="2">
        <f>ROUND(E139*$C139,0)</f>
        <v>471</v>
      </c>
      <c r="H139" s="2">
        <f>ROUND(E139*$D139,0)</f>
        <v>561</v>
      </c>
      <c r="I139" s="164">
        <f>$I$87</f>
        <v>3.1999999999999997</v>
      </c>
      <c r="J139" s="166"/>
      <c r="K139" s="2">
        <f>ROUND(I139*$C139,0)</f>
        <v>502</v>
      </c>
      <c r="M139" s="11"/>
      <c r="N139" s="11"/>
      <c r="O139" s="38"/>
      <c r="P139" s="38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E139" s="42"/>
    </row>
    <row r="140" spans="1:31">
      <c r="A140" s="166" t="s">
        <v>184</v>
      </c>
      <c r="B140" s="166"/>
      <c r="C140" s="12">
        <v>22</v>
      </c>
      <c r="D140" s="12">
        <v>26.181106531839049</v>
      </c>
      <c r="E140" s="167">
        <f>-E138</f>
        <v>-1.55</v>
      </c>
      <c r="F140" s="166"/>
      <c r="G140" s="2">
        <f>ROUND(E140*$C140,0)</f>
        <v>-34</v>
      </c>
      <c r="H140" s="2">
        <f>ROUND(E140*$D140,0)</f>
        <v>-41</v>
      </c>
      <c r="I140" s="167">
        <f>-I138</f>
        <v>-1.65</v>
      </c>
      <c r="J140" s="166"/>
      <c r="K140" s="2">
        <f>ROUND(I140*$C140,0)</f>
        <v>-36</v>
      </c>
      <c r="M140" s="11"/>
      <c r="N140" s="11"/>
      <c r="O140" s="38"/>
      <c r="P140" s="38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E140" s="42"/>
    </row>
    <row r="141" spans="1:31">
      <c r="A141" s="1" t="s">
        <v>185</v>
      </c>
      <c r="B141" s="1"/>
      <c r="C141" s="12">
        <f>SUM(C136:C137)</f>
        <v>637329</v>
      </c>
      <c r="D141" s="12">
        <v>758453.56567411136</v>
      </c>
      <c r="E141" s="169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11"/>
      <c r="N141" s="11"/>
      <c r="O141" s="38"/>
      <c r="P141" s="38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E141" s="42"/>
    </row>
    <row r="142" spans="1:31">
      <c r="A142" s="1" t="s">
        <v>167</v>
      </c>
      <c r="B142" s="1"/>
      <c r="C142" s="180" t="e">
        <f>#REF!</f>
        <v>#REF!</v>
      </c>
      <c r="D142" s="171">
        <v>0</v>
      </c>
      <c r="E142" s="172"/>
      <c r="F142" s="172"/>
      <c r="G142" s="173" t="e">
        <f>#REF!</f>
        <v>#REF!</v>
      </c>
      <c r="H142" s="173">
        <v>0</v>
      </c>
      <c r="I142" s="172"/>
      <c r="J142" s="172"/>
      <c r="K142" s="173" t="e">
        <f>G142</f>
        <v>#REF!</v>
      </c>
      <c r="M142" s="307"/>
      <c r="N142" s="307"/>
      <c r="O142" s="150"/>
      <c r="P142" s="38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E142" s="42"/>
    </row>
    <row r="143" spans="1:31" ht="16.5" thickBot="1">
      <c r="A143" s="1" t="s">
        <v>186</v>
      </c>
      <c r="B143" s="1"/>
      <c r="C143" s="174" t="e">
        <f>C141+C142</f>
        <v>#REF!</v>
      </c>
      <c r="D143" s="174">
        <f>SUM(D141:D142)</f>
        <v>758453.56567411136</v>
      </c>
      <c r="E143" s="175"/>
      <c r="F143" s="175"/>
      <c r="G143" s="175" t="e">
        <f>G141+G142</f>
        <v>#REF!</v>
      </c>
      <c r="H143" s="175">
        <f>H141+H142</f>
        <v>57109</v>
      </c>
      <c r="I143" s="175"/>
      <c r="J143" s="175"/>
      <c r="K143" s="175" t="e">
        <f>K141+K142</f>
        <v>#REF!</v>
      </c>
      <c r="M143" s="274"/>
      <c r="N143" s="274"/>
      <c r="O143" s="333"/>
      <c r="P143" s="38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E143" s="42"/>
    </row>
    <row r="144" spans="1:31" ht="16.5" thickTop="1">
      <c r="A144" s="1"/>
      <c r="B144" s="176"/>
      <c r="C144" s="12"/>
      <c r="D144" s="12"/>
      <c r="E144" s="12"/>
      <c r="F144" s="12"/>
      <c r="I144" s="1" t="s">
        <v>13</v>
      </c>
      <c r="J144" s="1"/>
      <c r="K144" s="2" t="s">
        <v>13</v>
      </c>
      <c r="M144" s="11"/>
      <c r="N144" s="11"/>
      <c r="O144" s="38"/>
      <c r="P144" s="38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E144" s="42"/>
    </row>
    <row r="145" spans="1:31">
      <c r="A145" s="156" t="s">
        <v>191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M145" s="11"/>
      <c r="N145" s="11"/>
      <c r="O145" s="38"/>
      <c r="P145" s="38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E145" s="42"/>
    </row>
    <row r="146" spans="1:31">
      <c r="A146" s="1" t="s">
        <v>192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11"/>
      <c r="N146" s="11"/>
      <c r="O146" s="38"/>
      <c r="P146" s="38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E146" s="42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11"/>
      <c r="N147" s="11"/>
      <c r="P147" s="38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E147" s="42"/>
    </row>
    <row r="148" spans="1:31">
      <c r="A148" s="1" t="s">
        <v>193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11"/>
      <c r="N148" s="11"/>
      <c r="O148" s="38"/>
      <c r="P148" s="38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E148" s="42"/>
    </row>
    <row r="149" spans="1:31">
      <c r="A149" s="1" t="s">
        <v>194</v>
      </c>
      <c r="B149" s="1"/>
      <c r="C149" s="12">
        <f>C384</f>
        <v>1</v>
      </c>
      <c r="D149" s="12">
        <f>D384</f>
        <v>1</v>
      </c>
      <c r="E149" s="161">
        <v>90.36</v>
      </c>
      <c r="F149" s="2"/>
      <c r="G149" s="2">
        <f t="shared" ref="G149:H151" si="8">G355</f>
        <v>90</v>
      </c>
      <c r="H149" s="2">
        <f t="shared" si="8"/>
        <v>90</v>
      </c>
      <c r="I149" s="161">
        <f>I153*12</f>
        <v>96</v>
      </c>
      <c r="J149" s="1"/>
      <c r="K149" s="2">
        <f>K355</f>
        <v>96</v>
      </c>
      <c r="M149" s="42">
        <f>I149*D149</f>
        <v>96</v>
      </c>
      <c r="O149" s="8">
        <f>(I149-E149)/E149</f>
        <v>6.2416998671978759E-2</v>
      </c>
      <c r="T149" s="3" t="s">
        <v>175</v>
      </c>
      <c r="U149" s="3" t="s">
        <v>120</v>
      </c>
      <c r="V149" s="3" t="s">
        <v>176</v>
      </c>
      <c r="W149" s="3" t="s">
        <v>126</v>
      </c>
      <c r="X149" s="11"/>
      <c r="Y149" s="11"/>
      <c r="Z149" s="11"/>
      <c r="AA149" s="11"/>
      <c r="AB149" s="11"/>
      <c r="AC149" s="11"/>
      <c r="AE149" s="42"/>
    </row>
    <row r="150" spans="1:31">
      <c r="A150" s="1" t="s">
        <v>195</v>
      </c>
      <c r="B150" s="1"/>
      <c r="C150" s="12">
        <f>C356</f>
        <v>107</v>
      </c>
      <c r="D150" s="12">
        <f>D356</f>
        <v>109.09090909090909</v>
      </c>
      <c r="E150" s="161">
        <v>134.16</v>
      </c>
      <c r="F150" s="2"/>
      <c r="G150" s="2">
        <f t="shared" si="8"/>
        <v>14355</v>
      </c>
      <c r="H150" s="2">
        <f t="shared" si="8"/>
        <v>14635</v>
      </c>
      <c r="I150" s="161">
        <f>I154*12</f>
        <v>142.53386454183266</v>
      </c>
      <c r="J150" s="1"/>
      <c r="K150" s="2">
        <f>K356</f>
        <v>15252</v>
      </c>
      <c r="M150" s="42">
        <f>I150*D150</f>
        <v>15549.148859109018</v>
      </c>
      <c r="N150" s="42"/>
      <c r="O150" s="8">
        <f>(I150-E150)/E150</f>
        <v>6.2416998671978682E-2</v>
      </c>
      <c r="S150" s="3" t="s">
        <v>7</v>
      </c>
      <c r="T150" s="42">
        <f>H149+H150+H153+H154</f>
        <v>1828725</v>
      </c>
      <c r="U150" s="42">
        <f>K149+K150+K153+K154</f>
        <v>1959163</v>
      </c>
      <c r="V150" s="49">
        <v>1916638.7857408486</v>
      </c>
      <c r="W150" s="101">
        <f>U150/V150</f>
        <v>1.0221868693128393</v>
      </c>
      <c r="X150" s="11"/>
      <c r="Y150" s="11"/>
      <c r="Z150" s="11"/>
      <c r="AA150" s="11"/>
      <c r="AB150" s="11"/>
      <c r="AC150" s="11"/>
      <c r="AE150" s="42"/>
    </row>
    <row r="151" spans="1:31">
      <c r="A151" s="1" t="s">
        <v>196</v>
      </c>
      <c r="B151" s="1"/>
      <c r="C151" s="12">
        <f>C357</f>
        <v>4321</v>
      </c>
      <c r="D151" s="12">
        <f>D357</f>
        <v>1974</v>
      </c>
      <c r="E151" s="161">
        <v>9.36</v>
      </c>
      <c r="F151" s="2"/>
      <c r="G151" s="2">
        <f t="shared" si="8"/>
        <v>40445</v>
      </c>
      <c r="H151" s="2">
        <f t="shared" si="8"/>
        <v>18476</v>
      </c>
      <c r="I151" s="161">
        <v>9.94</v>
      </c>
      <c r="J151" s="1"/>
      <c r="K151" s="2">
        <f>K357</f>
        <v>42951</v>
      </c>
      <c r="M151" s="42">
        <f>I151*D151</f>
        <v>19621.559999999998</v>
      </c>
      <c r="O151" s="8">
        <f>(I151-E151)/E151</f>
        <v>6.1965811965811975E-2</v>
      </c>
      <c r="R151" s="3" t="s">
        <v>13</v>
      </c>
      <c r="S151" s="3" t="s">
        <v>208</v>
      </c>
      <c r="T151" s="42" t="e">
        <f>H155</f>
        <v>#REF!</v>
      </c>
      <c r="U151" s="42">
        <f>K155</f>
        <v>1061210</v>
      </c>
      <c r="V151" s="49">
        <v>5367292.197431691</v>
      </c>
      <c r="W151" s="101">
        <f>U151/V151</f>
        <v>0.19771794807590329</v>
      </c>
      <c r="X151" s="11"/>
      <c r="Y151" s="11"/>
      <c r="Z151" s="11"/>
      <c r="AA151" s="11"/>
      <c r="AB151" s="11"/>
      <c r="AC151" s="11"/>
      <c r="AE151" s="42"/>
    </row>
    <row r="152" spans="1:31">
      <c r="A152" s="1" t="s">
        <v>197</v>
      </c>
      <c r="B152" s="1"/>
      <c r="C152" s="182"/>
      <c r="D152" s="182"/>
      <c r="E152" s="2"/>
      <c r="F152" s="2"/>
      <c r="G152" s="1"/>
      <c r="H152" s="1"/>
      <c r="I152" s="2"/>
      <c r="J152" s="1"/>
      <c r="K152" s="1"/>
      <c r="O152" s="183"/>
      <c r="S152" s="3" t="s">
        <v>180</v>
      </c>
      <c r="T152" s="42" t="e">
        <f>SUM(H159:H161)-Q159</f>
        <v>#REF!</v>
      </c>
      <c r="U152" s="42" t="e">
        <f>SUM(K159:K161)-R159</f>
        <v>#REF!</v>
      </c>
      <c r="V152" s="49">
        <v>26743743.576655678</v>
      </c>
      <c r="W152" s="101" t="e">
        <f>U152/V152</f>
        <v>#REF!</v>
      </c>
      <c r="X152" s="11"/>
      <c r="Y152" s="11"/>
      <c r="Z152" s="11"/>
      <c r="AA152" s="11"/>
      <c r="AB152" s="11"/>
      <c r="AC152" s="11"/>
      <c r="AE152" s="42"/>
    </row>
    <row r="153" spans="1:31">
      <c r="A153" s="1" t="s">
        <v>194</v>
      </c>
      <c r="B153" s="1"/>
      <c r="C153" s="182">
        <f t="shared" ref="C153:D155" si="9">C183+C267</f>
        <v>153375</v>
      </c>
      <c r="D153" s="182">
        <f t="shared" si="9"/>
        <v>152066</v>
      </c>
      <c r="E153" s="161">
        <v>7.53</v>
      </c>
      <c r="F153" s="184"/>
      <c r="G153" s="185">
        <f t="shared" ref="G153:H155" si="10">G183+G267</f>
        <v>1154913</v>
      </c>
      <c r="H153" s="185">
        <f t="shared" si="10"/>
        <v>1145056</v>
      </c>
      <c r="I153" s="161">
        <v>8</v>
      </c>
      <c r="J153" s="186"/>
      <c r="K153" s="185">
        <f>K183+K267</f>
        <v>1227000</v>
      </c>
      <c r="M153" s="42">
        <f>I153*D153</f>
        <v>1216528</v>
      </c>
      <c r="O153" s="8">
        <f>(I153-E153)/E153</f>
        <v>6.2416998671978717E-2</v>
      </c>
      <c r="S153" s="3" t="s">
        <v>210</v>
      </c>
      <c r="T153" s="42" t="e">
        <f>H158+Q159</f>
        <v>#REF!</v>
      </c>
      <c r="U153" s="42" t="e">
        <f>K158+R159</f>
        <v>#REF!</v>
      </c>
      <c r="V153" s="49">
        <v>4454867.4522770187</v>
      </c>
      <c r="W153" s="101" t="e">
        <f>U153/V153</f>
        <v>#REF!</v>
      </c>
      <c r="X153" s="11"/>
      <c r="Y153" s="11"/>
      <c r="Z153" s="11"/>
      <c r="AA153" s="11"/>
      <c r="AB153" s="11"/>
      <c r="AC153" s="11"/>
      <c r="AE153" s="42"/>
    </row>
    <row r="154" spans="1:31">
      <c r="A154" s="1" t="s">
        <v>195</v>
      </c>
      <c r="B154" s="1"/>
      <c r="C154" s="182">
        <f t="shared" si="9"/>
        <v>60349</v>
      </c>
      <c r="D154" s="182">
        <f t="shared" si="9"/>
        <v>59834</v>
      </c>
      <c r="E154" s="161">
        <v>11.18</v>
      </c>
      <c r="F154" s="187"/>
      <c r="G154" s="185">
        <f t="shared" si="10"/>
        <v>674702</v>
      </c>
      <c r="H154" s="185">
        <f t="shared" si="10"/>
        <v>668944</v>
      </c>
      <c r="I154" s="161">
        <f>I153/E153*E154</f>
        <v>11.877822045152721</v>
      </c>
      <c r="J154" s="188"/>
      <c r="K154" s="185">
        <f>K184+K268</f>
        <v>716815</v>
      </c>
      <c r="M154" s="42">
        <f>I154*D154</f>
        <v>710697.60424966784</v>
      </c>
      <c r="O154" s="8">
        <f>(I154-E154)/E154</f>
        <v>6.2416998671978627E-2</v>
      </c>
      <c r="Q154" s="42"/>
      <c r="V154" s="11"/>
      <c r="W154" s="11"/>
      <c r="X154" s="11"/>
      <c r="Y154" s="11"/>
      <c r="Z154" s="11"/>
      <c r="AA154" s="11"/>
      <c r="AB154" s="11"/>
      <c r="AC154" s="11"/>
      <c r="AE154" s="42"/>
    </row>
    <row r="155" spans="1:31">
      <c r="A155" s="1" t="s">
        <v>196</v>
      </c>
      <c r="B155" s="1"/>
      <c r="C155" s="182">
        <f t="shared" si="9"/>
        <v>1278566</v>
      </c>
      <c r="D155" s="182" t="e">
        <f t="shared" si="9"/>
        <v>#REF!</v>
      </c>
      <c r="E155" s="161">
        <v>0.78</v>
      </c>
      <c r="F155" s="187"/>
      <c r="G155" s="185">
        <f t="shared" si="10"/>
        <v>997281</v>
      </c>
      <c r="H155" s="185" t="e">
        <f t="shared" si="10"/>
        <v>#REF!</v>
      </c>
      <c r="I155" s="161">
        <v>0.83</v>
      </c>
      <c r="J155" s="188"/>
      <c r="K155" s="185">
        <f>K185+K269</f>
        <v>1061210</v>
      </c>
      <c r="M155" s="42" t="e">
        <f>I155*D155</f>
        <v>#REF!</v>
      </c>
      <c r="O155" s="8">
        <f>(I155-E155)/E155</f>
        <v>6.4102564102564014E-2</v>
      </c>
      <c r="R155" s="9"/>
      <c r="S155" s="9"/>
      <c r="V155" s="11"/>
      <c r="W155" s="11"/>
      <c r="X155" s="11"/>
      <c r="Y155" s="11"/>
      <c r="Z155" s="11"/>
      <c r="AA155" s="11"/>
      <c r="AB155" s="11"/>
      <c r="AC155" s="11"/>
      <c r="AE155" s="42"/>
    </row>
    <row r="156" spans="1:31">
      <c r="A156" s="1" t="s">
        <v>198</v>
      </c>
      <c r="B156" s="1"/>
      <c r="C156" s="182">
        <f>SUM(C153:C154)</f>
        <v>213724</v>
      </c>
      <c r="D156" s="182">
        <f>SUM(D153:D154)</f>
        <v>211900</v>
      </c>
      <c r="E156" s="161"/>
      <c r="F156" s="184"/>
      <c r="G156" s="185"/>
      <c r="H156" s="185"/>
      <c r="I156" s="161"/>
      <c r="J156" s="186"/>
      <c r="K156" s="185"/>
      <c r="O156" s="183"/>
      <c r="V156" s="11"/>
      <c r="W156" s="11"/>
      <c r="X156" s="11"/>
      <c r="Y156" s="11"/>
      <c r="Z156" s="11"/>
      <c r="AA156" s="11"/>
      <c r="AB156" s="11"/>
      <c r="AC156" s="11"/>
      <c r="AE156" s="42"/>
    </row>
    <row r="157" spans="1:31">
      <c r="A157" s="1" t="s">
        <v>166</v>
      </c>
      <c r="B157" s="1"/>
      <c r="C157" s="182">
        <f t="shared" ref="C157:C162" si="11">C186+C271+C359</f>
        <v>211679</v>
      </c>
      <c r="D157" s="182">
        <f>D186+D271+D358</f>
        <v>208713.84090909091</v>
      </c>
      <c r="E157" s="161"/>
      <c r="F157" s="184"/>
      <c r="G157" s="185"/>
      <c r="H157" s="185"/>
      <c r="I157" s="161"/>
      <c r="J157" s="186"/>
      <c r="K157" s="185"/>
      <c r="O157" s="183"/>
      <c r="V157" s="11"/>
      <c r="W157" s="11"/>
      <c r="X157" s="11"/>
      <c r="Y157" s="11"/>
      <c r="Z157" s="11"/>
      <c r="AA157" s="11"/>
      <c r="AB157" s="11"/>
      <c r="AC157" s="11"/>
      <c r="AE157" s="42"/>
    </row>
    <row r="158" spans="1:31">
      <c r="A158" s="1" t="s">
        <v>199</v>
      </c>
      <c r="B158" s="1"/>
      <c r="C158" s="182">
        <f t="shared" si="11"/>
        <v>834211</v>
      </c>
      <c r="D158" s="182" t="e">
        <f>D187+D272+D360</f>
        <v>#REF!</v>
      </c>
      <c r="E158" s="161">
        <v>2.88</v>
      </c>
      <c r="F158" s="186"/>
      <c r="G158" s="185">
        <f t="shared" ref="G158:H162" si="12">G187+G272+G360</f>
        <v>2402528</v>
      </c>
      <c r="H158" s="185" t="e">
        <f t="shared" si="12"/>
        <v>#REF!</v>
      </c>
      <c r="I158" s="161">
        <v>2.97</v>
      </c>
      <c r="J158" s="186"/>
      <c r="K158" s="185">
        <f>K187+K272+K360</f>
        <v>2477606</v>
      </c>
      <c r="M158" s="42" t="e">
        <f>I158*D158</f>
        <v>#REF!</v>
      </c>
      <c r="O158" s="8">
        <f>(I158-E158)/E158</f>
        <v>3.1250000000000104E-2</v>
      </c>
      <c r="Q158" s="3" t="s">
        <v>200</v>
      </c>
      <c r="V158" s="11"/>
      <c r="W158" s="11"/>
      <c r="X158" s="11"/>
      <c r="Y158" s="11"/>
      <c r="Z158" s="11"/>
      <c r="AA158" s="11"/>
      <c r="AB158" s="11"/>
      <c r="AC158" s="11"/>
      <c r="AE158" s="42"/>
    </row>
    <row r="159" spans="1:31">
      <c r="A159" s="1" t="s">
        <v>201</v>
      </c>
      <c r="B159" s="1"/>
      <c r="C159" s="182" t="e">
        <f t="shared" si="11"/>
        <v>#REF!</v>
      </c>
      <c r="D159" s="182" t="e">
        <f>D188+D273+D361</f>
        <v>#REF!</v>
      </c>
      <c r="E159" s="162">
        <v>8.0890000000000004</v>
      </c>
      <c r="F159" s="186" t="s">
        <v>178</v>
      </c>
      <c r="G159" s="185" t="e">
        <f t="shared" si="12"/>
        <v>#REF!</v>
      </c>
      <c r="H159" s="185" t="e">
        <f t="shared" si="12"/>
        <v>#REF!</v>
      </c>
      <c r="I159" s="162">
        <v>8.8109999999999999</v>
      </c>
      <c r="J159" s="186" t="s">
        <v>178</v>
      </c>
      <c r="K159" s="185" t="e">
        <f>K188+K273+K361</f>
        <v>#REF!</v>
      </c>
      <c r="M159" s="42" t="e">
        <f>(I159/100)*D159</f>
        <v>#REF!</v>
      </c>
      <c r="O159" s="8">
        <f>(I159-E159)/E159</f>
        <v>8.9257015700333731E-2</v>
      </c>
      <c r="Q159" s="100" t="e">
        <f>H159+H160-(D159+D160)*E161/100</f>
        <v>#REF!</v>
      </c>
      <c r="R159" s="100" t="e">
        <f>K159+K160-(D159+D160)*I161/100</f>
        <v>#REF!</v>
      </c>
      <c r="V159" s="11"/>
      <c r="W159" s="11"/>
      <c r="X159" s="11"/>
      <c r="Y159" s="11"/>
      <c r="Z159" s="11"/>
      <c r="AA159" s="11"/>
      <c r="AB159" s="11"/>
      <c r="AC159" s="11"/>
      <c r="AE159" s="42"/>
    </row>
    <row r="160" spans="1:31">
      <c r="A160" s="1" t="s">
        <v>202</v>
      </c>
      <c r="B160" s="1"/>
      <c r="C160" s="182" t="e">
        <f t="shared" si="11"/>
        <v>#REF!</v>
      </c>
      <c r="D160" s="182" t="e">
        <f>D189+D274+D362</f>
        <v>#REF!</v>
      </c>
      <c r="E160" s="162">
        <v>5.5839999999999996</v>
      </c>
      <c r="F160" s="186" t="s">
        <v>178</v>
      </c>
      <c r="G160" s="185" t="e">
        <f t="shared" si="12"/>
        <v>#REF!</v>
      </c>
      <c r="H160" s="185" t="e">
        <f t="shared" si="12"/>
        <v>#REF!</v>
      </c>
      <c r="I160" s="162">
        <f>ROUND(I159/E159*E160,3)</f>
        <v>6.0819999999999999</v>
      </c>
      <c r="J160" s="186" t="s">
        <v>178</v>
      </c>
      <c r="K160" s="185" t="e">
        <f>K189+K274+K362</f>
        <v>#REF!</v>
      </c>
      <c r="M160" s="42" t="e">
        <f>(I160/100)*D160</f>
        <v>#REF!</v>
      </c>
      <c r="N160" s="192"/>
      <c r="O160" s="8">
        <f>(I160-E160)/E160</f>
        <v>8.9183381088825259E-2</v>
      </c>
      <c r="V160" s="11"/>
      <c r="W160" s="11"/>
      <c r="X160" s="11"/>
      <c r="Y160" s="11"/>
      <c r="Z160" s="11"/>
      <c r="AA160" s="11"/>
      <c r="AB160" s="11"/>
      <c r="AC160" s="11"/>
      <c r="AE160" s="42"/>
    </row>
    <row r="161" spans="1:31">
      <c r="A161" s="1" t="s">
        <v>203</v>
      </c>
      <c r="B161" s="1"/>
      <c r="C161" s="182" t="e">
        <f t="shared" si="11"/>
        <v>#REF!</v>
      </c>
      <c r="D161" s="182" t="e">
        <f>D190+D275+D363</f>
        <v>#REF!</v>
      </c>
      <c r="E161" s="162">
        <v>4.8099999999999996</v>
      </c>
      <c r="F161" s="186" t="s">
        <v>178</v>
      </c>
      <c r="G161" s="185" t="e">
        <f t="shared" si="12"/>
        <v>#REF!</v>
      </c>
      <c r="H161" s="185" t="e">
        <f t="shared" si="12"/>
        <v>#REF!</v>
      </c>
      <c r="I161" s="162">
        <f>ROUND(I159/E159*E161,3)+0.001</f>
        <v>5.24</v>
      </c>
      <c r="J161" s="186" t="s">
        <v>178</v>
      </c>
      <c r="K161" s="185" t="e">
        <f>K190+K275+K363</f>
        <v>#REF!</v>
      </c>
      <c r="M161" s="42" t="e">
        <f>(I161/100)*D161</f>
        <v>#REF!</v>
      </c>
      <c r="N161" s="163"/>
      <c r="O161" s="8">
        <f>(I161-E161)/E161</f>
        <v>8.9397089397089527E-2</v>
      </c>
      <c r="Q161" s="42" t="e">
        <f>K159+K160+K161-R159</f>
        <v>#REF!</v>
      </c>
      <c r="V161" s="11"/>
      <c r="W161" s="11"/>
      <c r="X161" s="11"/>
      <c r="Y161" s="11"/>
      <c r="Z161" s="11"/>
      <c r="AA161" s="11"/>
      <c r="AB161" s="11"/>
      <c r="AC161" s="11"/>
      <c r="AE161" s="42"/>
    </row>
    <row r="162" spans="1:31">
      <c r="A162" s="1" t="s">
        <v>204</v>
      </c>
      <c r="B162" s="1"/>
      <c r="C162" s="182">
        <f t="shared" si="11"/>
        <v>93898</v>
      </c>
      <c r="D162" s="182" t="e">
        <f>D191+D276+D364</f>
        <v>#REF!</v>
      </c>
      <c r="E162" s="193">
        <v>45</v>
      </c>
      <c r="F162" s="184" t="s">
        <v>178</v>
      </c>
      <c r="G162" s="185">
        <f t="shared" si="12"/>
        <v>42254</v>
      </c>
      <c r="H162" s="185" t="e">
        <f t="shared" si="12"/>
        <v>#REF!</v>
      </c>
      <c r="I162" s="193">
        <v>50</v>
      </c>
      <c r="J162" s="186" t="s">
        <v>178</v>
      </c>
      <c r="K162" s="185">
        <f>K191+K276+K364</f>
        <v>46950</v>
      </c>
      <c r="M162" s="42" t="e">
        <f>(I162/100)*D162</f>
        <v>#REF!</v>
      </c>
      <c r="O162" s="8">
        <f>(I162-E162)/E162</f>
        <v>0.1111111111111111</v>
      </c>
      <c r="V162" s="11"/>
      <c r="W162" s="11"/>
      <c r="X162" s="11"/>
      <c r="Y162" s="11"/>
      <c r="Z162" s="11"/>
      <c r="AA162" s="11"/>
      <c r="AB162" s="11"/>
      <c r="AC162" s="11"/>
      <c r="AE162" s="42"/>
    </row>
    <row r="163" spans="1:31">
      <c r="A163" s="194" t="s">
        <v>205</v>
      </c>
      <c r="B163" s="1"/>
      <c r="C163" s="182"/>
      <c r="D163" s="182"/>
      <c r="E163" s="195">
        <v>-0.01</v>
      </c>
      <c r="F163" s="184"/>
      <c r="G163" s="185"/>
      <c r="H163" s="185"/>
      <c r="I163" s="195">
        <v>-0.01</v>
      </c>
      <c r="J163" s="186"/>
      <c r="K163" s="185"/>
      <c r="O163" s="196"/>
      <c r="V163" s="11"/>
      <c r="W163" s="11"/>
      <c r="X163" s="11"/>
      <c r="Y163" s="11"/>
      <c r="Z163" s="11"/>
      <c r="AA163" s="11"/>
      <c r="AB163" s="11"/>
      <c r="AC163" s="11"/>
      <c r="AE163" s="42"/>
    </row>
    <row r="164" spans="1:31">
      <c r="A164" s="1" t="s">
        <v>194</v>
      </c>
      <c r="B164" s="1"/>
      <c r="C164" s="182">
        <f t="shared" ref="C164:D175" si="13">C193+C278+C366</f>
        <v>48</v>
      </c>
      <c r="D164" s="182">
        <f t="shared" si="13"/>
        <v>48</v>
      </c>
      <c r="E164" s="197">
        <f>E153</f>
        <v>7.53</v>
      </c>
      <c r="F164" s="184"/>
      <c r="G164" s="185">
        <f t="shared" ref="G164:H175" si="14">G193+G278+G366</f>
        <v>-4</v>
      </c>
      <c r="H164" s="185">
        <f t="shared" si="14"/>
        <v>-4</v>
      </c>
      <c r="I164" s="197">
        <f>I153</f>
        <v>8</v>
      </c>
      <c r="J164" s="184"/>
      <c r="K164" s="185">
        <f t="shared" ref="K164:K174" si="15">K193+K278+K366</f>
        <v>-4</v>
      </c>
      <c r="M164" s="42">
        <f>-(I164/100)*D164</f>
        <v>-3.84</v>
      </c>
      <c r="V164" s="11"/>
      <c r="W164" s="11"/>
      <c r="X164" s="11"/>
      <c r="Y164" s="11"/>
      <c r="Z164" s="11"/>
      <c r="AA164" s="11"/>
      <c r="AB164" s="11"/>
      <c r="AC164" s="11"/>
      <c r="AE164" s="42"/>
    </row>
    <row r="165" spans="1:31">
      <c r="A165" s="1" t="s">
        <v>195</v>
      </c>
      <c r="B165" s="1"/>
      <c r="C165" s="182">
        <f t="shared" si="13"/>
        <v>93</v>
      </c>
      <c r="D165" s="182">
        <f t="shared" si="13"/>
        <v>92</v>
      </c>
      <c r="E165" s="197">
        <f>E154</f>
        <v>11.18</v>
      </c>
      <c r="F165" s="184"/>
      <c r="G165" s="185">
        <f t="shared" si="14"/>
        <v>-10</v>
      </c>
      <c r="H165" s="185">
        <f t="shared" si="14"/>
        <v>-10</v>
      </c>
      <c r="I165" s="197">
        <f>I154</f>
        <v>11.877822045152721</v>
      </c>
      <c r="J165" s="184"/>
      <c r="K165" s="185">
        <f t="shared" si="15"/>
        <v>-11</v>
      </c>
      <c r="M165" s="42">
        <f>-(I165/100)*D165</f>
        <v>-10.927596281540502</v>
      </c>
      <c r="X165" s="11"/>
      <c r="Y165" s="11"/>
      <c r="Z165" s="11"/>
      <c r="AA165" s="11"/>
      <c r="AB165" s="11"/>
      <c r="AC165" s="11"/>
      <c r="AE165" s="42"/>
    </row>
    <row r="166" spans="1:31">
      <c r="A166" s="1" t="s">
        <v>206</v>
      </c>
      <c r="B166" s="1"/>
      <c r="C166" s="182">
        <f t="shared" si="13"/>
        <v>3543</v>
      </c>
      <c r="D166" s="182" t="e">
        <f t="shared" si="13"/>
        <v>#REF!</v>
      </c>
      <c r="E166" s="197">
        <f>E155</f>
        <v>0.78</v>
      </c>
      <c r="F166" s="184"/>
      <c r="G166" s="185">
        <f t="shared" si="14"/>
        <v>-28</v>
      </c>
      <c r="H166" s="185" t="e">
        <f t="shared" si="14"/>
        <v>#REF!</v>
      </c>
      <c r="I166" s="197">
        <f>I155</f>
        <v>0.83</v>
      </c>
      <c r="J166" s="184"/>
      <c r="K166" s="185">
        <f t="shared" si="15"/>
        <v>-29</v>
      </c>
      <c r="M166" s="42" t="e">
        <f>-(I166/100)*D166</f>
        <v>#REF!</v>
      </c>
      <c r="X166" s="11"/>
      <c r="Y166" s="11"/>
      <c r="Z166" s="11"/>
      <c r="AA166" s="11"/>
      <c r="AB166" s="11"/>
      <c r="AC166" s="11"/>
      <c r="AE166" s="42"/>
    </row>
    <row r="167" spans="1:31">
      <c r="A167" s="1" t="s">
        <v>207</v>
      </c>
      <c r="B167" s="1"/>
      <c r="C167" s="182">
        <f t="shared" si="13"/>
        <v>1576</v>
      </c>
      <c r="D167" s="182" t="e">
        <f t="shared" si="13"/>
        <v>#REF!</v>
      </c>
      <c r="E167" s="197">
        <f>E158</f>
        <v>2.88</v>
      </c>
      <c r="F167" s="186"/>
      <c r="G167" s="185">
        <f t="shared" si="14"/>
        <v>-45</v>
      </c>
      <c r="H167" s="185" t="e">
        <f t="shared" si="14"/>
        <v>#REF!</v>
      </c>
      <c r="I167" s="197">
        <f>I158</f>
        <v>2.97</v>
      </c>
      <c r="J167" s="186"/>
      <c r="K167" s="185">
        <f t="shared" si="15"/>
        <v>-47</v>
      </c>
      <c r="M167" s="42" t="e">
        <f>-(I167/100)*D167</f>
        <v>#REF!</v>
      </c>
      <c r="X167" s="11"/>
      <c r="Y167" s="11"/>
      <c r="Z167" s="11"/>
      <c r="AA167" s="11"/>
      <c r="AB167" s="11"/>
      <c r="AC167" s="11"/>
      <c r="AE167" s="42"/>
    </row>
    <row r="168" spans="1:31">
      <c r="A168" s="1" t="s">
        <v>209</v>
      </c>
      <c r="B168" s="1"/>
      <c r="C168" s="182">
        <f t="shared" si="13"/>
        <v>84935</v>
      </c>
      <c r="D168" s="182" t="e">
        <f t="shared" si="13"/>
        <v>#REF!</v>
      </c>
      <c r="E168" s="198">
        <f>E159</f>
        <v>8.0890000000000004</v>
      </c>
      <c r="F168" s="186" t="s">
        <v>178</v>
      </c>
      <c r="G168" s="185">
        <f t="shared" si="14"/>
        <v>-69</v>
      </c>
      <c r="H168" s="185" t="e">
        <f t="shared" si="14"/>
        <v>#REF!</v>
      </c>
      <c r="I168" s="198">
        <f>I159</f>
        <v>8.8109999999999999</v>
      </c>
      <c r="J168" s="186" t="s">
        <v>178</v>
      </c>
      <c r="K168" s="185">
        <f t="shared" si="15"/>
        <v>-75</v>
      </c>
      <c r="M168" s="42" t="e">
        <f>-((I168/100)*D168)/100</f>
        <v>#REF!</v>
      </c>
      <c r="X168" s="11"/>
      <c r="Y168" s="11"/>
      <c r="Z168" s="11"/>
      <c r="AA168" s="11"/>
      <c r="AB168" s="11"/>
      <c r="AC168" s="11"/>
      <c r="AE168" s="42"/>
    </row>
    <row r="169" spans="1:31">
      <c r="A169" s="1" t="s">
        <v>202</v>
      </c>
      <c r="B169" s="1"/>
      <c r="C169" s="182">
        <f t="shared" si="13"/>
        <v>270692</v>
      </c>
      <c r="D169" s="182" t="e">
        <f t="shared" si="13"/>
        <v>#REF!</v>
      </c>
      <c r="E169" s="198">
        <f>E160</f>
        <v>5.5839999999999996</v>
      </c>
      <c r="F169" s="186" t="s">
        <v>178</v>
      </c>
      <c r="G169" s="185">
        <f t="shared" si="14"/>
        <v>-151</v>
      </c>
      <c r="H169" s="185" t="e">
        <f t="shared" si="14"/>
        <v>#REF!</v>
      </c>
      <c r="I169" s="198">
        <f>I160</f>
        <v>6.0819999999999999</v>
      </c>
      <c r="J169" s="186" t="s">
        <v>178</v>
      </c>
      <c r="K169" s="185">
        <f t="shared" si="15"/>
        <v>-165</v>
      </c>
      <c r="M169" s="42" t="e">
        <f>-((I169/100)*D169)/100</f>
        <v>#REF!</v>
      </c>
      <c r="X169" s="11"/>
      <c r="Y169" s="11"/>
      <c r="Z169" s="11"/>
      <c r="AA169" s="11"/>
      <c r="AB169" s="11"/>
      <c r="AC169" s="11"/>
      <c r="AE169" s="42"/>
    </row>
    <row r="170" spans="1:31">
      <c r="A170" s="1" t="s">
        <v>203</v>
      </c>
      <c r="B170" s="1"/>
      <c r="C170" s="182">
        <f t="shared" si="13"/>
        <v>65960</v>
      </c>
      <c r="D170" s="182" t="e">
        <f t="shared" si="13"/>
        <v>#REF!</v>
      </c>
      <c r="E170" s="198">
        <f>E161</f>
        <v>4.8099999999999996</v>
      </c>
      <c r="F170" s="186" t="s">
        <v>178</v>
      </c>
      <c r="G170" s="185">
        <f t="shared" si="14"/>
        <v>-32</v>
      </c>
      <c r="H170" s="185" t="e">
        <f t="shared" si="14"/>
        <v>#REF!</v>
      </c>
      <c r="I170" s="198">
        <f>I161</f>
        <v>5.24</v>
      </c>
      <c r="J170" s="186" t="s">
        <v>178</v>
      </c>
      <c r="K170" s="185">
        <f t="shared" si="15"/>
        <v>-35</v>
      </c>
      <c r="M170" s="42" t="e">
        <f>-((I170/100)*D170)/100</f>
        <v>#REF!</v>
      </c>
      <c r="V170" s="11"/>
      <c r="W170" s="11"/>
      <c r="X170" s="11"/>
      <c r="Y170" s="11"/>
      <c r="Z170" s="11"/>
      <c r="AA170" s="11"/>
      <c r="AB170" s="11"/>
      <c r="AC170" s="11"/>
      <c r="AE170" s="42"/>
    </row>
    <row r="171" spans="1:31">
      <c r="A171" s="1" t="s">
        <v>204</v>
      </c>
      <c r="B171" s="1"/>
      <c r="C171" s="182">
        <f t="shared" si="13"/>
        <v>2996</v>
      </c>
      <c r="D171" s="182" t="e">
        <f t="shared" si="13"/>
        <v>#REF!</v>
      </c>
      <c r="E171" s="199">
        <f>E162</f>
        <v>45</v>
      </c>
      <c r="F171" s="186" t="s">
        <v>178</v>
      </c>
      <c r="G171" s="185">
        <f t="shared" si="14"/>
        <v>-13</v>
      </c>
      <c r="H171" s="185" t="e">
        <f t="shared" si="14"/>
        <v>#REF!</v>
      </c>
      <c r="I171" s="199">
        <f>I162</f>
        <v>50</v>
      </c>
      <c r="J171" s="186" t="s">
        <v>178</v>
      </c>
      <c r="K171" s="185">
        <f t="shared" si="15"/>
        <v>-15</v>
      </c>
      <c r="M171" s="42" t="e">
        <f>-((I171/100)*D171)/100</f>
        <v>#REF!</v>
      </c>
      <c r="V171" s="11"/>
      <c r="W171" s="11"/>
      <c r="X171" s="11"/>
      <c r="Y171" s="11"/>
      <c r="Z171" s="11"/>
      <c r="AA171" s="11"/>
      <c r="AB171" s="11"/>
      <c r="AC171" s="11"/>
      <c r="AE171" s="42"/>
    </row>
    <row r="172" spans="1:31">
      <c r="A172" s="1" t="s">
        <v>211</v>
      </c>
      <c r="B172" s="1"/>
      <c r="C172" s="182">
        <f t="shared" si="13"/>
        <v>108</v>
      </c>
      <c r="D172" s="182" t="e">
        <f t="shared" si="13"/>
        <v>#REF!</v>
      </c>
      <c r="E172" s="200">
        <f>'Blocking - detail'!E172</f>
        <v>60</v>
      </c>
      <c r="F172" s="184"/>
      <c r="G172" s="185">
        <f t="shared" si="14"/>
        <v>6480</v>
      </c>
      <c r="H172" s="185" t="e">
        <f t="shared" si="14"/>
        <v>#REF!</v>
      </c>
      <c r="I172" s="200">
        <f>'Blocking - detail'!$I$172</f>
        <v>60</v>
      </c>
      <c r="J172" s="186"/>
      <c r="K172" s="185">
        <f t="shared" si="15"/>
        <v>6480</v>
      </c>
      <c r="M172" s="42" t="e">
        <f>I172*D172</f>
        <v>#REF!</v>
      </c>
      <c r="V172" s="11"/>
      <c r="W172" s="11"/>
      <c r="X172" s="11"/>
      <c r="Y172" s="11"/>
      <c r="Z172" s="11"/>
      <c r="AA172" s="11"/>
      <c r="AB172" s="11"/>
      <c r="AC172" s="11"/>
      <c r="AE172" s="42"/>
    </row>
    <row r="173" spans="1:31">
      <c r="A173" s="1" t="s">
        <v>212</v>
      </c>
      <c r="B173" s="1"/>
      <c r="C173" s="182">
        <f t="shared" si="13"/>
        <v>3624</v>
      </c>
      <c r="D173" s="182" t="e">
        <f t="shared" si="13"/>
        <v>#REF!</v>
      </c>
      <c r="E173" s="202">
        <f>'Blocking - detail'!E173</f>
        <v>-30</v>
      </c>
      <c r="F173" s="184" t="s">
        <v>178</v>
      </c>
      <c r="G173" s="185">
        <f t="shared" si="14"/>
        <v>-1087</v>
      </c>
      <c r="H173" s="185" t="e">
        <f t="shared" si="14"/>
        <v>#REF!</v>
      </c>
      <c r="I173" s="202">
        <f>'Blocking - detail'!$I$173</f>
        <v>-30</v>
      </c>
      <c r="J173" s="186" t="s">
        <v>178</v>
      </c>
      <c r="K173" s="185">
        <f t="shared" si="15"/>
        <v>-1087</v>
      </c>
      <c r="M173" s="42" t="e">
        <f>(I173/100)*D173</f>
        <v>#REF!</v>
      </c>
      <c r="Q173" s="157"/>
      <c r="V173" s="11"/>
      <c r="W173" s="11"/>
      <c r="X173" s="11"/>
      <c r="Y173" s="11"/>
      <c r="Z173" s="11"/>
      <c r="AA173" s="11"/>
      <c r="AB173" s="11"/>
      <c r="AC173" s="11"/>
      <c r="AE173" s="42"/>
    </row>
    <row r="174" spans="1:31">
      <c r="A174" s="1" t="s">
        <v>185</v>
      </c>
      <c r="B174" s="127"/>
      <c r="C174" s="182" t="e">
        <f t="shared" si="13"/>
        <v>#REF!</v>
      </c>
      <c r="D174" s="182">
        <f t="shared" si="13"/>
        <v>529663208.81107259</v>
      </c>
      <c r="E174" s="193"/>
      <c r="F174" s="2"/>
      <c r="G174" s="185" t="e">
        <f t="shared" si="14"/>
        <v>#REF!</v>
      </c>
      <c r="H174" s="185" t="e">
        <f t="shared" si="14"/>
        <v>#REF!</v>
      </c>
      <c r="I174" s="193"/>
      <c r="J174" s="186"/>
      <c r="K174" s="185" t="e">
        <f t="shared" si="15"/>
        <v>#REF!</v>
      </c>
      <c r="M174" s="42" t="e">
        <f>SUM(M149:M173)</f>
        <v>#REF!</v>
      </c>
      <c r="V174" s="11"/>
      <c r="W174" s="11"/>
      <c r="X174" s="11"/>
      <c r="Y174" s="11"/>
      <c r="Z174" s="11"/>
      <c r="AA174" s="11"/>
      <c r="AB174" s="11"/>
      <c r="AC174" s="11"/>
      <c r="AE174" s="42"/>
    </row>
    <row r="175" spans="1:31">
      <c r="A175" s="1" t="s">
        <v>167</v>
      </c>
      <c r="B175" s="15"/>
      <c r="C175" s="203" t="e">
        <f t="shared" si="13"/>
        <v>#REF!</v>
      </c>
      <c r="D175" s="203">
        <f t="shared" si="13"/>
        <v>0</v>
      </c>
      <c r="E175" s="172"/>
      <c r="F175" s="172"/>
      <c r="G175" s="204" t="e">
        <f t="shared" si="14"/>
        <v>#REF!</v>
      </c>
      <c r="H175" s="204">
        <f t="shared" si="14"/>
        <v>0</v>
      </c>
      <c r="I175" s="172"/>
      <c r="J175" s="172"/>
      <c r="K175" s="204" t="e">
        <f>G175</f>
        <v>#REF!</v>
      </c>
      <c r="M175" s="152"/>
      <c r="V175" s="11"/>
      <c r="W175" s="11"/>
      <c r="X175" s="11"/>
      <c r="Y175" s="11"/>
      <c r="Z175" s="11"/>
      <c r="AA175" s="11"/>
      <c r="AB175" s="11"/>
      <c r="AC175" s="11"/>
      <c r="AE175" s="42"/>
    </row>
    <row r="176" spans="1:31" ht="16.5" thickBot="1">
      <c r="A176" s="1" t="s">
        <v>186</v>
      </c>
      <c r="B176" s="1"/>
      <c r="C176" s="174" t="e">
        <f>SUM(C174:C175)</f>
        <v>#REF!</v>
      </c>
      <c r="D176" s="174">
        <f>SUM(D174:D175)</f>
        <v>529663208.81107259</v>
      </c>
      <c r="E176" s="205"/>
      <c r="F176" s="206"/>
      <c r="G176" s="207" t="e">
        <f>G174+G175</f>
        <v>#REF!</v>
      </c>
      <c r="H176" s="207" t="e">
        <f>H174+H175</f>
        <v>#REF!</v>
      </c>
      <c r="I176" s="335"/>
      <c r="J176" s="208"/>
      <c r="K176" s="207" t="e">
        <f>K174+K175</f>
        <v>#REF!</v>
      </c>
      <c r="M176" s="154"/>
      <c r="N176" s="3" t="s">
        <v>213</v>
      </c>
      <c r="O176" s="42" t="e">
        <f>#REF!*1000</f>
        <v>#REF!</v>
      </c>
      <c r="P176" s="8"/>
      <c r="V176" s="11"/>
      <c r="W176" s="11"/>
      <c r="X176" s="11"/>
      <c r="Y176" s="11"/>
      <c r="Z176" s="11"/>
      <c r="AA176" s="11"/>
      <c r="AB176" s="11"/>
      <c r="AC176" s="11"/>
      <c r="AE176" s="42"/>
    </row>
    <row r="177" spans="1:31" ht="16.5" thickTop="1">
      <c r="A177" s="1"/>
      <c r="B177" s="1"/>
      <c r="C177" s="12"/>
      <c r="D177" s="12"/>
      <c r="E177" s="200"/>
      <c r="F177" s="2"/>
      <c r="G177" s="2"/>
      <c r="H177" s="2"/>
      <c r="I177" s="200"/>
      <c r="J177" s="1"/>
      <c r="K177" s="2" t="s">
        <v>13</v>
      </c>
      <c r="N177" s="3" t="s">
        <v>114</v>
      </c>
      <c r="O177" s="42" t="e">
        <f>O176-K176</f>
        <v>#REF!</v>
      </c>
      <c r="P177" s="139" t="e">
        <f>(O176-K176)/K176</f>
        <v>#REF!</v>
      </c>
      <c r="V177" s="11"/>
      <c r="W177" s="11"/>
      <c r="X177" s="11"/>
      <c r="Y177" s="11"/>
      <c r="Z177" s="11"/>
      <c r="AA177" s="11"/>
      <c r="AB177" s="11"/>
      <c r="AC177" s="11"/>
      <c r="AE177" s="42"/>
    </row>
    <row r="178" spans="1:31">
      <c r="A178" s="1"/>
      <c r="B178" s="1"/>
      <c r="C178" s="12"/>
      <c r="D178" s="12"/>
      <c r="E178" s="200"/>
      <c r="F178" s="2"/>
      <c r="G178" s="2"/>
      <c r="H178" s="2"/>
      <c r="I178" s="200"/>
      <c r="J178" s="1"/>
      <c r="V178" s="11"/>
      <c r="W178" s="11"/>
      <c r="X178" s="11"/>
      <c r="Y178" s="11"/>
      <c r="Z178" s="11"/>
      <c r="AA178" s="11"/>
      <c r="AB178" s="11"/>
      <c r="AC178" s="11"/>
      <c r="AE178" s="42"/>
    </row>
    <row r="179" spans="1:31">
      <c r="A179" s="156" t="s">
        <v>191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O179" s="209" t="s">
        <v>13</v>
      </c>
      <c r="P179" s="8"/>
      <c r="V179" s="11"/>
      <c r="W179" s="11"/>
      <c r="X179" s="11"/>
      <c r="Y179" s="11"/>
      <c r="Z179" s="11"/>
      <c r="AA179" s="11"/>
      <c r="AB179" s="11"/>
      <c r="AC179" s="11"/>
      <c r="AE179" s="42"/>
    </row>
    <row r="180" spans="1:31">
      <c r="A180" s="1" t="s">
        <v>214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279"/>
      <c r="N180" s="279"/>
      <c r="O180" s="38"/>
      <c r="P180" s="38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E180" s="42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279"/>
      <c r="N181" s="279"/>
      <c r="O181" s="38"/>
      <c r="P181" s="38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E181" s="42"/>
    </row>
    <row r="182" spans="1:31">
      <c r="A182" s="1" t="s">
        <v>197</v>
      </c>
      <c r="B182" s="1"/>
      <c r="C182" s="182"/>
      <c r="D182" s="182"/>
      <c r="E182" s="2"/>
      <c r="F182" s="2"/>
      <c r="G182" s="1"/>
      <c r="H182" s="1"/>
      <c r="I182" s="2"/>
      <c r="J182" s="1"/>
      <c r="K182" s="1"/>
      <c r="M182" s="11"/>
      <c r="N182" s="11"/>
      <c r="O182" s="38"/>
      <c r="P182" s="38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E182" s="42"/>
    </row>
    <row r="183" spans="1:31">
      <c r="A183" s="1" t="s">
        <v>194</v>
      </c>
      <c r="B183" s="1"/>
      <c r="C183" s="182">
        <f t="shared" ref="C183:D185" si="16">C211+C239</f>
        <v>148451</v>
      </c>
      <c r="D183" s="182">
        <f t="shared" si="16"/>
        <v>147153</v>
      </c>
      <c r="E183" s="161">
        <f>$E$153</f>
        <v>7.53</v>
      </c>
      <c r="F183" s="184"/>
      <c r="G183" s="2">
        <f t="shared" ref="G183:H185" si="17">G211+G239</f>
        <v>1117836</v>
      </c>
      <c r="H183" s="2">
        <f t="shared" si="17"/>
        <v>1108062</v>
      </c>
      <c r="I183" s="161">
        <f>$I$153</f>
        <v>8</v>
      </c>
      <c r="J183" s="186"/>
      <c r="K183" s="2">
        <f>K211+K239</f>
        <v>1187608</v>
      </c>
      <c r="M183" s="11"/>
      <c r="N183" s="11"/>
      <c r="O183" s="38"/>
      <c r="P183" s="38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E183" s="42"/>
    </row>
    <row r="184" spans="1:31">
      <c r="A184" s="1" t="s">
        <v>195</v>
      </c>
      <c r="B184" s="1"/>
      <c r="C184" s="182">
        <f t="shared" si="16"/>
        <v>60349</v>
      </c>
      <c r="D184" s="182">
        <f t="shared" si="16"/>
        <v>59834</v>
      </c>
      <c r="E184" s="161">
        <f>$E$154</f>
        <v>11.18</v>
      </c>
      <c r="F184" s="187"/>
      <c r="G184" s="2">
        <f t="shared" si="17"/>
        <v>674702</v>
      </c>
      <c r="H184" s="2">
        <f t="shared" si="17"/>
        <v>668944</v>
      </c>
      <c r="I184" s="161">
        <f>$I$154</f>
        <v>11.877822045152721</v>
      </c>
      <c r="J184" s="188"/>
      <c r="K184" s="2">
        <f>K212+K240</f>
        <v>716815</v>
      </c>
      <c r="M184" s="11"/>
      <c r="N184" s="11"/>
      <c r="O184" s="38"/>
      <c r="P184" s="38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E184" s="42"/>
    </row>
    <row r="185" spans="1:31">
      <c r="A185" s="1" t="s">
        <v>196</v>
      </c>
      <c r="B185" s="1"/>
      <c r="C185" s="182">
        <f t="shared" si="16"/>
        <v>1278566</v>
      </c>
      <c r="D185" s="182" t="e">
        <f t="shared" si="16"/>
        <v>#REF!</v>
      </c>
      <c r="E185" s="161">
        <f>$E$155</f>
        <v>0.78</v>
      </c>
      <c r="F185" s="187"/>
      <c r="G185" s="2">
        <f t="shared" si="17"/>
        <v>997281</v>
      </c>
      <c r="H185" s="2" t="e">
        <f t="shared" si="17"/>
        <v>#REF!</v>
      </c>
      <c r="I185" s="161">
        <f>$I$155</f>
        <v>0.83</v>
      </c>
      <c r="J185" s="188"/>
      <c r="K185" s="2">
        <f>K213+K241</f>
        <v>1061210</v>
      </c>
      <c r="M185" s="11"/>
      <c r="N185" s="11"/>
      <c r="O185" s="38"/>
      <c r="P185" s="38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E185" s="42"/>
    </row>
    <row r="186" spans="1:31">
      <c r="A186" s="1" t="s">
        <v>198</v>
      </c>
      <c r="B186" s="1"/>
      <c r="C186" s="182">
        <f>SUM(C183:C184)</f>
        <v>208800</v>
      </c>
      <c r="D186" s="182">
        <f>SUM(D183:D184)</f>
        <v>206987</v>
      </c>
      <c r="E186" s="161"/>
      <c r="F186" s="184"/>
      <c r="G186" s="2"/>
      <c r="H186" s="2"/>
      <c r="I186" s="161"/>
      <c r="J186" s="186"/>
      <c r="K186" s="2"/>
      <c r="M186" s="11"/>
      <c r="N186" s="11"/>
      <c r="O186" s="38"/>
      <c r="P186" s="38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E186" s="42"/>
    </row>
    <row r="187" spans="1:31">
      <c r="A187" s="1" t="s">
        <v>199</v>
      </c>
      <c r="B187" s="1"/>
      <c r="C187" s="182">
        <f t="shared" ref="C187:D191" si="18">C215+C243</f>
        <v>822251</v>
      </c>
      <c r="D187" s="182" t="e">
        <f t="shared" si="18"/>
        <v>#REF!</v>
      </c>
      <c r="E187" s="189">
        <f>$E$158</f>
        <v>2.88</v>
      </c>
      <c r="F187" s="186"/>
      <c r="G187" s="2">
        <f t="shared" ref="G187:H191" si="19">G215+G243</f>
        <v>2368083</v>
      </c>
      <c r="H187" s="2" t="e">
        <f t="shared" si="19"/>
        <v>#REF!</v>
      </c>
      <c r="I187" s="189">
        <f>$I$158</f>
        <v>2.97</v>
      </c>
      <c r="J187" s="186"/>
      <c r="K187" s="2">
        <f>K215+K243</f>
        <v>2442085</v>
      </c>
      <c r="M187" s="11"/>
      <c r="N187" s="11"/>
      <c r="O187" s="38"/>
      <c r="P187" s="38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E187" s="42"/>
    </row>
    <row r="188" spans="1:31">
      <c r="A188" s="1" t="s">
        <v>201</v>
      </c>
      <c r="B188" s="1"/>
      <c r="C188" s="182" t="e">
        <f t="shared" si="18"/>
        <v>#REF!</v>
      </c>
      <c r="D188" s="182" t="e">
        <f t="shared" si="18"/>
        <v>#REF!</v>
      </c>
      <c r="E188" s="162">
        <f>$E$159</f>
        <v>8.0890000000000004</v>
      </c>
      <c r="F188" s="186" t="s">
        <v>178</v>
      </c>
      <c r="G188" s="2" t="e">
        <f t="shared" si="19"/>
        <v>#REF!</v>
      </c>
      <c r="H188" s="2" t="e">
        <f t="shared" si="19"/>
        <v>#REF!</v>
      </c>
      <c r="I188" s="162">
        <f>$I$159</f>
        <v>8.8109999999999999</v>
      </c>
      <c r="J188" s="186" t="s">
        <v>178</v>
      </c>
      <c r="K188" s="2" t="e">
        <f>K216+K244</f>
        <v>#REF!</v>
      </c>
      <c r="M188" s="11"/>
      <c r="N188" s="11"/>
      <c r="O188" s="38"/>
      <c r="P188" s="38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E188" s="42"/>
    </row>
    <row r="189" spans="1:31">
      <c r="A189" s="1" t="s">
        <v>202</v>
      </c>
      <c r="B189" s="1"/>
      <c r="C189" s="182" t="e">
        <f t="shared" si="18"/>
        <v>#REF!</v>
      </c>
      <c r="D189" s="182" t="e">
        <f t="shared" si="18"/>
        <v>#REF!</v>
      </c>
      <c r="E189" s="162">
        <f>$E$160</f>
        <v>5.5839999999999996</v>
      </c>
      <c r="F189" s="186" t="s">
        <v>178</v>
      </c>
      <c r="G189" s="2" t="e">
        <f t="shared" si="19"/>
        <v>#REF!</v>
      </c>
      <c r="H189" s="2" t="e">
        <f t="shared" si="19"/>
        <v>#REF!</v>
      </c>
      <c r="I189" s="162">
        <f>$I$160</f>
        <v>6.0819999999999999</v>
      </c>
      <c r="J189" s="186" t="s">
        <v>178</v>
      </c>
      <c r="K189" s="2" t="e">
        <f>K217+K245</f>
        <v>#REF!</v>
      </c>
      <c r="M189" s="11"/>
      <c r="N189" s="11"/>
      <c r="O189" s="38"/>
      <c r="P189" s="38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E189" s="42"/>
    </row>
    <row r="190" spans="1:31">
      <c r="A190" s="1" t="s">
        <v>203</v>
      </c>
      <c r="B190" s="1"/>
      <c r="C190" s="182" t="e">
        <f t="shared" si="18"/>
        <v>#REF!</v>
      </c>
      <c r="D190" s="182" t="e">
        <f t="shared" si="18"/>
        <v>#REF!</v>
      </c>
      <c r="E190" s="162">
        <f>$E$161</f>
        <v>4.8099999999999996</v>
      </c>
      <c r="F190" s="186" t="s">
        <v>178</v>
      </c>
      <c r="G190" s="2" t="e">
        <f t="shared" si="19"/>
        <v>#REF!</v>
      </c>
      <c r="H190" s="2" t="e">
        <f t="shared" si="19"/>
        <v>#REF!</v>
      </c>
      <c r="I190" s="162">
        <f>$I$161</f>
        <v>5.24</v>
      </c>
      <c r="J190" s="186" t="s">
        <v>178</v>
      </c>
      <c r="K190" s="2" t="e">
        <f>K218+K246</f>
        <v>#REF!</v>
      </c>
      <c r="M190" s="11"/>
      <c r="N190" s="11"/>
      <c r="O190" s="38"/>
      <c r="P190" s="38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E190" s="42"/>
    </row>
    <row r="191" spans="1:31">
      <c r="A191" s="1" t="s">
        <v>204</v>
      </c>
      <c r="B191" s="1"/>
      <c r="C191" s="182">
        <f t="shared" si="18"/>
        <v>92358</v>
      </c>
      <c r="D191" s="182" t="e">
        <f t="shared" si="18"/>
        <v>#REF!</v>
      </c>
      <c r="E191" s="193">
        <f>$E$162</f>
        <v>45</v>
      </c>
      <c r="F191" s="184" t="s">
        <v>178</v>
      </c>
      <c r="G191" s="2">
        <f t="shared" si="19"/>
        <v>41561</v>
      </c>
      <c r="H191" s="2" t="e">
        <f t="shared" si="19"/>
        <v>#REF!</v>
      </c>
      <c r="I191" s="193">
        <f>$I$162</f>
        <v>50</v>
      </c>
      <c r="J191" s="186" t="s">
        <v>178</v>
      </c>
      <c r="K191" s="2">
        <f>K219+K247</f>
        <v>46180</v>
      </c>
      <c r="M191" s="11"/>
      <c r="N191" s="11"/>
      <c r="O191" s="38"/>
      <c r="P191" s="38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E191" s="42"/>
    </row>
    <row r="192" spans="1:31">
      <c r="A192" s="194" t="s">
        <v>205</v>
      </c>
      <c r="B192" s="1"/>
      <c r="C192" s="182"/>
      <c r="D192" s="182"/>
      <c r="E192" s="195">
        <v>-0.01</v>
      </c>
      <c r="F192" s="184"/>
      <c r="G192" s="2"/>
      <c r="H192" s="2"/>
      <c r="I192" s="195">
        <v>-0.01</v>
      </c>
      <c r="J192" s="186"/>
      <c r="K192" s="2"/>
      <c r="M192" s="11"/>
      <c r="N192" s="11"/>
      <c r="O192" s="38"/>
      <c r="P192" s="38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E192" s="42"/>
    </row>
    <row r="193" spans="1:31">
      <c r="A193" s="1" t="s">
        <v>194</v>
      </c>
      <c r="B193" s="1"/>
      <c r="C193" s="182">
        <f t="shared" ref="C193:D204" si="20">C221+C249</f>
        <v>48</v>
      </c>
      <c r="D193" s="182">
        <f t="shared" si="20"/>
        <v>48</v>
      </c>
      <c r="E193" s="197">
        <f>E183</f>
        <v>7.53</v>
      </c>
      <c r="F193" s="184"/>
      <c r="G193" s="2">
        <f t="shared" ref="G193:H204" si="21">G221+G249</f>
        <v>-4</v>
      </c>
      <c r="H193" s="2">
        <f t="shared" si="21"/>
        <v>-4</v>
      </c>
      <c r="I193" s="197">
        <f>I183</f>
        <v>8</v>
      </c>
      <c r="J193" s="184"/>
      <c r="K193" s="2">
        <f t="shared" ref="K193:K203" si="22">K221+K249</f>
        <v>-4</v>
      </c>
      <c r="M193" s="11"/>
      <c r="N193" s="11"/>
      <c r="O193" s="38"/>
      <c r="P193" s="38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E193" s="42"/>
    </row>
    <row r="194" spans="1:31">
      <c r="A194" s="1" t="s">
        <v>195</v>
      </c>
      <c r="B194" s="1"/>
      <c r="C194" s="182">
        <f t="shared" si="20"/>
        <v>93</v>
      </c>
      <c r="D194" s="182">
        <f t="shared" si="20"/>
        <v>92</v>
      </c>
      <c r="E194" s="197">
        <f>E184</f>
        <v>11.18</v>
      </c>
      <c r="F194" s="184"/>
      <c r="G194" s="2">
        <f t="shared" si="21"/>
        <v>-10</v>
      </c>
      <c r="H194" s="2">
        <f t="shared" si="21"/>
        <v>-10</v>
      </c>
      <c r="I194" s="197">
        <f>I184</f>
        <v>11.877822045152721</v>
      </c>
      <c r="J194" s="184"/>
      <c r="K194" s="2">
        <f t="shared" si="22"/>
        <v>-11</v>
      </c>
      <c r="M194" s="11"/>
      <c r="N194" s="11"/>
      <c r="O194" s="38"/>
      <c r="P194" s="38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E194" s="42"/>
    </row>
    <row r="195" spans="1:31">
      <c r="A195" s="1" t="s">
        <v>206</v>
      </c>
      <c r="B195" s="1"/>
      <c r="C195" s="182">
        <f t="shared" si="20"/>
        <v>3543</v>
      </c>
      <c r="D195" s="182" t="e">
        <f t="shared" si="20"/>
        <v>#REF!</v>
      </c>
      <c r="E195" s="197">
        <f>E185</f>
        <v>0.78</v>
      </c>
      <c r="F195" s="184"/>
      <c r="G195" s="2">
        <f t="shared" si="21"/>
        <v>-28</v>
      </c>
      <c r="H195" s="2" t="e">
        <f t="shared" si="21"/>
        <v>#REF!</v>
      </c>
      <c r="I195" s="197">
        <f>I185</f>
        <v>0.83</v>
      </c>
      <c r="J195" s="184"/>
      <c r="K195" s="2">
        <f t="shared" si="22"/>
        <v>-29</v>
      </c>
      <c r="M195" s="11"/>
      <c r="N195" s="11"/>
      <c r="O195" s="38"/>
      <c r="P195" s="38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E195" s="42"/>
    </row>
    <row r="196" spans="1:31">
      <c r="A196" s="1" t="s">
        <v>207</v>
      </c>
      <c r="B196" s="1"/>
      <c r="C196" s="182">
        <f t="shared" si="20"/>
        <v>1576</v>
      </c>
      <c r="D196" s="182" t="e">
        <f t="shared" si="20"/>
        <v>#REF!</v>
      </c>
      <c r="E196" s="197">
        <f>E187</f>
        <v>2.88</v>
      </c>
      <c r="F196" s="186"/>
      <c r="G196" s="2">
        <f t="shared" si="21"/>
        <v>-45</v>
      </c>
      <c r="H196" s="2" t="e">
        <f t="shared" si="21"/>
        <v>#REF!</v>
      </c>
      <c r="I196" s="197">
        <f>I187</f>
        <v>2.97</v>
      </c>
      <c r="J196" s="186"/>
      <c r="K196" s="2">
        <f t="shared" si="22"/>
        <v>-47</v>
      </c>
      <c r="M196" s="11"/>
      <c r="N196" s="11"/>
      <c r="O196" s="38"/>
      <c r="P196" s="38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E196" s="42"/>
    </row>
    <row r="197" spans="1:31">
      <c r="A197" s="1" t="s">
        <v>209</v>
      </c>
      <c r="B197" s="1"/>
      <c r="C197" s="182">
        <f t="shared" si="20"/>
        <v>84935</v>
      </c>
      <c r="D197" s="182" t="e">
        <f t="shared" si="20"/>
        <v>#REF!</v>
      </c>
      <c r="E197" s="198">
        <f>E188</f>
        <v>8.0890000000000004</v>
      </c>
      <c r="F197" s="186" t="s">
        <v>178</v>
      </c>
      <c r="G197" s="2">
        <f t="shared" si="21"/>
        <v>-69</v>
      </c>
      <c r="H197" s="2" t="e">
        <f t="shared" si="21"/>
        <v>#REF!</v>
      </c>
      <c r="I197" s="198">
        <f>I188</f>
        <v>8.8109999999999999</v>
      </c>
      <c r="J197" s="186" t="s">
        <v>178</v>
      </c>
      <c r="K197" s="2">
        <f t="shared" si="22"/>
        <v>-75</v>
      </c>
      <c r="M197" s="11"/>
      <c r="N197" s="11"/>
      <c r="O197" s="38"/>
      <c r="P197" s="38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E197" s="42"/>
    </row>
    <row r="198" spans="1:31">
      <c r="A198" s="1" t="s">
        <v>202</v>
      </c>
      <c r="B198" s="1"/>
      <c r="C198" s="182">
        <f t="shared" si="20"/>
        <v>270692</v>
      </c>
      <c r="D198" s="182" t="e">
        <f t="shared" si="20"/>
        <v>#REF!</v>
      </c>
      <c r="E198" s="198">
        <f>E189</f>
        <v>5.5839999999999996</v>
      </c>
      <c r="F198" s="186" t="s">
        <v>178</v>
      </c>
      <c r="G198" s="2">
        <f t="shared" si="21"/>
        <v>-151</v>
      </c>
      <c r="H198" s="2" t="e">
        <f t="shared" si="21"/>
        <v>#REF!</v>
      </c>
      <c r="I198" s="198">
        <f>I189</f>
        <v>6.0819999999999999</v>
      </c>
      <c r="J198" s="186" t="s">
        <v>178</v>
      </c>
      <c r="K198" s="2">
        <f t="shared" si="22"/>
        <v>-165</v>
      </c>
      <c r="M198" s="11"/>
      <c r="N198" s="11"/>
      <c r="O198" s="38"/>
      <c r="P198" s="38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E198" s="42"/>
    </row>
    <row r="199" spans="1:31">
      <c r="A199" s="1" t="s">
        <v>203</v>
      </c>
      <c r="B199" s="1"/>
      <c r="C199" s="182">
        <f t="shared" si="20"/>
        <v>65960</v>
      </c>
      <c r="D199" s="182" t="e">
        <f t="shared" si="20"/>
        <v>#REF!</v>
      </c>
      <c r="E199" s="198">
        <f>E190</f>
        <v>4.8099999999999996</v>
      </c>
      <c r="F199" s="186" t="s">
        <v>178</v>
      </c>
      <c r="G199" s="2">
        <f t="shared" si="21"/>
        <v>-32</v>
      </c>
      <c r="H199" s="2" t="e">
        <f t="shared" si="21"/>
        <v>#REF!</v>
      </c>
      <c r="I199" s="198">
        <f>I190</f>
        <v>5.24</v>
      </c>
      <c r="J199" s="186" t="s">
        <v>178</v>
      </c>
      <c r="K199" s="2">
        <f t="shared" si="22"/>
        <v>-35</v>
      </c>
      <c r="M199" s="11"/>
      <c r="N199" s="11"/>
      <c r="O199" s="38"/>
      <c r="P199" s="38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E199" s="42"/>
    </row>
    <row r="200" spans="1:31">
      <c r="A200" s="1" t="s">
        <v>204</v>
      </c>
      <c r="B200" s="1"/>
      <c r="C200" s="182">
        <f t="shared" si="20"/>
        <v>2996</v>
      </c>
      <c r="D200" s="182" t="e">
        <f t="shared" si="20"/>
        <v>#REF!</v>
      </c>
      <c r="E200" s="199">
        <f>E191</f>
        <v>45</v>
      </c>
      <c r="F200" s="186" t="s">
        <v>178</v>
      </c>
      <c r="G200" s="2">
        <f t="shared" si="21"/>
        <v>-13</v>
      </c>
      <c r="H200" s="2" t="e">
        <f t="shared" si="21"/>
        <v>#REF!</v>
      </c>
      <c r="I200" s="199">
        <f>I191</f>
        <v>50</v>
      </c>
      <c r="J200" s="186" t="s">
        <v>178</v>
      </c>
      <c r="K200" s="2">
        <f t="shared" si="22"/>
        <v>-15</v>
      </c>
      <c r="M200" s="11"/>
      <c r="N200" s="11"/>
      <c r="O200" s="38"/>
      <c r="P200" s="38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E200" s="42"/>
    </row>
    <row r="201" spans="1:31">
      <c r="A201" s="1" t="s">
        <v>211</v>
      </c>
      <c r="B201" s="1"/>
      <c r="C201" s="182">
        <f t="shared" si="20"/>
        <v>108</v>
      </c>
      <c r="D201" s="182" t="e">
        <f t="shared" si="20"/>
        <v>#REF!</v>
      </c>
      <c r="E201" s="200">
        <f>$E$172</f>
        <v>60</v>
      </c>
      <c r="F201" s="184"/>
      <c r="G201" s="2">
        <f t="shared" si="21"/>
        <v>6480</v>
      </c>
      <c r="H201" s="2" t="e">
        <f t="shared" si="21"/>
        <v>#REF!</v>
      </c>
      <c r="I201" s="200">
        <f>$I$172</f>
        <v>60</v>
      </c>
      <c r="J201" s="186"/>
      <c r="K201" s="2">
        <f t="shared" si="22"/>
        <v>6480</v>
      </c>
      <c r="M201" s="11"/>
      <c r="N201" s="11"/>
      <c r="O201" s="38"/>
      <c r="P201" s="38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E201" s="42"/>
    </row>
    <row r="202" spans="1:31">
      <c r="A202" s="1" t="s">
        <v>212</v>
      </c>
      <c r="B202" s="1"/>
      <c r="C202" s="182">
        <f t="shared" si="20"/>
        <v>3624</v>
      </c>
      <c r="D202" s="182" t="e">
        <f t="shared" si="20"/>
        <v>#REF!</v>
      </c>
      <c r="E202" s="202">
        <f>$E$173</f>
        <v>-30</v>
      </c>
      <c r="F202" s="184" t="s">
        <v>178</v>
      </c>
      <c r="G202" s="2">
        <f t="shared" si="21"/>
        <v>-1087</v>
      </c>
      <c r="H202" s="2" t="e">
        <f t="shared" si="21"/>
        <v>#REF!</v>
      </c>
      <c r="I202" s="202">
        <f>$I$173</f>
        <v>-30</v>
      </c>
      <c r="J202" s="186" t="s">
        <v>178</v>
      </c>
      <c r="K202" s="2">
        <f t="shared" si="22"/>
        <v>-1087</v>
      </c>
      <c r="M202" s="11"/>
      <c r="N202" s="11"/>
      <c r="O202" s="38"/>
      <c r="P202" s="38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E202" s="42"/>
    </row>
    <row r="203" spans="1:31">
      <c r="A203" s="1" t="s">
        <v>185</v>
      </c>
      <c r="B203" s="127"/>
      <c r="C203" s="182" t="e">
        <f t="shared" si="20"/>
        <v>#REF!</v>
      </c>
      <c r="D203" s="182">
        <f t="shared" si="20"/>
        <v>527850595.24192303</v>
      </c>
      <c r="E203" s="193"/>
      <c r="F203" s="2"/>
      <c r="G203" s="2" t="e">
        <f t="shared" si="21"/>
        <v>#REF!</v>
      </c>
      <c r="H203" s="2" t="e">
        <f t="shared" si="21"/>
        <v>#REF!</v>
      </c>
      <c r="I203" s="193"/>
      <c r="J203" s="186"/>
      <c r="K203" s="2" t="e">
        <f t="shared" si="22"/>
        <v>#REF!</v>
      </c>
      <c r="M203" s="11"/>
      <c r="N203" s="11"/>
      <c r="O203" s="38"/>
      <c r="P203" s="38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E203" s="42"/>
    </row>
    <row r="204" spans="1:31">
      <c r="A204" s="1" t="s">
        <v>167</v>
      </c>
      <c r="B204" s="210"/>
      <c r="C204" s="203" t="e">
        <f t="shared" si="20"/>
        <v>#REF!</v>
      </c>
      <c r="D204" s="203">
        <f t="shared" si="20"/>
        <v>0</v>
      </c>
      <c r="E204" s="172"/>
      <c r="F204" s="172"/>
      <c r="G204" s="204" t="e">
        <f t="shared" si="21"/>
        <v>#REF!</v>
      </c>
      <c r="H204" s="204">
        <f t="shared" si="21"/>
        <v>0</v>
      </c>
      <c r="I204" s="172"/>
      <c r="J204" s="172"/>
      <c r="K204" s="204" t="e">
        <f>G204</f>
        <v>#REF!</v>
      </c>
      <c r="M204" s="307"/>
      <c r="N204" s="307"/>
      <c r="O204" s="150"/>
      <c r="P204" s="38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E204" s="42"/>
    </row>
    <row r="205" spans="1:31" ht="16.5" thickBot="1">
      <c r="A205" s="1" t="s">
        <v>186</v>
      </c>
      <c r="B205" s="1"/>
      <c r="C205" s="174" t="e">
        <f>SUM(C203:C204)</f>
        <v>#REF!</v>
      </c>
      <c r="D205" s="174">
        <f>SUM(D203:D204)</f>
        <v>527850595.24192303</v>
      </c>
      <c r="E205" s="205"/>
      <c r="F205" s="206"/>
      <c r="G205" s="207" t="e">
        <f>G203+G204</f>
        <v>#REF!</v>
      </c>
      <c r="H205" s="207" t="e">
        <f>H203+H204</f>
        <v>#REF!</v>
      </c>
      <c r="I205" s="205"/>
      <c r="J205" s="208"/>
      <c r="K205" s="207" t="e">
        <f>K203+K204</f>
        <v>#REF!</v>
      </c>
      <c r="M205" s="274"/>
      <c r="N205" s="274"/>
      <c r="O205" s="333"/>
      <c r="P205" s="38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E205" s="42"/>
    </row>
    <row r="206" spans="1:31" ht="16.5" thickTop="1">
      <c r="A206" s="1"/>
      <c r="B206" s="1"/>
      <c r="C206" s="12"/>
      <c r="D206" s="12"/>
      <c r="E206" s="200"/>
      <c r="F206" s="2"/>
      <c r="G206" s="2"/>
      <c r="H206" s="2"/>
      <c r="I206" s="200"/>
      <c r="J206" s="1"/>
      <c r="K206" s="2" t="s">
        <v>13</v>
      </c>
      <c r="M206" s="11"/>
      <c r="N206" s="11"/>
      <c r="O206" s="38"/>
      <c r="P206" s="38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E206" s="42"/>
    </row>
    <row r="207" spans="1:31">
      <c r="A207" s="156" t="s">
        <v>191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M207" s="11"/>
      <c r="N207" s="11"/>
      <c r="O207" s="38"/>
      <c r="P207" s="38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E207" s="42"/>
    </row>
    <row r="208" spans="1:31">
      <c r="A208" s="1" t="s">
        <v>215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M208" s="11"/>
      <c r="N208" s="11"/>
      <c r="O208" s="38"/>
      <c r="P208" s="38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E208" s="42"/>
    </row>
    <row r="209" spans="1:31">
      <c r="A209" s="211" t="s">
        <v>216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M209" s="11"/>
      <c r="N209" s="11"/>
      <c r="O209" s="38"/>
      <c r="P209" s="38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E209" s="42"/>
    </row>
    <row r="210" spans="1:31">
      <c r="A210" s="1" t="s">
        <v>197</v>
      </c>
      <c r="B210" s="1"/>
      <c r="C210" s="182"/>
      <c r="D210" s="182"/>
      <c r="E210" s="2"/>
      <c r="F210" s="2"/>
      <c r="G210" s="1"/>
      <c r="H210" s="1"/>
      <c r="I210" s="2"/>
      <c r="J210" s="1"/>
      <c r="K210" s="1"/>
      <c r="M210" s="11"/>
      <c r="N210" s="11"/>
      <c r="O210" s="38"/>
      <c r="P210" s="38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E210" s="42"/>
    </row>
    <row r="211" spans="1:31">
      <c r="A211" s="1" t="s">
        <v>194</v>
      </c>
      <c r="B211" s="1"/>
      <c r="C211" s="182">
        <f>31559+48+114515+12+1+4</f>
        <v>146139</v>
      </c>
      <c r="D211" s="182">
        <v>144846</v>
      </c>
      <c r="E211" s="161">
        <f>$E$153</f>
        <v>7.53</v>
      </c>
      <c r="F211" s="184"/>
      <c r="G211" s="2">
        <f>ROUND(E211*$C211,0)</f>
        <v>1100427</v>
      </c>
      <c r="H211" s="2">
        <f>ROUND(E211*$D211,0)</f>
        <v>1090690</v>
      </c>
      <c r="I211" s="161">
        <f>$I$153</f>
        <v>8</v>
      </c>
      <c r="J211" s="186"/>
      <c r="K211" s="2">
        <f>ROUND(I211*$C211,0)</f>
        <v>1169112</v>
      </c>
      <c r="M211" s="11"/>
      <c r="N211" s="11"/>
      <c r="O211" s="38"/>
      <c r="P211" s="38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E211" s="42"/>
    </row>
    <row r="212" spans="1:31">
      <c r="A212" s="1" t="s">
        <v>195</v>
      </c>
      <c r="B212" s="1"/>
      <c r="C212" s="182">
        <f>11+7148+42+33+60+49632</f>
        <v>56926</v>
      </c>
      <c r="D212" s="182">
        <v>56418</v>
      </c>
      <c r="E212" s="161">
        <f>$E$154</f>
        <v>11.18</v>
      </c>
      <c r="F212" s="187"/>
      <c r="G212" s="2">
        <f>ROUND(E212*$C212,0)</f>
        <v>636433</v>
      </c>
      <c r="H212" s="2">
        <f>ROUND(E212*$D212,0)</f>
        <v>630753</v>
      </c>
      <c r="I212" s="161">
        <f>$I$154</f>
        <v>11.877822045152721</v>
      </c>
      <c r="J212" s="188"/>
      <c r="K212" s="2">
        <f>ROUND(I212*$C212,0)</f>
        <v>676157</v>
      </c>
      <c r="M212" s="11"/>
      <c r="N212" s="11"/>
      <c r="O212" s="38"/>
      <c r="P212" s="38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E212" s="42"/>
    </row>
    <row r="213" spans="1:31">
      <c r="A213" s="1" t="s">
        <v>196</v>
      </c>
      <c r="B213" s="1"/>
      <c r="C213" s="182">
        <f>19363+72181+143+261091+506+425+2975+845224</f>
        <v>1201908</v>
      </c>
      <c r="D213" s="182" t="e">
        <f>ROUND(($D$231/'Billing Determinants (2)'!$C$231)*C213,0)</f>
        <v>#REF!</v>
      </c>
      <c r="E213" s="161">
        <f>$E$155</f>
        <v>0.78</v>
      </c>
      <c r="F213" s="187"/>
      <c r="G213" s="2">
        <f>ROUND(E213*$C213,0)</f>
        <v>937488</v>
      </c>
      <c r="H213" s="2" t="e">
        <f>ROUND(E213*$D213,0)</f>
        <v>#REF!</v>
      </c>
      <c r="I213" s="161">
        <f>$I$155</f>
        <v>0.83</v>
      </c>
      <c r="J213" s="188"/>
      <c r="K213" s="2">
        <f>ROUND(I213*$C213,0)</f>
        <v>997584</v>
      </c>
      <c r="M213" s="11"/>
      <c r="N213" s="11"/>
      <c r="O213" s="38"/>
      <c r="P213" s="38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E213" s="42"/>
    </row>
    <row r="214" spans="1:31">
      <c r="A214" s="1" t="s">
        <v>198</v>
      </c>
      <c r="B214" s="1"/>
      <c r="C214" s="182">
        <f>SUM(C211:C212)</f>
        <v>203065</v>
      </c>
      <c r="D214" s="182">
        <f>SUM(D211:D212)</f>
        <v>201264</v>
      </c>
      <c r="E214" s="161"/>
      <c r="F214" s="184"/>
      <c r="G214" s="2"/>
      <c r="H214" s="2"/>
      <c r="I214" s="161"/>
      <c r="J214" s="186"/>
      <c r="K214" s="2"/>
      <c r="M214" s="11"/>
      <c r="N214" s="11"/>
      <c r="O214" s="38"/>
      <c r="P214" s="38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E214" s="42"/>
    </row>
    <row r="215" spans="1:31">
      <c r="A215" s="1" t="s">
        <v>199</v>
      </c>
      <c r="B215" s="1"/>
      <c r="C215" s="182">
        <f>12010+42566+76+150357+258+319+1181+570824</f>
        <v>777591</v>
      </c>
      <c r="D215" s="182" t="e">
        <f>ROUND(($D$231/'Billing Determinants (2)'!$C$231)*C215,0)</f>
        <v>#REF!</v>
      </c>
      <c r="E215" s="189">
        <f>$E$158</f>
        <v>2.88</v>
      </c>
      <c r="F215" s="186"/>
      <c r="G215" s="2">
        <f>ROUND(E215*$C215,0)</f>
        <v>2239462</v>
      </c>
      <c r="H215" s="2" t="e">
        <f>ROUND(E215*$D215,0)</f>
        <v>#REF!</v>
      </c>
      <c r="I215" s="189">
        <f>$I$158</f>
        <v>2.97</v>
      </c>
      <c r="J215" s="186"/>
      <c r="K215" s="2">
        <f>ROUND(I215*$C215,0)</f>
        <v>2309445</v>
      </c>
      <c r="M215" s="11"/>
      <c r="N215" s="11"/>
      <c r="O215" s="38"/>
      <c r="P215" s="38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E215" s="42"/>
    </row>
    <row r="216" spans="1:31">
      <c r="A216" s="1" t="s">
        <v>201</v>
      </c>
      <c r="B216" s="182"/>
      <c r="C216" s="182" t="e">
        <f>10637140+2511+3968456+48093+68224697+41262+14709+22133+40160890+910+1497+3016+#REF!*1000</f>
        <v>#REF!</v>
      </c>
      <c r="D216" s="182" t="e">
        <f>ROUND(($D$231/$C$231)*C216,0)</f>
        <v>#REF!</v>
      </c>
      <c r="E216" s="162">
        <f>$E$159</f>
        <v>8.0890000000000004</v>
      </c>
      <c r="F216" s="186" t="s">
        <v>178</v>
      </c>
      <c r="G216" s="2" t="e">
        <f>ROUND(E216*$C216/100,0)</f>
        <v>#REF!</v>
      </c>
      <c r="H216" s="2" t="e">
        <f>ROUND(E216*$D216/100,0)</f>
        <v>#REF!</v>
      </c>
      <c r="I216" s="162">
        <f>$I$159</f>
        <v>8.8109999999999999</v>
      </c>
      <c r="J216" s="186" t="s">
        <v>178</v>
      </c>
      <c r="K216" s="2" t="e">
        <f>ROUND(I216*$C216/100,0)</f>
        <v>#REF!</v>
      </c>
      <c r="M216" s="336"/>
      <c r="N216" s="336"/>
      <c r="O216" s="38"/>
      <c r="P216" s="38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E216" s="42"/>
    </row>
    <row r="217" spans="1:31">
      <c r="A217" s="1" t="s">
        <v>202</v>
      </c>
      <c r="B217" s="182"/>
      <c r="C217" s="182" t="e">
        <f>6716987+667+10550295+89698+100459984+191610+96267+84727+156443365+471+#REF!*1000</f>
        <v>#REF!</v>
      </c>
      <c r="D217" s="182" t="e">
        <f>ROUND(($D$231/'Billing Determinants (2)'!$C$231)*C217,0)</f>
        <v>#REF!</v>
      </c>
      <c r="E217" s="162">
        <f>$E$160</f>
        <v>5.5839999999999996</v>
      </c>
      <c r="F217" s="186" t="s">
        <v>178</v>
      </c>
      <c r="G217" s="2" t="e">
        <f>ROUND(E217*$C217/100,0)</f>
        <v>#REF!</v>
      </c>
      <c r="H217" s="2" t="e">
        <f>ROUND(E217*$D217/100,0)</f>
        <v>#REF!</v>
      </c>
      <c r="I217" s="162">
        <f>$I$160</f>
        <v>6.0819999999999999</v>
      </c>
      <c r="J217" s="186" t="s">
        <v>178</v>
      </c>
      <c r="K217" s="2" t="e">
        <f>ROUND(I217*$C217/100,0)</f>
        <v>#REF!</v>
      </c>
      <c r="M217" s="336"/>
      <c r="N217" s="336"/>
      <c r="O217" s="38"/>
      <c r="P217" s="38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E217" s="42"/>
    </row>
    <row r="218" spans="1:31">
      <c r="A218" s="1" t="s">
        <v>203</v>
      </c>
      <c r="B218" s="182"/>
      <c r="C218" s="182" t="e">
        <f>974972+8370324+11474735+34390+61460+4500+93253467+#REF!*1000</f>
        <v>#REF!</v>
      </c>
      <c r="D218" s="182" t="e">
        <f>ROUND(($D$231/'Billing Determinants (2)'!$C$231)*C218,0)</f>
        <v>#REF!</v>
      </c>
      <c r="E218" s="162">
        <f>$E$161</f>
        <v>4.8099999999999996</v>
      </c>
      <c r="F218" s="186" t="s">
        <v>178</v>
      </c>
      <c r="G218" s="2" t="e">
        <f>ROUND(E218*$C218/100,0)</f>
        <v>#REF!</v>
      </c>
      <c r="H218" s="2" t="e">
        <f>ROUND(E218*$D218/100,0)</f>
        <v>#REF!</v>
      </c>
      <c r="I218" s="162">
        <f>$I$161</f>
        <v>5.24</v>
      </c>
      <c r="J218" s="186" t="s">
        <v>178</v>
      </c>
      <c r="K218" s="2" t="e">
        <f>ROUND(I218*$C218/100,0)</f>
        <v>#REF!</v>
      </c>
      <c r="M218" s="336"/>
      <c r="N218" s="336"/>
      <c r="O218" s="38"/>
      <c r="P218" s="38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E218" s="42"/>
    </row>
    <row r="219" spans="1:31">
      <c r="A219" s="1" t="s">
        <v>204</v>
      </c>
      <c r="B219" s="12"/>
      <c r="C219" s="182">
        <f>1+8222+516+2+2994+65942</f>
        <v>77677</v>
      </c>
      <c r="D219" s="182" t="e">
        <f>ROUND(($D$231/'Billing Determinants (2)'!$C$231)*C219,0)</f>
        <v>#REF!</v>
      </c>
      <c r="E219" s="193">
        <f>$E$162</f>
        <v>45</v>
      </c>
      <c r="F219" s="184" t="s">
        <v>178</v>
      </c>
      <c r="G219" s="2">
        <f>ROUND(E219*$C219/100,0)</f>
        <v>34955</v>
      </c>
      <c r="H219" s="2" t="e">
        <f>ROUND(E219*$D219/100,0)</f>
        <v>#REF!</v>
      </c>
      <c r="I219" s="193">
        <f>$I$162</f>
        <v>50</v>
      </c>
      <c r="J219" s="186" t="s">
        <v>178</v>
      </c>
      <c r="K219" s="2">
        <f>ROUND(I219*$C219/100,0)</f>
        <v>38839</v>
      </c>
      <c r="M219" s="11"/>
      <c r="N219" s="11"/>
      <c r="O219" s="38"/>
      <c r="P219" s="38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E219" s="42"/>
    </row>
    <row r="220" spans="1:31">
      <c r="A220" s="194" t="s">
        <v>205</v>
      </c>
      <c r="B220" s="12"/>
      <c r="C220" s="182"/>
      <c r="D220" s="182"/>
      <c r="E220" s="195">
        <v>-0.01</v>
      </c>
      <c r="F220" s="184"/>
      <c r="G220" s="2"/>
      <c r="H220" s="2"/>
      <c r="I220" s="195">
        <v>-0.01</v>
      </c>
      <c r="J220" s="186"/>
      <c r="K220" s="2"/>
      <c r="M220" s="11"/>
      <c r="N220" s="11"/>
      <c r="O220" s="38"/>
      <c r="P220" s="38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E220" s="42"/>
    </row>
    <row r="221" spans="1:31">
      <c r="A221" s="1" t="s">
        <v>194</v>
      </c>
      <c r="B221" s="1"/>
      <c r="C221" s="182">
        <f>48</f>
        <v>48</v>
      </c>
      <c r="D221" s="182">
        <v>48</v>
      </c>
      <c r="E221" s="197">
        <f>E211</f>
        <v>7.53</v>
      </c>
      <c r="F221" s="184"/>
      <c r="G221" s="2">
        <f>-ROUND(E221*$C221/100,0)</f>
        <v>-4</v>
      </c>
      <c r="H221" s="2">
        <f>-ROUND(E221*$D221/100,0)</f>
        <v>-4</v>
      </c>
      <c r="I221" s="197">
        <f>I211</f>
        <v>8</v>
      </c>
      <c r="J221" s="184"/>
      <c r="K221" s="2">
        <f>-ROUND(I221*$C221/100,0)</f>
        <v>-4</v>
      </c>
      <c r="M221" s="11"/>
      <c r="N221" s="11"/>
      <c r="O221" s="38"/>
      <c r="P221" s="38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E221" s="42"/>
    </row>
    <row r="222" spans="1:31">
      <c r="A222" s="1" t="s">
        <v>195</v>
      </c>
      <c r="B222" s="1"/>
      <c r="C222" s="182">
        <f>33+60</f>
        <v>93</v>
      </c>
      <c r="D222" s="182">
        <v>92</v>
      </c>
      <c r="E222" s="197">
        <f>E212</f>
        <v>11.18</v>
      </c>
      <c r="F222" s="184"/>
      <c r="G222" s="2">
        <f>-ROUND(E222*$C222/100,0)</f>
        <v>-10</v>
      </c>
      <c r="H222" s="2">
        <f>-ROUND(E222*$D222/100,0)</f>
        <v>-10</v>
      </c>
      <c r="I222" s="197">
        <f>I212</f>
        <v>11.877822045152721</v>
      </c>
      <c r="J222" s="184"/>
      <c r="K222" s="2">
        <f>-ROUND(I222*$C222/100,0)</f>
        <v>-11</v>
      </c>
      <c r="M222" s="11"/>
      <c r="N222" s="11"/>
      <c r="O222" s="38"/>
      <c r="P222" s="38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E222" s="42"/>
    </row>
    <row r="223" spans="1:31">
      <c r="A223" s="1" t="s">
        <v>206</v>
      </c>
      <c r="B223" s="1"/>
      <c r="C223" s="182">
        <f>143+425+2975</f>
        <v>3543</v>
      </c>
      <c r="D223" s="182" t="e">
        <f>ROUND(($D$231/'Billing Determinants (2)'!$C$231)*C223,0)</f>
        <v>#REF!</v>
      </c>
      <c r="E223" s="197">
        <f>E213</f>
        <v>0.78</v>
      </c>
      <c r="F223" s="184"/>
      <c r="G223" s="2">
        <f>-ROUND(E223*$C223/100,0)</f>
        <v>-28</v>
      </c>
      <c r="H223" s="2" t="e">
        <f>-ROUND(E223*$D223/100,0)</f>
        <v>#REF!</v>
      </c>
      <c r="I223" s="197">
        <f>I213</f>
        <v>0.83</v>
      </c>
      <c r="J223" s="184"/>
      <c r="K223" s="2">
        <f>-ROUND(I223*$C223/100,0)</f>
        <v>-29</v>
      </c>
      <c r="M223" s="11"/>
      <c r="N223" s="11"/>
      <c r="O223" s="38"/>
      <c r="P223" s="38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E223" s="42"/>
    </row>
    <row r="224" spans="1:31">
      <c r="A224" s="1" t="s">
        <v>217</v>
      </c>
      <c r="B224" s="1"/>
      <c r="C224" s="182">
        <f>76+319+1181</f>
        <v>1576</v>
      </c>
      <c r="D224" s="182" t="e">
        <f>ROUND(($D$231/'Billing Determinants (2)'!$C$231)*C224,0)</f>
        <v>#REF!</v>
      </c>
      <c r="E224" s="197">
        <f>E215</f>
        <v>2.88</v>
      </c>
      <c r="F224" s="186"/>
      <c r="G224" s="2">
        <f>-ROUND(E224*$C224/100,0)</f>
        <v>-45</v>
      </c>
      <c r="H224" s="2" t="e">
        <f>-ROUND(E224*$D224/100,0)</f>
        <v>#REF!</v>
      </c>
      <c r="I224" s="197">
        <f>I215</f>
        <v>2.97</v>
      </c>
      <c r="J224" s="186"/>
      <c r="K224" s="2">
        <f>-ROUND(I224*$C224/100,0)</f>
        <v>-47</v>
      </c>
      <c r="M224" s="11"/>
      <c r="N224" s="11"/>
      <c r="O224" s="38"/>
      <c r="P224" s="38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E224" s="42"/>
    </row>
    <row r="225" spans="1:31">
      <c r="A225" s="1" t="s">
        <v>209</v>
      </c>
      <c r="B225" s="1"/>
      <c r="C225" s="182">
        <f>48093+14709+22133</f>
        <v>84935</v>
      </c>
      <c r="D225" s="182" t="e">
        <f>ROUND(($D$231/'Billing Determinants (2)'!$C$231)*C225,0)</f>
        <v>#REF!</v>
      </c>
      <c r="E225" s="198">
        <f>E216</f>
        <v>8.0890000000000004</v>
      </c>
      <c r="F225" s="186" t="s">
        <v>178</v>
      </c>
      <c r="G225" s="2">
        <f>ROUND(E225*$C225/100*E220,0)</f>
        <v>-69</v>
      </c>
      <c r="H225" s="2" t="e">
        <f>ROUND(E225*$D225/100*E220,0)</f>
        <v>#REF!</v>
      </c>
      <c r="I225" s="198">
        <f>I216</f>
        <v>8.8109999999999999</v>
      </c>
      <c r="J225" s="186" t="s">
        <v>178</v>
      </c>
      <c r="K225" s="2">
        <f>ROUND(I225*$C225/100*I220,0)</f>
        <v>-75</v>
      </c>
      <c r="M225" s="11"/>
      <c r="N225" s="11"/>
      <c r="O225" s="38"/>
      <c r="P225" s="38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E225" s="42"/>
    </row>
    <row r="226" spans="1:31">
      <c r="A226" s="1" t="s">
        <v>202</v>
      </c>
      <c r="B226" s="1"/>
      <c r="C226" s="182">
        <f>89698+96267+84727</f>
        <v>270692</v>
      </c>
      <c r="D226" s="182" t="e">
        <f>ROUND(($D$231/'Billing Determinants (2)'!$C$231)*C226,0)</f>
        <v>#REF!</v>
      </c>
      <c r="E226" s="198">
        <f>E217</f>
        <v>5.5839999999999996</v>
      </c>
      <c r="F226" s="186" t="s">
        <v>178</v>
      </c>
      <c r="G226" s="2">
        <f>ROUND(E226*$C226/100*E220,0)</f>
        <v>-151</v>
      </c>
      <c r="H226" s="2" t="e">
        <f>ROUND(E226*$D226/100*E220,0)</f>
        <v>#REF!</v>
      </c>
      <c r="I226" s="198">
        <f>I217</f>
        <v>6.0819999999999999</v>
      </c>
      <c r="J226" s="186" t="s">
        <v>178</v>
      </c>
      <c r="K226" s="2">
        <f>ROUND(I226*$C226/100*I220,0)</f>
        <v>-165</v>
      </c>
      <c r="M226" s="11"/>
      <c r="N226" s="11"/>
      <c r="O226" s="38"/>
      <c r="P226" s="38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E226" s="42"/>
    </row>
    <row r="227" spans="1:31">
      <c r="A227" s="1" t="s">
        <v>203</v>
      </c>
      <c r="B227" s="1"/>
      <c r="C227" s="182">
        <f>137791+172436+111360-C225-C226</f>
        <v>65960</v>
      </c>
      <c r="D227" s="182" t="e">
        <f>ROUND(($D$231/'Billing Determinants (2)'!$C$231)*C227,0)</f>
        <v>#REF!</v>
      </c>
      <c r="E227" s="198">
        <f>E218</f>
        <v>4.8099999999999996</v>
      </c>
      <c r="F227" s="186" t="s">
        <v>178</v>
      </c>
      <c r="G227" s="2">
        <f>ROUND(E227*$C227/100*E220,0)</f>
        <v>-32</v>
      </c>
      <c r="H227" s="2" t="e">
        <f>ROUND(E227*$D227/100*E220,0)</f>
        <v>#REF!</v>
      </c>
      <c r="I227" s="198">
        <f>I218</f>
        <v>5.24</v>
      </c>
      <c r="J227" s="186" t="s">
        <v>178</v>
      </c>
      <c r="K227" s="2">
        <f>ROUND(I227*$C227/100*I220,0)</f>
        <v>-35</v>
      </c>
      <c r="M227" s="11"/>
      <c r="N227" s="11"/>
      <c r="O227" s="38"/>
      <c r="P227" s="38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E227" s="42"/>
    </row>
    <row r="228" spans="1:31">
      <c r="A228" s="1" t="s">
        <v>204</v>
      </c>
      <c r="B228" s="1"/>
      <c r="C228" s="182">
        <f>2+2994</f>
        <v>2996</v>
      </c>
      <c r="D228" s="182" t="e">
        <f>ROUND(($D$231/'Billing Determinants (2)'!$C$231)*C228,0)</f>
        <v>#REF!</v>
      </c>
      <c r="E228" s="199">
        <f>E219</f>
        <v>45</v>
      </c>
      <c r="F228" s="186" t="s">
        <v>178</v>
      </c>
      <c r="G228" s="2">
        <f>ROUND(E228*$C228/100*E220,0)</f>
        <v>-13</v>
      </c>
      <c r="H228" s="2" t="e">
        <f>ROUND(E228*$D228/100*E220,0)</f>
        <v>#REF!</v>
      </c>
      <c r="I228" s="199">
        <f>I219</f>
        <v>50</v>
      </c>
      <c r="J228" s="186" t="s">
        <v>178</v>
      </c>
      <c r="K228" s="2">
        <f>ROUND(I228*$C228/100*I220,0)</f>
        <v>-15</v>
      </c>
      <c r="M228" s="11"/>
      <c r="N228" s="11"/>
      <c r="O228" s="38"/>
      <c r="P228" s="38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E228" s="42"/>
    </row>
    <row r="229" spans="1:31">
      <c r="A229" s="1" t="s">
        <v>211</v>
      </c>
      <c r="B229" s="1"/>
      <c r="C229" s="182">
        <f>48+60</f>
        <v>108</v>
      </c>
      <c r="D229" s="182" t="e">
        <f>ROUND(($D$231/'Billing Determinants (2)'!$C$231)*C229,0)</f>
        <v>#REF!</v>
      </c>
      <c r="E229" s="200">
        <f>$E$172</f>
        <v>60</v>
      </c>
      <c r="F229" s="184"/>
      <c r="G229" s="2">
        <f>ROUND(E229*$C229,0)</f>
        <v>6480</v>
      </c>
      <c r="H229" s="2" t="e">
        <f>ROUND(E229*$D229,0)</f>
        <v>#REF!</v>
      </c>
      <c r="I229" s="200">
        <f>$I$172</f>
        <v>60</v>
      </c>
      <c r="J229" s="186"/>
      <c r="K229" s="2">
        <f>ROUND(I229*$C229,0)</f>
        <v>6480</v>
      </c>
      <c r="M229" s="11"/>
      <c r="N229" s="11"/>
      <c r="O229" s="38"/>
      <c r="P229" s="38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E229" s="42"/>
    </row>
    <row r="230" spans="1:31">
      <c r="A230" s="1" t="s">
        <v>212</v>
      </c>
      <c r="B230" s="1"/>
      <c r="C230" s="182">
        <f>143+506+2975</f>
        <v>3624</v>
      </c>
      <c r="D230" s="182" t="e">
        <f>ROUND(($D$231/'Billing Determinants (2)'!$C$231)*C230,0)</f>
        <v>#REF!</v>
      </c>
      <c r="E230" s="202">
        <f>$E$173</f>
        <v>-30</v>
      </c>
      <c r="F230" s="184" t="s">
        <v>178</v>
      </c>
      <c r="G230" s="2">
        <f>ROUND(E230*$C230/100,0)</f>
        <v>-1087</v>
      </c>
      <c r="H230" s="2" t="e">
        <f>ROUND(E230*$D230/100,0)</f>
        <v>#REF!</v>
      </c>
      <c r="I230" s="202">
        <f>$I$173</f>
        <v>-30</v>
      </c>
      <c r="J230" s="186" t="s">
        <v>178</v>
      </c>
      <c r="K230" s="2">
        <f>ROUND(I230*$C230/100,0)</f>
        <v>-1087</v>
      </c>
      <c r="M230" s="11"/>
      <c r="N230" s="11"/>
      <c r="O230" s="38"/>
      <c r="P230" s="38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E230" s="42"/>
    </row>
    <row r="231" spans="1:31">
      <c r="A231" s="1" t="s">
        <v>185</v>
      </c>
      <c r="B231" s="170"/>
      <c r="C231" s="182" t="e">
        <f>SUM(C216:C218)</f>
        <v>#REF!</v>
      </c>
      <c r="D231" s="182">
        <v>505220047.82638693</v>
      </c>
      <c r="E231" s="193"/>
      <c r="F231" s="2"/>
      <c r="G231" s="2" t="e">
        <f>SUM(G211:G230)</f>
        <v>#REF!</v>
      </c>
      <c r="H231" s="2" t="e">
        <f>SUM(H211:H230)</f>
        <v>#REF!</v>
      </c>
      <c r="I231" s="193"/>
      <c r="J231" s="186"/>
      <c r="K231" s="2" t="e">
        <f>SUM(K211:K230)</f>
        <v>#REF!</v>
      </c>
      <c r="M231" s="279"/>
      <c r="N231" s="279"/>
      <c r="O231" s="38"/>
      <c r="P231" s="38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E231" s="42"/>
    </row>
    <row r="232" spans="1:31">
      <c r="A232" s="1" t="s">
        <v>167</v>
      </c>
      <c r="B232" s="1"/>
      <c r="C232" s="212" t="e">
        <f>#REF!</f>
        <v>#REF!</v>
      </c>
      <c r="D232" s="203">
        <v>0</v>
      </c>
      <c r="E232" s="172"/>
      <c r="F232" s="172"/>
      <c r="G232" s="204" t="e">
        <f>#REF!</f>
        <v>#REF!</v>
      </c>
      <c r="H232" s="204">
        <v>0</v>
      </c>
      <c r="I232" s="172"/>
      <c r="J232" s="172"/>
      <c r="K232" s="204" t="e">
        <f>G232</f>
        <v>#REF!</v>
      </c>
      <c r="M232" s="307"/>
      <c r="N232" s="307"/>
      <c r="O232" s="150"/>
      <c r="P232" s="38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E232" s="42"/>
    </row>
    <row r="233" spans="1:31" ht="16.5" thickBot="1">
      <c r="A233" s="1" t="s">
        <v>186</v>
      </c>
      <c r="B233" s="1"/>
      <c r="C233" s="174" t="e">
        <f>SUM(C231:C232)</f>
        <v>#REF!</v>
      </c>
      <c r="D233" s="174">
        <f>SUM(D231:D232)</f>
        <v>505220047.82638693</v>
      </c>
      <c r="E233" s="205"/>
      <c r="F233" s="206"/>
      <c r="G233" s="207" t="e">
        <f>G231+G232</f>
        <v>#REF!</v>
      </c>
      <c r="H233" s="207" t="e">
        <f>H231+H232</f>
        <v>#REF!</v>
      </c>
      <c r="I233" s="205"/>
      <c r="J233" s="208"/>
      <c r="K233" s="207" t="e">
        <f>K231+K232</f>
        <v>#REF!</v>
      </c>
      <c r="M233" s="274"/>
      <c r="N233" s="274"/>
      <c r="O233" s="333"/>
      <c r="P233" s="38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E233" s="42"/>
    </row>
    <row r="234" spans="1:31" ht="16.5" thickTop="1">
      <c r="A234" s="1"/>
      <c r="B234" s="1"/>
      <c r="C234" s="12"/>
      <c r="D234" s="12"/>
      <c r="E234" s="200"/>
      <c r="F234" s="2"/>
      <c r="G234" s="2"/>
      <c r="H234" s="2"/>
      <c r="I234" s="200"/>
      <c r="J234" s="1"/>
      <c r="K234" s="2" t="s">
        <v>13</v>
      </c>
      <c r="M234" s="11"/>
      <c r="N234" s="11"/>
      <c r="O234" s="38"/>
      <c r="P234" s="38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E234" s="42"/>
    </row>
    <row r="235" spans="1:31">
      <c r="A235" s="156" t="s">
        <v>191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M235" s="11"/>
      <c r="N235" s="11"/>
      <c r="O235" s="38"/>
      <c r="P235" s="38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E235" s="42"/>
    </row>
    <row r="236" spans="1:31">
      <c r="A236" s="1" t="s">
        <v>218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M236" s="11"/>
      <c r="N236" s="11"/>
      <c r="O236" s="38"/>
      <c r="P236" s="38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E236" s="42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11"/>
      <c r="N237" s="11"/>
      <c r="O237" s="38"/>
      <c r="P237" s="38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E237" s="42"/>
    </row>
    <row r="238" spans="1:31">
      <c r="A238" s="1" t="s">
        <v>197</v>
      </c>
      <c r="B238" s="1"/>
      <c r="C238" s="182"/>
      <c r="D238" s="182"/>
      <c r="E238" s="2"/>
      <c r="F238" s="2"/>
      <c r="G238" s="1"/>
      <c r="H238" s="1"/>
      <c r="I238" s="2"/>
      <c r="J238" s="1"/>
      <c r="K238" s="1"/>
      <c r="M238" s="11"/>
      <c r="N238" s="11"/>
      <c r="O238" s="38"/>
      <c r="P238" s="38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E238" s="42"/>
    </row>
    <row r="239" spans="1:31">
      <c r="A239" s="1" t="s">
        <v>194</v>
      </c>
      <c r="B239" s="1"/>
      <c r="C239" s="182">
        <f>564+1748</f>
        <v>2312</v>
      </c>
      <c r="D239" s="182">
        <f>ROUND(($D$242/'Billing Determinants (2)'!$C$242)*C239,0)</f>
        <v>2307</v>
      </c>
      <c r="E239" s="161">
        <f>$E$153</f>
        <v>7.53</v>
      </c>
      <c r="F239" s="184"/>
      <c r="G239" s="2">
        <f>ROUND(E239*$C239,0)</f>
        <v>17409</v>
      </c>
      <c r="H239" s="2">
        <f>ROUND(E239*$D239,0)</f>
        <v>17372</v>
      </c>
      <c r="I239" s="161">
        <f>$I$153</f>
        <v>8</v>
      </c>
      <c r="J239" s="186"/>
      <c r="K239" s="2">
        <f>ROUND(I239*$C239,0)</f>
        <v>18496</v>
      </c>
      <c r="M239" s="11"/>
      <c r="N239" s="11"/>
      <c r="O239" s="38"/>
      <c r="P239" s="38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E239" s="42"/>
    </row>
    <row r="240" spans="1:31">
      <c r="A240" s="1" t="s">
        <v>195</v>
      </c>
      <c r="B240" s="1"/>
      <c r="C240" s="182">
        <f>690+2733</f>
        <v>3423</v>
      </c>
      <c r="D240" s="182">
        <f>ROUND(($D$242/'Billing Determinants (2)'!$C$242)*C240,0)</f>
        <v>3416</v>
      </c>
      <c r="E240" s="161">
        <f>$E$154</f>
        <v>11.18</v>
      </c>
      <c r="F240" s="187"/>
      <c r="G240" s="2">
        <f>ROUND(E240*$C240,0)</f>
        <v>38269</v>
      </c>
      <c r="H240" s="2">
        <f>ROUND(E240*$D240,0)</f>
        <v>38191</v>
      </c>
      <c r="I240" s="161">
        <f>$I$154</f>
        <v>11.877822045152721</v>
      </c>
      <c r="J240" s="188"/>
      <c r="K240" s="2">
        <f>ROUND(I240*$C240,0)</f>
        <v>40658</v>
      </c>
      <c r="M240" s="11"/>
      <c r="N240" s="11"/>
      <c r="O240" s="38"/>
      <c r="P240" s="38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E240" s="42"/>
    </row>
    <row r="241" spans="1:31">
      <c r="A241" s="1" t="s">
        <v>196</v>
      </c>
      <c r="B241" s="1"/>
      <c r="C241" s="182">
        <f>878+12793+3580+59407</f>
        <v>76658</v>
      </c>
      <c r="D241" s="182">
        <f>ROUND(($D$259/$C$259)*C241,0)</f>
        <v>86045</v>
      </c>
      <c r="E241" s="161">
        <f>$E$155</f>
        <v>0.78</v>
      </c>
      <c r="F241" s="187"/>
      <c r="G241" s="2">
        <f>ROUND(E241*$C241,0)</f>
        <v>59793</v>
      </c>
      <c r="H241" s="2">
        <f>ROUND(E241*$D241,0)</f>
        <v>67115</v>
      </c>
      <c r="I241" s="161">
        <f>$I$155</f>
        <v>0.83</v>
      </c>
      <c r="J241" s="188"/>
      <c r="K241" s="2">
        <f>ROUND(I241*$C241,0)</f>
        <v>63626</v>
      </c>
      <c r="M241" s="11"/>
      <c r="N241" s="11"/>
      <c r="O241" s="38"/>
      <c r="P241" s="38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E241" s="42"/>
    </row>
    <row r="242" spans="1:31">
      <c r="A242" s="1" t="s">
        <v>198</v>
      </c>
      <c r="B242" s="1"/>
      <c r="C242" s="182">
        <f>SUM(C239:C240)</f>
        <v>5735</v>
      </c>
      <c r="D242" s="182">
        <v>5723</v>
      </c>
      <c r="E242" s="161"/>
      <c r="F242" s="184"/>
      <c r="G242" s="2"/>
      <c r="H242" s="2"/>
      <c r="I242" s="161"/>
      <c r="J242" s="186"/>
      <c r="K242" s="2"/>
      <c r="M242" s="11"/>
      <c r="N242" s="11"/>
      <c r="O242" s="38"/>
      <c r="P242" s="38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E242" s="42"/>
    </row>
    <row r="243" spans="1:31">
      <c r="A243" s="1" t="s">
        <v>199</v>
      </c>
      <c r="B243" s="1"/>
      <c r="C243" s="182">
        <f>571+5841+2000+36248</f>
        <v>44660</v>
      </c>
      <c r="D243" s="182">
        <f>ROUND(($D$259/$C$259)*C243,0)</f>
        <v>50129</v>
      </c>
      <c r="E243" s="189">
        <f>$E$158</f>
        <v>2.88</v>
      </c>
      <c r="F243" s="186"/>
      <c r="G243" s="2">
        <f>ROUND(E243*$C243,0)</f>
        <v>128621</v>
      </c>
      <c r="H243" s="2">
        <f>ROUND(E243*$D243,0)</f>
        <v>144372</v>
      </c>
      <c r="I243" s="189">
        <f>$I$158</f>
        <v>2.97</v>
      </c>
      <c r="J243" s="186"/>
      <c r="K243" s="2">
        <f>ROUND(I243*$C243,0)</f>
        <v>132640</v>
      </c>
      <c r="M243" s="11"/>
      <c r="N243" s="11"/>
      <c r="O243" s="38"/>
      <c r="P243" s="38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E243" s="42"/>
    </row>
    <row r="244" spans="1:31">
      <c r="A244" s="1" t="s">
        <v>201</v>
      </c>
      <c r="B244" s="1"/>
      <c r="C244" s="182">
        <f>194181+404382+1030706+2158260</f>
        <v>3787529</v>
      </c>
      <c r="D244" s="182">
        <f>ROUND(($D$259/$C$259)*C244,0)</f>
        <v>4251317</v>
      </c>
      <c r="E244" s="162">
        <f>$E$159</f>
        <v>8.0890000000000004</v>
      </c>
      <c r="F244" s="186" t="s">
        <v>178</v>
      </c>
      <c r="G244" s="2">
        <f>ROUND(E244*$C244/100,0)</f>
        <v>306373</v>
      </c>
      <c r="H244" s="2">
        <f>ROUND(E244*$D244/100,0)</f>
        <v>343889</v>
      </c>
      <c r="I244" s="162">
        <f>$I$159</f>
        <v>8.8109999999999999</v>
      </c>
      <c r="J244" s="186" t="s">
        <v>178</v>
      </c>
      <c r="K244" s="2">
        <f>ROUND(I244*$C244/100,0)</f>
        <v>333719</v>
      </c>
      <c r="M244" s="11"/>
      <c r="N244" s="11"/>
      <c r="O244" s="38"/>
      <c r="P244" s="38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E244" s="42"/>
    </row>
    <row r="245" spans="1:31">
      <c r="A245" s="1" t="s">
        <v>202</v>
      </c>
      <c r="B245" s="1"/>
      <c r="C245" s="182">
        <f>303929+1124643+1689326+8117436</f>
        <v>11235334</v>
      </c>
      <c r="D245" s="182">
        <f>ROUND(($D$259/$C$259)*C245,0)</f>
        <v>12611116</v>
      </c>
      <c r="E245" s="162">
        <f>$E$160</f>
        <v>5.5839999999999996</v>
      </c>
      <c r="F245" s="186" t="s">
        <v>178</v>
      </c>
      <c r="G245" s="2">
        <f>ROUND(E245*$C245/100,0)</f>
        <v>627381</v>
      </c>
      <c r="H245" s="2">
        <f>ROUND(E245*$D245/100,0)</f>
        <v>704205</v>
      </c>
      <c r="I245" s="162">
        <f>$I$160</f>
        <v>6.0819999999999999</v>
      </c>
      <c r="J245" s="186" t="s">
        <v>178</v>
      </c>
      <c r="K245" s="2">
        <f>ROUND(I245*$C245/100,0)</f>
        <v>683333</v>
      </c>
      <c r="M245" s="11"/>
      <c r="N245" s="11"/>
      <c r="O245" s="38"/>
      <c r="P245" s="38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E245" s="42"/>
    </row>
    <row r="246" spans="1:31">
      <c r="A246" s="1" t="s">
        <v>203</v>
      </c>
      <c r="B246" s="1"/>
      <c r="C246" s="182">
        <f>570154+2394034+2847736+14349793-C245-C244</f>
        <v>5138854</v>
      </c>
      <c r="D246" s="182">
        <f>ROUND(($D$259/$C$259)*C246,0)</f>
        <v>5768114</v>
      </c>
      <c r="E246" s="162">
        <f>$E$161</f>
        <v>4.8099999999999996</v>
      </c>
      <c r="F246" s="186" t="s">
        <v>178</v>
      </c>
      <c r="G246" s="2">
        <f>ROUND(E246*$C246/100,0)</f>
        <v>247179</v>
      </c>
      <c r="H246" s="2">
        <f>ROUND(E246*$D246/100,0)</f>
        <v>277446</v>
      </c>
      <c r="I246" s="162">
        <f>$I$161</f>
        <v>5.24</v>
      </c>
      <c r="J246" s="186" t="s">
        <v>178</v>
      </c>
      <c r="K246" s="2">
        <f>ROUND(I246*$C246/100,0)</f>
        <v>269276</v>
      </c>
      <c r="M246" s="11"/>
      <c r="N246" s="11"/>
      <c r="O246" s="38"/>
      <c r="P246" s="38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E246" s="42"/>
    </row>
    <row r="247" spans="1:31">
      <c r="A247" s="1" t="s">
        <v>204</v>
      </c>
      <c r="B247" s="1"/>
      <c r="C247" s="182">
        <f>2748+11933</f>
        <v>14681</v>
      </c>
      <c r="D247" s="182">
        <f>ROUND(($D$259/$C$259)*C247,0)</f>
        <v>16479</v>
      </c>
      <c r="E247" s="193">
        <f>$E$162</f>
        <v>45</v>
      </c>
      <c r="F247" s="184" t="s">
        <v>178</v>
      </c>
      <c r="G247" s="2">
        <f>ROUND(E247*$C247/100,0)</f>
        <v>6606</v>
      </c>
      <c r="H247" s="2">
        <f>ROUND(E247*$D247/100,0)</f>
        <v>7416</v>
      </c>
      <c r="I247" s="193">
        <f>$I$162</f>
        <v>50</v>
      </c>
      <c r="J247" s="186" t="s">
        <v>178</v>
      </c>
      <c r="K247" s="2">
        <f>ROUND(I247*$C247/100,0)</f>
        <v>7341</v>
      </c>
      <c r="M247" s="11"/>
      <c r="N247" s="11"/>
      <c r="O247" s="38"/>
      <c r="P247" s="38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E247" s="42"/>
    </row>
    <row r="248" spans="1:31">
      <c r="A248" s="194" t="s">
        <v>205</v>
      </c>
      <c r="B248" s="1"/>
      <c r="C248" s="182"/>
      <c r="D248" s="182"/>
      <c r="E248" s="195">
        <v>-0.01</v>
      </c>
      <c r="F248" s="184"/>
      <c r="G248" s="2"/>
      <c r="H248" s="2"/>
      <c r="I248" s="195">
        <v>-0.01</v>
      </c>
      <c r="J248" s="186"/>
      <c r="K248" s="2"/>
      <c r="M248" s="11"/>
      <c r="N248" s="11"/>
      <c r="O248" s="38"/>
      <c r="P248" s="38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E248" s="42"/>
    </row>
    <row r="249" spans="1:31">
      <c r="A249" s="1" t="s">
        <v>194</v>
      </c>
      <c r="B249" s="1"/>
      <c r="C249" s="182">
        <v>0</v>
      </c>
      <c r="D249" s="182">
        <f t="shared" ref="D249:D258" si="23">ROUND(($D$259/$C$259)*C249,0)</f>
        <v>0</v>
      </c>
      <c r="E249" s="197">
        <f>E239</f>
        <v>7.53</v>
      </c>
      <c r="F249" s="184"/>
      <c r="G249" s="2">
        <f>-ROUND(E249*$C249/100,0)</f>
        <v>0</v>
      </c>
      <c r="H249" s="2">
        <f>-ROUND(E249*$D249/100,0)</f>
        <v>0</v>
      </c>
      <c r="I249" s="197">
        <f>I239</f>
        <v>8</v>
      </c>
      <c r="J249" s="184"/>
      <c r="K249" s="2">
        <f>-ROUND(I249*$C249/100,0)</f>
        <v>0</v>
      </c>
      <c r="M249" s="11"/>
      <c r="N249" s="11"/>
      <c r="O249" s="38"/>
      <c r="P249" s="38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E249" s="42"/>
    </row>
    <row r="250" spans="1:31">
      <c r="A250" s="1" t="s">
        <v>195</v>
      </c>
      <c r="B250" s="1"/>
      <c r="C250" s="182">
        <v>0</v>
      </c>
      <c r="D250" s="182">
        <f t="shared" si="23"/>
        <v>0</v>
      </c>
      <c r="E250" s="197">
        <f>E240</f>
        <v>11.18</v>
      </c>
      <c r="F250" s="184"/>
      <c r="G250" s="2">
        <f>-ROUND(E250*$C250/100,0)</f>
        <v>0</v>
      </c>
      <c r="H250" s="2">
        <f>-ROUND(E250*$D250/100,0)</f>
        <v>0</v>
      </c>
      <c r="I250" s="197">
        <f>I240</f>
        <v>11.877822045152721</v>
      </c>
      <c r="J250" s="184"/>
      <c r="K250" s="2">
        <f>-ROUND(I250*$C250/100,0)</f>
        <v>0</v>
      </c>
      <c r="M250" s="11"/>
      <c r="N250" s="11"/>
      <c r="O250" s="38"/>
      <c r="P250" s="38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E250" s="42"/>
    </row>
    <row r="251" spans="1:31">
      <c r="A251" s="1" t="s">
        <v>206</v>
      </c>
      <c r="B251" s="1"/>
      <c r="C251" s="182">
        <v>0</v>
      </c>
      <c r="D251" s="182">
        <f t="shared" si="23"/>
        <v>0</v>
      </c>
      <c r="E251" s="197">
        <f>E241</f>
        <v>0.78</v>
      </c>
      <c r="F251" s="184"/>
      <c r="G251" s="2">
        <f>-ROUND(E251*$C251/100,0)</f>
        <v>0</v>
      </c>
      <c r="H251" s="2">
        <f>-ROUND(E251*$D251/100,0)</f>
        <v>0</v>
      </c>
      <c r="I251" s="197">
        <f>I241</f>
        <v>0.83</v>
      </c>
      <c r="J251" s="184"/>
      <c r="K251" s="2">
        <f>-ROUND(I251*$C251/100,0)</f>
        <v>0</v>
      </c>
      <c r="M251" s="11"/>
      <c r="N251" s="11"/>
      <c r="O251" s="38"/>
      <c r="P251" s="38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E251" s="42"/>
    </row>
    <row r="252" spans="1:31">
      <c r="A252" s="1" t="s">
        <v>207</v>
      </c>
      <c r="B252" s="1"/>
      <c r="C252" s="182">
        <v>0</v>
      </c>
      <c r="D252" s="182">
        <f t="shared" si="23"/>
        <v>0</v>
      </c>
      <c r="E252" s="197">
        <f>E243</f>
        <v>2.88</v>
      </c>
      <c r="F252" s="186"/>
      <c r="G252" s="2">
        <f>-ROUND(E252*$C252/100,0)</f>
        <v>0</v>
      </c>
      <c r="H252" s="2">
        <f>-ROUND(E252*$D252/100,0)</f>
        <v>0</v>
      </c>
      <c r="I252" s="197">
        <f>I243</f>
        <v>2.97</v>
      </c>
      <c r="J252" s="186"/>
      <c r="K252" s="2">
        <f>-ROUND(I252*$C252/100,0)</f>
        <v>0</v>
      </c>
      <c r="M252" s="11"/>
      <c r="N252" s="11"/>
      <c r="O252" s="38"/>
      <c r="P252" s="38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E252" s="42"/>
    </row>
    <row r="253" spans="1:31">
      <c r="A253" s="1" t="s">
        <v>209</v>
      </c>
      <c r="B253" s="1"/>
      <c r="C253" s="182">
        <v>0</v>
      </c>
      <c r="D253" s="182">
        <f t="shared" si="23"/>
        <v>0</v>
      </c>
      <c r="E253" s="198">
        <f>E244</f>
        <v>8.0890000000000004</v>
      </c>
      <c r="F253" s="186" t="s">
        <v>178</v>
      </c>
      <c r="G253" s="2">
        <f>ROUND(E253*$C253/100*E248,0)</f>
        <v>0</v>
      </c>
      <c r="H253" s="2">
        <f>ROUND(E253*$D253/100*E248,0)</f>
        <v>0</v>
      </c>
      <c r="I253" s="198">
        <f>I244</f>
        <v>8.8109999999999999</v>
      </c>
      <c r="J253" s="186" t="s">
        <v>178</v>
      </c>
      <c r="K253" s="2">
        <f>ROUND(I253*$C253/100*I248,0)</f>
        <v>0</v>
      </c>
      <c r="M253" s="11"/>
      <c r="N253" s="11"/>
      <c r="O253" s="38"/>
      <c r="P253" s="38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E253" s="42"/>
    </row>
    <row r="254" spans="1:31">
      <c r="A254" s="1" t="s">
        <v>202</v>
      </c>
      <c r="B254" s="1"/>
      <c r="C254" s="182">
        <v>0</v>
      </c>
      <c r="D254" s="182">
        <f t="shared" si="23"/>
        <v>0</v>
      </c>
      <c r="E254" s="198">
        <f>E245</f>
        <v>5.5839999999999996</v>
      </c>
      <c r="F254" s="186" t="s">
        <v>178</v>
      </c>
      <c r="G254" s="2">
        <f>ROUND(E254*$C254/100*E248,0)</f>
        <v>0</v>
      </c>
      <c r="H254" s="2">
        <f>ROUND(E254*$D254/100*E248,0)</f>
        <v>0</v>
      </c>
      <c r="I254" s="198">
        <f>I245</f>
        <v>6.0819999999999999</v>
      </c>
      <c r="J254" s="186" t="s">
        <v>178</v>
      </c>
      <c r="K254" s="2">
        <f>ROUND(I254*$C254/100*I248,0)</f>
        <v>0</v>
      </c>
      <c r="M254" s="11"/>
      <c r="N254" s="11"/>
      <c r="O254" s="38"/>
      <c r="P254" s="38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E254" s="42"/>
    </row>
    <row r="255" spans="1:31">
      <c r="A255" s="1" t="s">
        <v>203</v>
      </c>
      <c r="B255" s="1"/>
      <c r="C255" s="182">
        <v>0</v>
      </c>
      <c r="D255" s="182">
        <f t="shared" si="23"/>
        <v>0</v>
      </c>
      <c r="E255" s="198">
        <f>E246</f>
        <v>4.8099999999999996</v>
      </c>
      <c r="F255" s="186" t="s">
        <v>178</v>
      </c>
      <c r="G255" s="2">
        <f>ROUND(E255*$C255/100*E248,0)</f>
        <v>0</v>
      </c>
      <c r="H255" s="2">
        <f>ROUND(E255*$D255/100*E248,0)</f>
        <v>0</v>
      </c>
      <c r="I255" s="198">
        <f>I246</f>
        <v>5.24</v>
      </c>
      <c r="J255" s="186" t="s">
        <v>178</v>
      </c>
      <c r="K255" s="2">
        <f>ROUND(I255*$C255/100*I248,0)</f>
        <v>0</v>
      </c>
      <c r="M255" s="11"/>
      <c r="N255" s="11"/>
      <c r="O255" s="38"/>
      <c r="P255" s="38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E255" s="42"/>
    </row>
    <row r="256" spans="1:31">
      <c r="A256" s="1" t="s">
        <v>204</v>
      </c>
      <c r="B256" s="1"/>
      <c r="C256" s="182">
        <v>0</v>
      </c>
      <c r="D256" s="182">
        <f t="shared" si="23"/>
        <v>0</v>
      </c>
      <c r="E256" s="199">
        <f>E247</f>
        <v>45</v>
      </c>
      <c r="F256" s="186" t="s">
        <v>178</v>
      </c>
      <c r="G256" s="2">
        <f>ROUND(E256*$C256/100*E248,0)</f>
        <v>0</v>
      </c>
      <c r="H256" s="2">
        <f>ROUND(E256*$D256/100*E248,0)</f>
        <v>0</v>
      </c>
      <c r="I256" s="199">
        <f>I247</f>
        <v>50</v>
      </c>
      <c r="J256" s="186" t="s">
        <v>178</v>
      </c>
      <c r="K256" s="2">
        <f>ROUND(I256*$C256/100*I248,0)</f>
        <v>0</v>
      </c>
      <c r="M256" s="11"/>
      <c r="N256" s="11"/>
      <c r="O256" s="38"/>
      <c r="P256" s="38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E256" s="42"/>
    </row>
    <row r="257" spans="1:31">
      <c r="A257" s="1" t="s">
        <v>211</v>
      </c>
      <c r="B257" s="1"/>
      <c r="C257" s="182">
        <v>0</v>
      </c>
      <c r="D257" s="182">
        <f t="shared" si="23"/>
        <v>0</v>
      </c>
      <c r="E257" s="200">
        <f>$E$172</f>
        <v>60</v>
      </c>
      <c r="F257" s="184"/>
      <c r="G257" s="2">
        <f>ROUND(E257*$C257,0)</f>
        <v>0</v>
      </c>
      <c r="H257" s="2">
        <f>ROUND(E257*$D257,0)</f>
        <v>0</v>
      </c>
      <c r="I257" s="200">
        <f>$I$172</f>
        <v>60</v>
      </c>
      <c r="J257" s="186"/>
      <c r="K257" s="2">
        <f>ROUND(I257*$C257,0)</f>
        <v>0</v>
      </c>
      <c r="M257" s="11"/>
      <c r="N257" s="11"/>
      <c r="O257" s="38"/>
      <c r="P257" s="38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E257" s="42"/>
    </row>
    <row r="258" spans="1:31">
      <c r="A258" s="1" t="s">
        <v>212</v>
      </c>
      <c r="B258" s="1"/>
      <c r="C258" s="182">
        <v>0</v>
      </c>
      <c r="D258" s="182">
        <f t="shared" si="23"/>
        <v>0</v>
      </c>
      <c r="E258" s="202">
        <f>$E$173</f>
        <v>-30</v>
      </c>
      <c r="F258" s="184" t="s">
        <v>178</v>
      </c>
      <c r="G258" s="2">
        <f>ROUND(E258*$C258/100,0)</f>
        <v>0</v>
      </c>
      <c r="H258" s="2">
        <f>ROUND(E258*$D258/100,0)</f>
        <v>0</v>
      </c>
      <c r="I258" s="202">
        <f>$I$173</f>
        <v>-30</v>
      </c>
      <c r="J258" s="186" t="s">
        <v>178</v>
      </c>
      <c r="K258" s="2">
        <f>ROUND(I258*$C258/100,0)</f>
        <v>0</v>
      </c>
      <c r="M258" s="11"/>
      <c r="N258" s="11"/>
      <c r="O258" s="38"/>
      <c r="P258" s="38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E258" s="42"/>
    </row>
    <row r="259" spans="1:31">
      <c r="A259" s="1" t="s">
        <v>185</v>
      </c>
      <c r="B259" s="1"/>
      <c r="C259" s="182">
        <f>SUM(C244:C246)</f>
        <v>20161717</v>
      </c>
      <c r="D259" s="182">
        <v>22630547.415536091</v>
      </c>
      <c r="E259" s="193"/>
      <c r="F259" s="2"/>
      <c r="G259" s="2">
        <f>SUM(G239:G258)</f>
        <v>1431631</v>
      </c>
      <c r="H259" s="2">
        <f>SUM(H239:H258)</f>
        <v>1600006</v>
      </c>
      <c r="I259" s="193"/>
      <c r="J259" s="186"/>
      <c r="K259" s="2">
        <f>SUM(K239:K258)</f>
        <v>1549089</v>
      </c>
      <c r="M259" s="11"/>
      <c r="N259" s="11"/>
      <c r="O259" s="38"/>
      <c r="P259" s="38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E259" s="42"/>
    </row>
    <row r="260" spans="1:31">
      <c r="A260" s="1" t="s">
        <v>167</v>
      </c>
      <c r="B260" s="1"/>
      <c r="C260" s="212" t="e">
        <f>#REF!</f>
        <v>#REF!</v>
      </c>
      <c r="D260" s="203">
        <v>0</v>
      </c>
      <c r="E260" s="172"/>
      <c r="F260" s="172"/>
      <c r="G260" s="204" t="e">
        <f>#REF!</f>
        <v>#REF!</v>
      </c>
      <c r="H260" s="204">
        <v>0</v>
      </c>
      <c r="I260" s="172"/>
      <c r="J260" s="172"/>
      <c r="K260" s="204" t="e">
        <f>G260</f>
        <v>#REF!</v>
      </c>
      <c r="M260" s="307"/>
      <c r="N260" s="307"/>
      <c r="O260" s="150"/>
      <c r="P260" s="38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E260" s="42"/>
    </row>
    <row r="261" spans="1:31" ht="16.5" thickBot="1">
      <c r="A261" s="1" t="s">
        <v>186</v>
      </c>
      <c r="B261" s="1"/>
      <c r="C261" s="174" t="e">
        <f>SUM(C259:C260)</f>
        <v>#REF!</v>
      </c>
      <c r="D261" s="174">
        <f>SUM(D259:D260)</f>
        <v>22630547.415536091</v>
      </c>
      <c r="E261" s="205"/>
      <c r="F261" s="206"/>
      <c r="G261" s="207" t="e">
        <f>G259+G260</f>
        <v>#REF!</v>
      </c>
      <c r="H261" s="207">
        <f>H259+H260</f>
        <v>1600006</v>
      </c>
      <c r="I261" s="205"/>
      <c r="J261" s="208"/>
      <c r="K261" s="207" t="e">
        <f>K259+K260</f>
        <v>#REF!</v>
      </c>
      <c r="M261" s="274"/>
      <c r="N261" s="274"/>
      <c r="O261" s="333"/>
      <c r="P261" s="38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E261" s="42"/>
    </row>
    <row r="262" spans="1:31" ht="16.5" thickTop="1">
      <c r="A262" s="1"/>
      <c r="B262" s="1"/>
      <c r="C262" s="213"/>
      <c r="D262" s="213"/>
      <c r="E262" s="214"/>
      <c r="F262" s="215"/>
      <c r="G262" s="185"/>
      <c r="H262" s="185"/>
      <c r="I262" s="214"/>
      <c r="J262" s="14"/>
      <c r="K262" s="185"/>
      <c r="M262" s="11"/>
      <c r="N262" s="11"/>
      <c r="O262" s="38"/>
      <c r="P262" s="38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E262" s="42"/>
    </row>
    <row r="263" spans="1:31">
      <c r="A263" s="156" t="s">
        <v>219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M263" s="11"/>
      <c r="N263" s="11"/>
      <c r="O263" s="38"/>
      <c r="P263" s="38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E263" s="42"/>
    </row>
    <row r="264" spans="1:31">
      <c r="A264" s="1" t="s">
        <v>214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11"/>
      <c r="N264" s="11"/>
      <c r="O264" s="38"/>
      <c r="P264" s="38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E264" s="42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11"/>
      <c r="N265" s="11"/>
      <c r="O265" s="38"/>
      <c r="P265" s="38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E265" s="42"/>
    </row>
    <row r="266" spans="1:31">
      <c r="A266" s="1" t="s">
        <v>197</v>
      </c>
      <c r="B266" s="1"/>
      <c r="C266" s="182"/>
      <c r="D266" s="182"/>
      <c r="E266" s="2"/>
      <c r="F266" s="2"/>
      <c r="G266" s="1"/>
      <c r="H266" s="1"/>
      <c r="I266" s="2"/>
      <c r="J266" s="1"/>
      <c r="K266" s="1"/>
      <c r="M266" s="11"/>
      <c r="N266" s="11"/>
      <c r="O266" s="38"/>
      <c r="P266" s="38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E266" s="42"/>
    </row>
    <row r="267" spans="1:31">
      <c r="A267" s="1" t="s">
        <v>220</v>
      </c>
      <c r="B267" s="1"/>
      <c r="C267" s="182">
        <f t="shared" ref="C267:D269" si="24">C296+C325</f>
        <v>4924</v>
      </c>
      <c r="D267" s="182">
        <f t="shared" si="24"/>
        <v>4913</v>
      </c>
      <c r="E267" s="161">
        <f>$E$153</f>
        <v>7.53</v>
      </c>
      <c r="F267" s="184"/>
      <c r="G267" s="2">
        <f t="shared" ref="G267:H269" si="25">G296+G325</f>
        <v>37077</v>
      </c>
      <c r="H267" s="2">
        <f t="shared" si="25"/>
        <v>36994</v>
      </c>
      <c r="I267" s="161">
        <f>$I$153</f>
        <v>8</v>
      </c>
      <c r="J267" s="186"/>
      <c r="K267" s="2">
        <f>K296+K325</f>
        <v>39392</v>
      </c>
      <c r="M267" s="11"/>
      <c r="N267" s="11"/>
      <c r="O267" s="38"/>
      <c r="P267" s="38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E267" s="42"/>
    </row>
    <row r="268" spans="1:31">
      <c r="A268" s="1" t="s">
        <v>195</v>
      </c>
      <c r="B268" s="1"/>
      <c r="C268" s="182">
        <f t="shared" si="24"/>
        <v>0</v>
      </c>
      <c r="D268" s="182">
        <f t="shared" si="24"/>
        <v>0</v>
      </c>
      <c r="E268" s="161">
        <f>$E$154</f>
        <v>11.18</v>
      </c>
      <c r="F268" s="187"/>
      <c r="G268" s="2">
        <f t="shared" si="25"/>
        <v>0</v>
      </c>
      <c r="H268" s="2">
        <f t="shared" si="25"/>
        <v>0</v>
      </c>
      <c r="I268" s="161">
        <f>$I$154</f>
        <v>11.877822045152721</v>
      </c>
      <c r="J268" s="188"/>
      <c r="K268" s="2">
        <f>K297+K326</f>
        <v>0</v>
      </c>
      <c r="M268" s="11"/>
      <c r="N268" s="11"/>
      <c r="O268" s="38"/>
      <c r="P268" s="38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E268" s="42"/>
    </row>
    <row r="269" spans="1:31">
      <c r="A269" s="1" t="s">
        <v>196</v>
      </c>
      <c r="B269" s="1"/>
      <c r="C269" s="182">
        <f t="shared" si="24"/>
        <v>0</v>
      </c>
      <c r="D269" s="182">
        <f t="shared" si="24"/>
        <v>0</v>
      </c>
      <c r="E269" s="161">
        <f>$E$155</f>
        <v>0.78</v>
      </c>
      <c r="F269" s="187"/>
      <c r="G269" s="2">
        <f t="shared" si="25"/>
        <v>0</v>
      </c>
      <c r="H269" s="2">
        <f t="shared" si="25"/>
        <v>0</v>
      </c>
      <c r="I269" s="161">
        <f>$I$155</f>
        <v>0.83</v>
      </c>
      <c r="J269" s="188"/>
      <c r="K269" s="2">
        <f>K298+K327</f>
        <v>0</v>
      </c>
      <c r="M269" s="11"/>
      <c r="N269" s="11"/>
      <c r="O269" s="38"/>
      <c r="P269" s="38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E269" s="42"/>
    </row>
    <row r="270" spans="1:31">
      <c r="A270" s="1" t="s">
        <v>198</v>
      </c>
      <c r="B270" s="1"/>
      <c r="C270" s="182">
        <f>SUM(C267:C268)</f>
        <v>4924</v>
      </c>
      <c r="D270" s="182">
        <f>SUM(D267:D268)</f>
        <v>4913</v>
      </c>
      <c r="E270" s="161"/>
      <c r="F270" s="184"/>
      <c r="G270" s="2"/>
      <c r="H270" s="2"/>
      <c r="I270" s="161"/>
      <c r="J270" s="186"/>
      <c r="K270" s="2"/>
      <c r="M270" s="11"/>
      <c r="N270" s="11"/>
      <c r="O270" s="38"/>
      <c r="P270" s="38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E270" s="42"/>
    </row>
    <row r="271" spans="1:31">
      <c r="A271" s="1" t="s">
        <v>166</v>
      </c>
      <c r="B271" s="1"/>
      <c r="C271" s="182">
        <f t="shared" ref="C271:D276" si="26">C300+C329</f>
        <v>1621</v>
      </c>
      <c r="D271" s="182">
        <f t="shared" si="26"/>
        <v>1617</v>
      </c>
      <c r="E271" s="161"/>
      <c r="F271" s="184"/>
      <c r="G271" s="2"/>
      <c r="H271" s="2"/>
      <c r="I271" s="161"/>
      <c r="J271" s="186"/>
      <c r="K271" s="2"/>
      <c r="M271" s="11"/>
      <c r="N271" s="11"/>
      <c r="O271" s="38"/>
      <c r="P271" s="38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E271" s="42"/>
    </row>
    <row r="272" spans="1:31">
      <c r="A272" s="1" t="s">
        <v>199</v>
      </c>
      <c r="B272" s="1"/>
      <c r="C272" s="182">
        <f t="shared" si="26"/>
        <v>0</v>
      </c>
      <c r="D272" s="182">
        <f t="shared" si="26"/>
        <v>0</v>
      </c>
      <c r="E272" s="189">
        <f>$E$158</f>
        <v>2.88</v>
      </c>
      <c r="F272" s="186"/>
      <c r="G272" s="2">
        <f t="shared" ref="G272:H276" si="27">G301+G330</f>
        <v>0</v>
      </c>
      <c r="H272" s="2">
        <f t="shared" si="27"/>
        <v>0</v>
      </c>
      <c r="I272" s="189">
        <f>$I$158</f>
        <v>2.97</v>
      </c>
      <c r="J272" s="186"/>
      <c r="K272" s="2">
        <f>K301+K330</f>
        <v>0</v>
      </c>
      <c r="M272" s="11"/>
      <c r="N272" s="11"/>
      <c r="O272" s="38"/>
      <c r="P272" s="38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E272" s="42"/>
    </row>
    <row r="273" spans="1:31">
      <c r="A273" s="1" t="s">
        <v>201</v>
      </c>
      <c r="B273" s="1"/>
      <c r="C273" s="182">
        <f t="shared" si="26"/>
        <v>1398823</v>
      </c>
      <c r="D273" s="182">
        <f t="shared" si="26"/>
        <v>1445705</v>
      </c>
      <c r="E273" s="162">
        <f>$E$159</f>
        <v>8.0890000000000004</v>
      </c>
      <c r="F273" s="186" t="s">
        <v>178</v>
      </c>
      <c r="G273" s="2">
        <f t="shared" si="27"/>
        <v>113151</v>
      </c>
      <c r="H273" s="2">
        <f t="shared" si="27"/>
        <v>116943</v>
      </c>
      <c r="I273" s="162">
        <f>$I$159</f>
        <v>8.8109999999999999</v>
      </c>
      <c r="J273" s="186" t="s">
        <v>178</v>
      </c>
      <c r="K273" s="2">
        <f>K302+K331</f>
        <v>123250</v>
      </c>
      <c r="M273" s="11"/>
      <c r="N273" s="11"/>
      <c r="O273" s="38"/>
      <c r="P273" s="38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E273" s="42"/>
    </row>
    <row r="274" spans="1:31">
      <c r="A274" s="1" t="s">
        <v>202</v>
      </c>
      <c r="B274" s="1"/>
      <c r="C274" s="182">
        <f t="shared" si="26"/>
        <v>64813</v>
      </c>
      <c r="D274" s="182">
        <f t="shared" si="26"/>
        <v>66790</v>
      </c>
      <c r="E274" s="162">
        <f>$E$160</f>
        <v>5.5839999999999996</v>
      </c>
      <c r="F274" s="186" t="s">
        <v>178</v>
      </c>
      <c r="G274" s="2">
        <f t="shared" si="27"/>
        <v>3619</v>
      </c>
      <c r="H274" s="2">
        <f t="shared" si="27"/>
        <v>3730</v>
      </c>
      <c r="I274" s="162">
        <f>$I$160</f>
        <v>6.0819999999999999</v>
      </c>
      <c r="J274" s="186" t="s">
        <v>178</v>
      </c>
      <c r="K274" s="2">
        <f>K303+K332</f>
        <v>3942</v>
      </c>
      <c r="M274" s="11"/>
      <c r="N274" s="11"/>
      <c r="O274" s="38"/>
      <c r="P274" s="38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E274" s="42"/>
    </row>
    <row r="275" spans="1:31">
      <c r="A275" s="1" t="s">
        <v>203</v>
      </c>
      <c r="B275" s="1"/>
      <c r="C275" s="182">
        <f t="shared" si="26"/>
        <v>0</v>
      </c>
      <c r="D275" s="182">
        <f t="shared" si="26"/>
        <v>0</v>
      </c>
      <c r="E275" s="162">
        <f>$E$161</f>
        <v>4.8099999999999996</v>
      </c>
      <c r="F275" s="186" t="s">
        <v>178</v>
      </c>
      <c r="G275" s="2">
        <f t="shared" si="27"/>
        <v>0</v>
      </c>
      <c r="H275" s="2">
        <f t="shared" si="27"/>
        <v>0</v>
      </c>
      <c r="I275" s="162">
        <f>$I$161</f>
        <v>5.24</v>
      </c>
      <c r="J275" s="186" t="s">
        <v>178</v>
      </c>
      <c r="K275" s="2">
        <f>K304+K333</f>
        <v>0</v>
      </c>
      <c r="M275" s="11"/>
      <c r="N275" s="11"/>
      <c r="O275" s="38"/>
      <c r="P275" s="38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E275" s="42"/>
    </row>
    <row r="276" spans="1:31">
      <c r="A276" s="1" t="s">
        <v>204</v>
      </c>
      <c r="B276" s="1"/>
      <c r="C276" s="182">
        <f t="shared" si="26"/>
        <v>0</v>
      </c>
      <c r="D276" s="182">
        <f t="shared" si="26"/>
        <v>0</v>
      </c>
      <c r="E276" s="193">
        <f>$E$162</f>
        <v>45</v>
      </c>
      <c r="F276" s="184" t="s">
        <v>178</v>
      </c>
      <c r="G276" s="2">
        <f t="shared" si="27"/>
        <v>0</v>
      </c>
      <c r="H276" s="2">
        <f t="shared" si="27"/>
        <v>0</v>
      </c>
      <c r="I276" s="193">
        <f>$I$162</f>
        <v>50</v>
      </c>
      <c r="J276" s="186" t="s">
        <v>178</v>
      </c>
      <c r="K276" s="2">
        <f>K305+K334</f>
        <v>0</v>
      </c>
      <c r="M276" s="11"/>
      <c r="N276" s="11"/>
      <c r="O276" s="38"/>
      <c r="P276" s="38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E276" s="42"/>
    </row>
    <row r="277" spans="1:31">
      <c r="A277" s="194" t="s">
        <v>205</v>
      </c>
      <c r="B277" s="1"/>
      <c r="C277" s="182"/>
      <c r="D277" s="182"/>
      <c r="E277" s="195">
        <v>-0.01</v>
      </c>
      <c r="F277" s="184"/>
      <c r="G277" s="2"/>
      <c r="H277" s="2"/>
      <c r="I277" s="195">
        <v>-0.01</v>
      </c>
      <c r="J277" s="186"/>
      <c r="K277" s="2"/>
      <c r="M277" s="11"/>
      <c r="N277" s="11"/>
      <c r="O277" s="38"/>
      <c r="P277" s="38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E277" s="42"/>
    </row>
    <row r="278" spans="1:31">
      <c r="A278" s="1" t="s">
        <v>194</v>
      </c>
      <c r="B278" s="1"/>
      <c r="C278" s="182">
        <v>0</v>
      </c>
      <c r="D278" s="182">
        <v>0</v>
      </c>
      <c r="E278" s="197">
        <f>E267</f>
        <v>7.53</v>
      </c>
      <c r="F278" s="184"/>
      <c r="G278" s="2">
        <f t="shared" ref="G278:H289" si="28">G307+G336</f>
        <v>0</v>
      </c>
      <c r="H278" s="2">
        <f t="shared" si="28"/>
        <v>0</v>
      </c>
      <c r="I278" s="197">
        <f>I267</f>
        <v>8</v>
      </c>
      <c r="J278" s="184"/>
      <c r="K278" s="2">
        <f t="shared" ref="K278:K288" si="29">K307+K336</f>
        <v>0</v>
      </c>
      <c r="M278" s="11"/>
      <c r="N278" s="11"/>
      <c r="O278" s="38"/>
      <c r="P278" s="38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E278" s="42"/>
    </row>
    <row r="279" spans="1:31">
      <c r="A279" s="1" t="s">
        <v>195</v>
      </c>
      <c r="B279" s="1"/>
      <c r="C279" s="182">
        <v>0</v>
      </c>
      <c r="D279" s="182">
        <v>0</v>
      </c>
      <c r="E279" s="197">
        <f>E268</f>
        <v>11.18</v>
      </c>
      <c r="F279" s="184"/>
      <c r="G279" s="2">
        <f t="shared" si="28"/>
        <v>0</v>
      </c>
      <c r="H279" s="2">
        <f t="shared" si="28"/>
        <v>0</v>
      </c>
      <c r="I279" s="197">
        <f>I268</f>
        <v>11.877822045152721</v>
      </c>
      <c r="J279" s="184"/>
      <c r="K279" s="2">
        <f t="shared" si="29"/>
        <v>0</v>
      </c>
      <c r="M279" s="11"/>
      <c r="N279" s="11"/>
      <c r="O279" s="38"/>
      <c r="P279" s="38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E279" s="42"/>
    </row>
    <row r="280" spans="1:31">
      <c r="A280" s="1" t="s">
        <v>206</v>
      </c>
      <c r="B280" s="1"/>
      <c r="C280" s="182">
        <v>0</v>
      </c>
      <c r="D280" s="182">
        <v>0</v>
      </c>
      <c r="E280" s="197">
        <f>E269</f>
        <v>0.78</v>
      </c>
      <c r="F280" s="184"/>
      <c r="G280" s="2">
        <f t="shared" si="28"/>
        <v>0</v>
      </c>
      <c r="H280" s="2">
        <f t="shared" si="28"/>
        <v>0</v>
      </c>
      <c r="I280" s="197">
        <f>I269</f>
        <v>0.83</v>
      </c>
      <c r="J280" s="184"/>
      <c r="K280" s="2">
        <f t="shared" si="29"/>
        <v>0</v>
      </c>
      <c r="M280" s="11"/>
      <c r="N280" s="11"/>
      <c r="O280" s="38"/>
      <c r="P280" s="38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E280" s="42"/>
    </row>
    <row r="281" spans="1:31">
      <c r="A281" s="1" t="s">
        <v>207</v>
      </c>
      <c r="B281" s="1"/>
      <c r="C281" s="182">
        <v>0</v>
      </c>
      <c r="D281" s="182">
        <v>0</v>
      </c>
      <c r="E281" s="197">
        <f>E272</f>
        <v>2.88</v>
      </c>
      <c r="F281" s="186"/>
      <c r="G281" s="2">
        <f t="shared" si="28"/>
        <v>0</v>
      </c>
      <c r="H281" s="2">
        <f t="shared" si="28"/>
        <v>0</v>
      </c>
      <c r="I281" s="197">
        <f>I272</f>
        <v>2.97</v>
      </c>
      <c r="J281" s="186"/>
      <c r="K281" s="2">
        <f t="shared" si="29"/>
        <v>0</v>
      </c>
      <c r="M281" s="11"/>
      <c r="N281" s="11"/>
      <c r="O281" s="38"/>
      <c r="P281" s="38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E281" s="42"/>
    </row>
    <row r="282" spans="1:31">
      <c r="A282" s="1" t="s">
        <v>209</v>
      </c>
      <c r="B282" s="1"/>
      <c r="C282" s="182">
        <v>0</v>
      </c>
      <c r="D282" s="182">
        <v>0</v>
      </c>
      <c r="E282" s="198">
        <f>E273</f>
        <v>8.0890000000000004</v>
      </c>
      <c r="F282" s="186" t="s">
        <v>178</v>
      </c>
      <c r="G282" s="2">
        <f t="shared" si="28"/>
        <v>0</v>
      </c>
      <c r="H282" s="2">
        <f t="shared" si="28"/>
        <v>0</v>
      </c>
      <c r="I282" s="198">
        <f>I273</f>
        <v>8.8109999999999999</v>
      </c>
      <c r="J282" s="186" t="s">
        <v>178</v>
      </c>
      <c r="K282" s="2">
        <f t="shared" si="29"/>
        <v>0</v>
      </c>
      <c r="M282" s="11"/>
      <c r="N282" s="11"/>
      <c r="O282" s="38"/>
      <c r="P282" s="38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E282" s="42"/>
    </row>
    <row r="283" spans="1:31">
      <c r="A283" s="1" t="s">
        <v>202</v>
      </c>
      <c r="B283" s="1"/>
      <c r="C283" s="182">
        <v>0</v>
      </c>
      <c r="D283" s="182">
        <v>0</v>
      </c>
      <c r="E283" s="198">
        <f>E274</f>
        <v>5.5839999999999996</v>
      </c>
      <c r="F283" s="186" t="s">
        <v>178</v>
      </c>
      <c r="G283" s="2">
        <f t="shared" si="28"/>
        <v>0</v>
      </c>
      <c r="H283" s="2">
        <f t="shared" si="28"/>
        <v>0</v>
      </c>
      <c r="I283" s="198">
        <f>I274</f>
        <v>6.0819999999999999</v>
      </c>
      <c r="J283" s="186" t="s">
        <v>178</v>
      </c>
      <c r="K283" s="2">
        <f t="shared" si="29"/>
        <v>0</v>
      </c>
      <c r="M283" s="11"/>
      <c r="N283" s="11"/>
      <c r="O283" s="38"/>
      <c r="P283" s="38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E283" s="42"/>
    </row>
    <row r="284" spans="1:31">
      <c r="A284" s="1" t="s">
        <v>203</v>
      </c>
      <c r="B284" s="1"/>
      <c r="C284" s="182">
        <v>0</v>
      </c>
      <c r="D284" s="182">
        <v>0</v>
      </c>
      <c r="E284" s="198">
        <f>E275</f>
        <v>4.8099999999999996</v>
      </c>
      <c r="F284" s="186" t="s">
        <v>178</v>
      </c>
      <c r="G284" s="2">
        <f t="shared" si="28"/>
        <v>0</v>
      </c>
      <c r="H284" s="2">
        <f t="shared" si="28"/>
        <v>0</v>
      </c>
      <c r="I284" s="198">
        <f>I275</f>
        <v>5.24</v>
      </c>
      <c r="J284" s="186" t="s">
        <v>178</v>
      </c>
      <c r="K284" s="2">
        <f t="shared" si="29"/>
        <v>0</v>
      </c>
      <c r="M284" s="11"/>
      <c r="N284" s="11"/>
      <c r="O284" s="38"/>
      <c r="P284" s="38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E284" s="42"/>
    </row>
    <row r="285" spans="1:31">
      <c r="A285" s="1" t="s">
        <v>204</v>
      </c>
      <c r="B285" s="1"/>
      <c r="C285" s="182">
        <v>0</v>
      </c>
      <c r="D285" s="182">
        <v>0</v>
      </c>
      <c r="E285" s="199">
        <f>E276</f>
        <v>45</v>
      </c>
      <c r="F285" s="186" t="s">
        <v>178</v>
      </c>
      <c r="G285" s="2">
        <f t="shared" si="28"/>
        <v>0</v>
      </c>
      <c r="H285" s="2">
        <f t="shared" si="28"/>
        <v>0</v>
      </c>
      <c r="I285" s="199">
        <f>I276</f>
        <v>50</v>
      </c>
      <c r="J285" s="186" t="s">
        <v>178</v>
      </c>
      <c r="K285" s="2">
        <f t="shared" si="29"/>
        <v>0</v>
      </c>
      <c r="M285" s="11"/>
      <c r="N285" s="11"/>
      <c r="O285" s="38"/>
      <c r="P285" s="38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E285" s="42"/>
    </row>
    <row r="286" spans="1:31">
      <c r="A286" s="1" t="s">
        <v>211</v>
      </c>
      <c r="B286" s="1"/>
      <c r="C286" s="182">
        <v>0</v>
      </c>
      <c r="D286" s="182">
        <v>0</v>
      </c>
      <c r="E286" s="200">
        <f>$E$172</f>
        <v>60</v>
      </c>
      <c r="F286" s="184"/>
      <c r="G286" s="2">
        <f t="shared" si="28"/>
        <v>0</v>
      </c>
      <c r="H286" s="2">
        <f t="shared" si="28"/>
        <v>0</v>
      </c>
      <c r="I286" s="200">
        <f>$I$172</f>
        <v>60</v>
      </c>
      <c r="J286" s="186"/>
      <c r="K286" s="2">
        <f t="shared" si="29"/>
        <v>0</v>
      </c>
      <c r="M286" s="11"/>
      <c r="N286" s="11"/>
      <c r="O286" s="38"/>
      <c r="P286" s="38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E286" s="42"/>
    </row>
    <row r="287" spans="1:31">
      <c r="A287" s="1" t="s">
        <v>212</v>
      </c>
      <c r="B287" s="1"/>
      <c r="C287" s="182">
        <v>0</v>
      </c>
      <c r="D287" s="182">
        <v>0</v>
      </c>
      <c r="E287" s="202">
        <f>$E$173</f>
        <v>-30</v>
      </c>
      <c r="F287" s="184" t="s">
        <v>178</v>
      </c>
      <c r="G287" s="2">
        <f t="shared" si="28"/>
        <v>0</v>
      </c>
      <c r="H287" s="2">
        <f t="shared" si="28"/>
        <v>0</v>
      </c>
      <c r="I287" s="202">
        <f>$I$173</f>
        <v>-30</v>
      </c>
      <c r="J287" s="186" t="s">
        <v>178</v>
      </c>
      <c r="K287" s="2">
        <f t="shared" si="29"/>
        <v>0</v>
      </c>
      <c r="M287" s="11"/>
      <c r="N287" s="11"/>
      <c r="O287" s="38"/>
      <c r="P287" s="38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E287" s="42"/>
    </row>
    <row r="288" spans="1:31">
      <c r="A288" s="1" t="s">
        <v>185</v>
      </c>
      <c r="B288" s="1"/>
      <c r="C288" s="182">
        <f>C317+C346</f>
        <v>1463636</v>
      </c>
      <c r="D288" s="182">
        <f>D317+D346</f>
        <v>1512494.9193898283</v>
      </c>
      <c r="E288" s="193"/>
      <c r="F288" s="2"/>
      <c r="G288" s="2">
        <f t="shared" si="28"/>
        <v>153847</v>
      </c>
      <c r="H288" s="2">
        <f t="shared" si="28"/>
        <v>157667</v>
      </c>
      <c r="I288" s="193"/>
      <c r="J288" s="186"/>
      <c r="K288" s="2">
        <f t="shared" si="29"/>
        <v>166584</v>
      </c>
      <c r="M288" s="11"/>
      <c r="N288" s="11"/>
      <c r="O288" s="38"/>
      <c r="P288" s="38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E288" s="42"/>
    </row>
    <row r="289" spans="1:31">
      <c r="A289" s="1" t="s">
        <v>167</v>
      </c>
      <c r="B289" s="1"/>
      <c r="C289" s="203" t="e">
        <f>C318+C347</f>
        <v>#REF!</v>
      </c>
      <c r="D289" s="203">
        <f>D318+D347</f>
        <v>0</v>
      </c>
      <c r="E289" s="172"/>
      <c r="F289" s="172"/>
      <c r="G289" s="204" t="e">
        <f t="shared" si="28"/>
        <v>#REF!</v>
      </c>
      <c r="H289" s="204">
        <f t="shared" si="28"/>
        <v>0</v>
      </c>
      <c r="I289" s="172"/>
      <c r="J289" s="172"/>
      <c r="K289" s="204" t="e">
        <f>G289</f>
        <v>#REF!</v>
      </c>
      <c r="M289" s="307"/>
      <c r="N289" s="307"/>
      <c r="O289" s="150"/>
      <c r="P289" s="38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E289" s="42"/>
    </row>
    <row r="290" spans="1:31" ht="16.5" thickBot="1">
      <c r="A290" s="1" t="s">
        <v>186</v>
      </c>
      <c r="B290" s="1"/>
      <c r="C290" s="174" t="e">
        <f>SUM(C288:C289)</f>
        <v>#REF!</v>
      </c>
      <c r="D290" s="174">
        <f>SUM(D288:D289)</f>
        <v>1512494.9193898283</v>
      </c>
      <c r="E290" s="205"/>
      <c r="F290" s="206"/>
      <c r="G290" s="207" t="e">
        <f>G288+G289</f>
        <v>#REF!</v>
      </c>
      <c r="H290" s="207">
        <f>H288+H289</f>
        <v>157667</v>
      </c>
      <c r="I290" s="205"/>
      <c r="J290" s="208"/>
      <c r="K290" s="207" t="e">
        <f>K288+K289</f>
        <v>#REF!</v>
      </c>
      <c r="M290" s="274"/>
      <c r="N290" s="274"/>
      <c r="O290" s="333"/>
      <c r="P290" s="38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E290" s="42"/>
    </row>
    <row r="291" spans="1:31" ht="16.5" thickTop="1">
      <c r="A291" s="1"/>
      <c r="B291" s="1"/>
      <c r="C291" s="12"/>
      <c r="D291" s="12"/>
      <c r="E291" s="200"/>
      <c r="F291" s="2"/>
      <c r="G291" s="2"/>
      <c r="H291" s="2"/>
      <c r="I291" s="200"/>
      <c r="J291" s="1"/>
      <c r="K291" s="2" t="s">
        <v>13</v>
      </c>
      <c r="M291" s="11"/>
      <c r="N291" s="11"/>
      <c r="O291" s="38"/>
      <c r="P291" s="38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E291" s="42"/>
    </row>
    <row r="292" spans="1:31">
      <c r="A292" s="156" t="s">
        <v>219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M292" s="11"/>
      <c r="N292" s="11"/>
      <c r="O292" s="38"/>
      <c r="P292" s="38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E292" s="42"/>
    </row>
    <row r="293" spans="1:31">
      <c r="A293" s="1" t="s">
        <v>215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11"/>
      <c r="N293" s="11"/>
      <c r="O293" s="38"/>
      <c r="P293" s="38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E293" s="42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11"/>
      <c r="N294" s="11"/>
      <c r="O294" s="38"/>
      <c r="P294" s="38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E294" s="42"/>
    </row>
    <row r="295" spans="1:31">
      <c r="A295" s="1" t="s">
        <v>197</v>
      </c>
      <c r="B295" s="1"/>
      <c r="C295" s="182"/>
      <c r="D295" s="182"/>
      <c r="E295" s="2"/>
      <c r="F295" s="2"/>
      <c r="G295" s="1"/>
      <c r="H295" s="1"/>
      <c r="I295" s="2"/>
      <c r="J295" s="1"/>
      <c r="K295" s="1"/>
      <c r="M295" s="11"/>
      <c r="N295" s="11"/>
      <c r="O295" s="38"/>
      <c r="P295" s="38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E295" s="42"/>
    </row>
    <row r="296" spans="1:31">
      <c r="A296" s="1" t="s">
        <v>220</v>
      </c>
      <c r="B296" s="1"/>
      <c r="C296" s="182">
        <f>3953+455</f>
        <v>4408</v>
      </c>
      <c r="D296" s="182">
        <f>ROUND((D300/C300)*C296,0)</f>
        <v>4397</v>
      </c>
      <c r="E296" s="161">
        <f>$E$153</f>
        <v>7.53</v>
      </c>
      <c r="F296" s="184"/>
      <c r="G296" s="2">
        <f>ROUND(E296*$C296,0)</f>
        <v>33192</v>
      </c>
      <c r="H296" s="2">
        <f>ROUND(E296*$D296,0)</f>
        <v>33109</v>
      </c>
      <c r="I296" s="161">
        <f>$I$153</f>
        <v>8</v>
      </c>
      <c r="J296" s="186"/>
      <c r="K296" s="2">
        <f>ROUND(I296*$C296,0)</f>
        <v>35264</v>
      </c>
      <c r="M296" s="11"/>
      <c r="N296" s="11"/>
      <c r="O296" s="38"/>
      <c r="P296" s="38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E296" s="42"/>
    </row>
    <row r="297" spans="1:31">
      <c r="A297" s="1" t="s">
        <v>195</v>
      </c>
      <c r="B297" s="1"/>
      <c r="C297" s="182">
        <v>0</v>
      </c>
      <c r="D297" s="182">
        <v>0</v>
      </c>
      <c r="E297" s="161">
        <f>$E$154</f>
        <v>11.18</v>
      </c>
      <c r="F297" s="187"/>
      <c r="G297" s="2">
        <f>ROUND(E297*$C297,0)</f>
        <v>0</v>
      </c>
      <c r="H297" s="2">
        <f>ROUND(E297*$D297,0)</f>
        <v>0</v>
      </c>
      <c r="I297" s="161">
        <f>$I$154</f>
        <v>11.877822045152721</v>
      </c>
      <c r="J297" s="188"/>
      <c r="K297" s="2">
        <f>ROUND(I297*$C297,0)</f>
        <v>0</v>
      </c>
      <c r="M297" s="11"/>
      <c r="N297" s="11"/>
      <c r="O297" s="38"/>
      <c r="P297" s="38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E297" s="42"/>
    </row>
    <row r="298" spans="1:31">
      <c r="A298" s="1" t="s">
        <v>196</v>
      </c>
      <c r="B298" s="1"/>
      <c r="C298" s="182">
        <v>0</v>
      </c>
      <c r="D298" s="182">
        <v>0</v>
      </c>
      <c r="E298" s="161">
        <f>$E$155</f>
        <v>0.78</v>
      </c>
      <c r="F298" s="187"/>
      <c r="G298" s="2">
        <f>ROUND(E298*$C298,0)</f>
        <v>0</v>
      </c>
      <c r="H298" s="2">
        <f>ROUND(E298*$D298,0)</f>
        <v>0</v>
      </c>
      <c r="I298" s="161">
        <f>$I$155</f>
        <v>0.83</v>
      </c>
      <c r="J298" s="188"/>
      <c r="K298" s="2">
        <f>ROUND(I298*$C298,0)</f>
        <v>0</v>
      </c>
      <c r="M298" s="11"/>
      <c r="N298" s="11"/>
      <c r="O298" s="38"/>
      <c r="P298" s="38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E298" s="42"/>
    </row>
    <row r="299" spans="1:31">
      <c r="A299" s="1" t="s">
        <v>198</v>
      </c>
      <c r="B299" s="1"/>
      <c r="C299" s="182">
        <f>SUM(C296:C297)</f>
        <v>4408</v>
      </c>
      <c r="D299" s="182">
        <f>ROUND((D300/C300)*C299,0)</f>
        <v>4397</v>
      </c>
      <c r="E299" s="161"/>
      <c r="F299" s="184"/>
      <c r="G299" s="2"/>
      <c r="H299" s="2"/>
      <c r="I299" s="161"/>
      <c r="J299" s="186"/>
      <c r="K299" s="2"/>
      <c r="M299" s="11"/>
      <c r="N299" s="11"/>
      <c r="O299" s="38"/>
      <c r="P299" s="38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E299" s="42"/>
    </row>
    <row r="300" spans="1:31">
      <c r="A300" s="1" t="s">
        <v>166</v>
      </c>
      <c r="B300" s="1"/>
      <c r="C300" s="182">
        <f>108+1465</f>
        <v>1573</v>
      </c>
      <c r="D300" s="182">
        <v>1569</v>
      </c>
      <c r="E300" s="161"/>
      <c r="F300" s="184"/>
      <c r="G300" s="2"/>
      <c r="H300" s="2"/>
      <c r="I300" s="161"/>
      <c r="J300" s="186"/>
      <c r="K300" s="2"/>
      <c r="M300" s="11"/>
      <c r="N300" s="11"/>
      <c r="O300" s="38"/>
      <c r="P300" s="38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E300" s="42"/>
    </row>
    <row r="301" spans="1:31">
      <c r="A301" s="1" t="s">
        <v>199</v>
      </c>
      <c r="B301" s="1"/>
      <c r="C301" s="182">
        <v>0</v>
      </c>
      <c r="D301" s="182">
        <v>0</v>
      </c>
      <c r="E301" s="189">
        <f>$E$158</f>
        <v>2.88</v>
      </c>
      <c r="F301" s="186"/>
      <c r="G301" s="2">
        <f>ROUND(E301*$C301,0)</f>
        <v>0</v>
      </c>
      <c r="H301" s="2">
        <f>ROUND(E301*$D301,0)</f>
        <v>0</v>
      </c>
      <c r="I301" s="189">
        <f>$I$158</f>
        <v>2.97</v>
      </c>
      <c r="J301" s="186"/>
      <c r="K301" s="2">
        <f>ROUND(I301*$C301,0)</f>
        <v>0</v>
      </c>
      <c r="M301" s="11"/>
      <c r="N301" s="11"/>
      <c r="O301" s="38"/>
      <c r="P301" s="38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E301" s="42"/>
    </row>
    <row r="302" spans="1:31">
      <c r="A302" s="1" t="s">
        <v>201</v>
      </c>
      <c r="B302" s="1"/>
      <c r="C302" s="182">
        <f>36361+1146150+183000</f>
        <v>1365511</v>
      </c>
      <c r="D302" s="182">
        <f>ROUND(($D$317/'Billing Determinants (2)'!$C$317)*C302,0)</f>
        <v>1407168</v>
      </c>
      <c r="E302" s="162">
        <f>$E$159</f>
        <v>8.0890000000000004</v>
      </c>
      <c r="F302" s="186" t="s">
        <v>178</v>
      </c>
      <c r="G302" s="2">
        <f>ROUND(E302*$C302/100,0)</f>
        <v>110456</v>
      </c>
      <c r="H302" s="2">
        <f>ROUND(E302*$D302/100,0)</f>
        <v>113826</v>
      </c>
      <c r="I302" s="162">
        <f>$I$159</f>
        <v>8.8109999999999999</v>
      </c>
      <c r="J302" s="186" t="s">
        <v>178</v>
      </c>
      <c r="K302" s="2">
        <f>ROUND(I302*$C302/100,0)</f>
        <v>120315</v>
      </c>
      <c r="M302" s="11"/>
      <c r="N302" s="11"/>
      <c r="O302" s="38"/>
      <c r="P302" s="38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E302" s="42"/>
    </row>
    <row r="303" spans="1:31">
      <c r="A303" s="1" t="s">
        <v>202</v>
      </c>
      <c r="B303" s="12"/>
      <c r="C303" s="182">
        <f>64813</f>
        <v>64813</v>
      </c>
      <c r="D303" s="182">
        <f>ROUND(($D$317/'Billing Determinants (2)'!$C$317)*C303,0)</f>
        <v>66790</v>
      </c>
      <c r="E303" s="162">
        <f>$E$160</f>
        <v>5.5839999999999996</v>
      </c>
      <c r="F303" s="186" t="s">
        <v>178</v>
      </c>
      <c r="G303" s="2">
        <f>ROUND(E303*$C303/100,0)</f>
        <v>3619</v>
      </c>
      <c r="H303" s="2">
        <f>ROUND(E303*$D303/100,0)</f>
        <v>3730</v>
      </c>
      <c r="I303" s="162">
        <f>$I$160</f>
        <v>6.0819999999999999</v>
      </c>
      <c r="J303" s="186" t="s">
        <v>178</v>
      </c>
      <c r="K303" s="2">
        <f>ROUND(I303*$C303/100,0)</f>
        <v>3942</v>
      </c>
      <c r="M303" s="11"/>
      <c r="N303" s="11"/>
      <c r="O303" s="38"/>
      <c r="P303" s="38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E303" s="42"/>
    </row>
    <row r="304" spans="1:31">
      <c r="A304" s="1" t="s">
        <v>203</v>
      </c>
      <c r="B304" s="1"/>
      <c r="C304" s="182">
        <f>36361+1210963+183000-C302-C303</f>
        <v>0</v>
      </c>
      <c r="D304" s="182">
        <f>ROUND(($D$317/'Billing Determinants (2)'!$C$317)*C304,0)</f>
        <v>0</v>
      </c>
      <c r="E304" s="162">
        <f>$E$161</f>
        <v>4.8099999999999996</v>
      </c>
      <c r="F304" s="186" t="s">
        <v>178</v>
      </c>
      <c r="G304" s="2">
        <f>ROUND(E304*$C304/100,0)</f>
        <v>0</v>
      </c>
      <c r="H304" s="2">
        <f>ROUND(E304*$D304/100,0)</f>
        <v>0</v>
      </c>
      <c r="I304" s="162">
        <f>$I$161</f>
        <v>5.24</v>
      </c>
      <c r="J304" s="186" t="s">
        <v>178</v>
      </c>
      <c r="K304" s="2">
        <f>ROUND(I304*$C304/100,0)</f>
        <v>0</v>
      </c>
      <c r="M304" s="11"/>
      <c r="N304" s="11"/>
      <c r="O304" s="38"/>
      <c r="P304" s="38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E304" s="42"/>
    </row>
    <row r="305" spans="1:31">
      <c r="A305" s="1" t="s">
        <v>204</v>
      </c>
      <c r="B305" s="1"/>
      <c r="C305" s="182">
        <v>0</v>
      </c>
      <c r="D305" s="182">
        <f>ROUND(($D$317/'Billing Determinants (2)'!$C$317)*C305,0)</f>
        <v>0</v>
      </c>
      <c r="E305" s="193">
        <f>$E$162</f>
        <v>45</v>
      </c>
      <c r="F305" s="184" t="s">
        <v>178</v>
      </c>
      <c r="G305" s="2">
        <f>ROUND(E305*$C305/100,0)</f>
        <v>0</v>
      </c>
      <c r="H305" s="2">
        <f>ROUND(E305*$D305/100,0)</f>
        <v>0</v>
      </c>
      <c r="I305" s="193">
        <f>$I$162</f>
        <v>50</v>
      </c>
      <c r="J305" s="186" t="s">
        <v>178</v>
      </c>
      <c r="K305" s="2">
        <f>ROUND(I305*$C305/100,0)</f>
        <v>0</v>
      </c>
      <c r="M305" s="11"/>
      <c r="N305" s="11"/>
      <c r="O305" s="38"/>
      <c r="P305" s="38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E305" s="42"/>
    </row>
    <row r="306" spans="1:31">
      <c r="A306" s="194" t="s">
        <v>205</v>
      </c>
      <c r="B306" s="1"/>
      <c r="C306" s="182"/>
      <c r="D306" s="182"/>
      <c r="E306" s="195">
        <v>-0.01</v>
      </c>
      <c r="F306" s="184"/>
      <c r="G306" s="2"/>
      <c r="H306" s="2"/>
      <c r="I306" s="195">
        <v>-0.01</v>
      </c>
      <c r="J306" s="186"/>
      <c r="K306" s="2"/>
      <c r="M306" s="11"/>
      <c r="N306" s="11"/>
      <c r="O306" s="38"/>
      <c r="P306" s="38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E306" s="42"/>
    </row>
    <row r="307" spans="1:31">
      <c r="A307" s="1" t="s">
        <v>194</v>
      </c>
      <c r="B307" s="1"/>
      <c r="C307" s="182">
        <v>0</v>
      </c>
      <c r="D307" s="182">
        <v>0</v>
      </c>
      <c r="E307" s="197">
        <f>E296</f>
        <v>7.53</v>
      </c>
      <c r="F307" s="184"/>
      <c r="G307" s="2">
        <f>-ROUND(E307*$C307/100,0)</f>
        <v>0</v>
      </c>
      <c r="H307" s="2">
        <f t="shared" ref="H307:H316" si="30">-ROUND(E307*$D307/100,0)</f>
        <v>0</v>
      </c>
      <c r="I307" s="197">
        <f>I296</f>
        <v>8</v>
      </c>
      <c r="J307" s="184"/>
      <c r="K307" s="2">
        <f>-ROUND(I307*$C307/100,0)</f>
        <v>0</v>
      </c>
      <c r="M307" s="11"/>
      <c r="N307" s="11"/>
      <c r="O307" s="38"/>
      <c r="P307" s="38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E307" s="42"/>
    </row>
    <row r="308" spans="1:31">
      <c r="A308" s="1" t="s">
        <v>195</v>
      </c>
      <c r="B308" s="1"/>
      <c r="C308" s="182">
        <v>0</v>
      </c>
      <c r="D308" s="182">
        <v>0</v>
      </c>
      <c r="E308" s="197">
        <f>E297</f>
        <v>11.18</v>
      </c>
      <c r="F308" s="184"/>
      <c r="G308" s="2">
        <f>-ROUND(E308*$C308/100,0)</f>
        <v>0</v>
      </c>
      <c r="H308" s="2">
        <f t="shared" si="30"/>
        <v>0</v>
      </c>
      <c r="I308" s="197">
        <f>I297</f>
        <v>11.877822045152721</v>
      </c>
      <c r="J308" s="184"/>
      <c r="K308" s="2">
        <f>-ROUND(I308*$C308/100,0)</f>
        <v>0</v>
      </c>
      <c r="M308" s="11"/>
      <c r="N308" s="11"/>
      <c r="O308" s="38"/>
      <c r="P308" s="38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E308" s="42"/>
    </row>
    <row r="309" spans="1:31">
      <c r="A309" s="1" t="s">
        <v>206</v>
      </c>
      <c r="B309" s="1"/>
      <c r="C309" s="182">
        <v>0</v>
      </c>
      <c r="D309" s="182">
        <f>ROUND(($D$317/'Billing Determinants (2)'!$C$317)*C309,0)</f>
        <v>0</v>
      </c>
      <c r="E309" s="197">
        <f>E298</f>
        <v>0.78</v>
      </c>
      <c r="F309" s="184"/>
      <c r="G309" s="2">
        <f>-ROUND(E309*$C309/100,0)</f>
        <v>0</v>
      </c>
      <c r="H309" s="2">
        <f t="shared" si="30"/>
        <v>0</v>
      </c>
      <c r="I309" s="197">
        <f>I298</f>
        <v>0.83</v>
      </c>
      <c r="J309" s="184"/>
      <c r="K309" s="2">
        <f>-ROUND(I309*$C309/100,0)</f>
        <v>0</v>
      </c>
      <c r="M309" s="11"/>
      <c r="N309" s="11"/>
      <c r="O309" s="38"/>
      <c r="P309" s="38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E309" s="42"/>
    </row>
    <row r="310" spans="1:31">
      <c r="A310" s="1" t="s">
        <v>207</v>
      </c>
      <c r="B310" s="1"/>
      <c r="C310" s="182">
        <v>0</v>
      </c>
      <c r="D310" s="182">
        <f>ROUND(($D$317/'Billing Determinants (2)'!$C$317)*C310,0)</f>
        <v>0</v>
      </c>
      <c r="E310" s="197">
        <f>E301</f>
        <v>2.88</v>
      </c>
      <c r="F310" s="186"/>
      <c r="G310" s="2">
        <f>-ROUND(E310*$C310/100,0)</f>
        <v>0</v>
      </c>
      <c r="H310" s="2">
        <f t="shared" si="30"/>
        <v>0</v>
      </c>
      <c r="I310" s="197">
        <f>I301</f>
        <v>2.97</v>
      </c>
      <c r="J310" s="186"/>
      <c r="K310" s="2">
        <f>-ROUND(I310*$C310/100,0)</f>
        <v>0</v>
      </c>
      <c r="M310" s="11"/>
      <c r="N310" s="11"/>
      <c r="O310" s="38"/>
      <c r="P310" s="38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E310" s="42"/>
    </row>
    <row r="311" spans="1:31">
      <c r="A311" s="1" t="s">
        <v>209</v>
      </c>
      <c r="B311" s="1"/>
      <c r="C311" s="182">
        <v>0</v>
      </c>
      <c r="D311" s="182">
        <f>ROUND(($D$317/'Billing Determinants (2)'!$C$317)*C311,0)</f>
        <v>0</v>
      </c>
      <c r="E311" s="198">
        <f>E302</f>
        <v>8.0890000000000004</v>
      </c>
      <c r="F311" s="186" t="s">
        <v>178</v>
      </c>
      <c r="G311" s="2">
        <f>ROUND(E311*$C311/100*E306,0)</f>
        <v>0</v>
      </c>
      <c r="H311" s="2">
        <f t="shared" si="30"/>
        <v>0</v>
      </c>
      <c r="I311" s="198">
        <f>I302</f>
        <v>8.8109999999999999</v>
      </c>
      <c r="J311" s="186" t="s">
        <v>178</v>
      </c>
      <c r="K311" s="2">
        <f>ROUND(I311*$C311/100*I306,0)</f>
        <v>0</v>
      </c>
      <c r="M311" s="11"/>
      <c r="N311" s="11"/>
      <c r="O311" s="38"/>
      <c r="P311" s="38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E311" s="42"/>
    </row>
    <row r="312" spans="1:31">
      <c r="A312" s="1" t="s">
        <v>202</v>
      </c>
      <c r="B312" s="1"/>
      <c r="C312" s="182">
        <v>0</v>
      </c>
      <c r="D312" s="182">
        <f>ROUND(($D$317/'Billing Determinants (2)'!$C$317)*C312,0)</f>
        <v>0</v>
      </c>
      <c r="E312" s="198">
        <f>E303</f>
        <v>5.5839999999999996</v>
      </c>
      <c r="F312" s="186" t="s">
        <v>178</v>
      </c>
      <c r="G312" s="2">
        <f>ROUND(E312*$C312/100*E306,0)</f>
        <v>0</v>
      </c>
      <c r="H312" s="2">
        <f t="shared" si="30"/>
        <v>0</v>
      </c>
      <c r="I312" s="198">
        <f>I303</f>
        <v>6.0819999999999999</v>
      </c>
      <c r="J312" s="186" t="s">
        <v>178</v>
      </c>
      <c r="K312" s="2">
        <f>ROUND(I312*$C312/100*I306,0)</f>
        <v>0</v>
      </c>
      <c r="M312" s="11"/>
      <c r="N312" s="11"/>
      <c r="O312" s="38"/>
      <c r="P312" s="38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E312" s="42"/>
    </row>
    <row r="313" spans="1:31">
      <c r="A313" s="1" t="s">
        <v>203</v>
      </c>
      <c r="B313" s="1"/>
      <c r="C313" s="182">
        <v>0</v>
      </c>
      <c r="D313" s="182">
        <f>ROUND(($D$317/'Billing Determinants (2)'!$C$317)*C313,0)</f>
        <v>0</v>
      </c>
      <c r="E313" s="198">
        <f>E304</f>
        <v>4.8099999999999996</v>
      </c>
      <c r="F313" s="186" t="s">
        <v>178</v>
      </c>
      <c r="G313" s="2">
        <f>ROUND(E313*$C313/100*E306,0)</f>
        <v>0</v>
      </c>
      <c r="H313" s="2">
        <f t="shared" si="30"/>
        <v>0</v>
      </c>
      <c r="I313" s="198">
        <f>I304</f>
        <v>5.24</v>
      </c>
      <c r="J313" s="186" t="s">
        <v>178</v>
      </c>
      <c r="K313" s="2">
        <f>ROUND(I313*$C313/100*I306,0)</f>
        <v>0</v>
      </c>
      <c r="M313" s="11"/>
      <c r="N313" s="11"/>
      <c r="O313" s="38"/>
      <c r="P313" s="38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E313" s="42"/>
    </row>
    <row r="314" spans="1:31">
      <c r="A314" s="1" t="s">
        <v>204</v>
      </c>
      <c r="B314" s="1"/>
      <c r="C314" s="182">
        <v>0</v>
      </c>
      <c r="D314" s="182">
        <f>ROUND(($D$317/'Billing Determinants (2)'!$C$317)*C314,0)</f>
        <v>0</v>
      </c>
      <c r="E314" s="199">
        <f>E305</f>
        <v>45</v>
      </c>
      <c r="F314" s="186" t="s">
        <v>178</v>
      </c>
      <c r="G314" s="2">
        <f>ROUND(E314*$C314/100*E306,0)</f>
        <v>0</v>
      </c>
      <c r="H314" s="2">
        <f t="shared" si="30"/>
        <v>0</v>
      </c>
      <c r="I314" s="199">
        <f>I305</f>
        <v>50</v>
      </c>
      <c r="J314" s="186" t="s">
        <v>178</v>
      </c>
      <c r="K314" s="2">
        <f>ROUND(I314*$C314/100*I306,0)</f>
        <v>0</v>
      </c>
      <c r="M314" s="11"/>
      <c r="N314" s="11"/>
      <c r="O314" s="38"/>
      <c r="P314" s="38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E314" s="42"/>
    </row>
    <row r="315" spans="1:31">
      <c r="A315" s="1" t="s">
        <v>211</v>
      </c>
      <c r="B315" s="1"/>
      <c r="C315" s="182">
        <v>0</v>
      </c>
      <c r="D315" s="182">
        <f>ROUND(($D$317/'Billing Determinants (2)'!$C$317)*C315,0)</f>
        <v>0</v>
      </c>
      <c r="E315" s="200">
        <f>$E$172</f>
        <v>60</v>
      </c>
      <c r="F315" s="184"/>
      <c r="G315" s="2">
        <f>ROUND(E315*$C315,0)</f>
        <v>0</v>
      </c>
      <c r="H315" s="2">
        <f t="shared" si="30"/>
        <v>0</v>
      </c>
      <c r="I315" s="200">
        <f>$I$172</f>
        <v>60</v>
      </c>
      <c r="J315" s="186"/>
      <c r="K315" s="2">
        <f>ROUND(I315*$C315,0)</f>
        <v>0</v>
      </c>
      <c r="M315" s="11"/>
      <c r="N315" s="11"/>
      <c r="O315" s="38"/>
      <c r="P315" s="38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E315" s="42"/>
    </row>
    <row r="316" spans="1:31">
      <c r="A316" s="1" t="s">
        <v>212</v>
      </c>
      <c r="B316" s="1"/>
      <c r="C316" s="182">
        <v>0</v>
      </c>
      <c r="D316" s="182">
        <f>ROUND(($D$317/'Billing Determinants (2)'!$C$317)*C316,0)</f>
        <v>0</v>
      </c>
      <c r="E316" s="202">
        <f>$E$173</f>
        <v>-30</v>
      </c>
      <c r="F316" s="184" t="s">
        <v>178</v>
      </c>
      <c r="G316" s="2">
        <f>ROUND(E316*$C316/100,0)</f>
        <v>0</v>
      </c>
      <c r="H316" s="2">
        <f t="shared" si="30"/>
        <v>0</v>
      </c>
      <c r="I316" s="202">
        <f>$I$173</f>
        <v>-30</v>
      </c>
      <c r="J316" s="186" t="s">
        <v>178</v>
      </c>
      <c r="K316" s="2">
        <f>ROUND(I316*$C316/100,0)</f>
        <v>0</v>
      </c>
      <c r="M316" s="11"/>
      <c r="N316" s="11"/>
      <c r="O316" s="38"/>
      <c r="P316" s="38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E316" s="42"/>
    </row>
    <row r="317" spans="1:31">
      <c r="A317" s="1" t="s">
        <v>185</v>
      </c>
      <c r="B317" s="1"/>
      <c r="C317" s="182">
        <f>SUM(C302:C304)</f>
        <v>1430324</v>
      </c>
      <c r="D317" s="182">
        <v>1473957.9193898283</v>
      </c>
      <c r="E317" s="193"/>
      <c r="F317" s="2"/>
      <c r="G317" s="2">
        <f>SUM(G296:G316)</f>
        <v>147267</v>
      </c>
      <c r="H317" s="2">
        <f>SUM(H296:H316)</f>
        <v>150665</v>
      </c>
      <c r="I317" s="193"/>
      <c r="J317" s="186"/>
      <c r="K317" s="2">
        <f>SUM(K296:K316)</f>
        <v>159521</v>
      </c>
      <c r="M317" s="11"/>
      <c r="N317" s="11"/>
      <c r="O317" s="38"/>
      <c r="P317" s="38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E317" s="42"/>
    </row>
    <row r="318" spans="1:31">
      <c r="A318" s="1" t="s">
        <v>167</v>
      </c>
      <c r="B318" s="1"/>
      <c r="C318" s="212" t="e">
        <f>#REF!</f>
        <v>#REF!</v>
      </c>
      <c r="D318" s="203">
        <v>0</v>
      </c>
      <c r="E318" s="172"/>
      <c r="F318" s="172"/>
      <c r="G318" s="204" t="e">
        <f>#REF!</f>
        <v>#REF!</v>
      </c>
      <c r="H318" s="204">
        <v>0</v>
      </c>
      <c r="I318" s="172"/>
      <c r="J318" s="172"/>
      <c r="K318" s="204" t="e">
        <f>G318</f>
        <v>#REF!</v>
      </c>
      <c r="M318" s="307"/>
      <c r="N318" s="307"/>
      <c r="O318" s="150"/>
      <c r="P318" s="38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E318" s="42"/>
    </row>
    <row r="319" spans="1:31" ht="16.5" thickBot="1">
      <c r="A319" s="1" t="s">
        <v>186</v>
      </c>
      <c r="B319" s="1"/>
      <c r="C319" s="174" t="e">
        <f>SUM(C317:C318)</f>
        <v>#REF!</v>
      </c>
      <c r="D319" s="174">
        <f>SUM(D317:D318)</f>
        <v>1473957.9193898283</v>
      </c>
      <c r="E319" s="205"/>
      <c r="F319" s="206"/>
      <c r="G319" s="207" t="e">
        <f>G317+G318</f>
        <v>#REF!</v>
      </c>
      <c r="H319" s="207">
        <f>H317+H318</f>
        <v>150665</v>
      </c>
      <c r="I319" s="205"/>
      <c r="J319" s="208"/>
      <c r="K319" s="207" t="e">
        <f>K317+K318</f>
        <v>#REF!</v>
      </c>
      <c r="M319" s="274"/>
      <c r="N319" s="274"/>
      <c r="O319" s="333"/>
      <c r="P319" s="38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E319" s="42"/>
    </row>
    <row r="320" spans="1:31" ht="16.5" thickTop="1">
      <c r="A320" s="1"/>
      <c r="B320" s="1"/>
      <c r="C320" s="12"/>
      <c r="D320" s="12"/>
      <c r="E320" s="200"/>
      <c r="F320" s="2"/>
      <c r="G320" s="2"/>
      <c r="H320" s="2"/>
      <c r="I320" s="200"/>
      <c r="J320" s="1"/>
      <c r="K320" s="2" t="s">
        <v>13</v>
      </c>
      <c r="M320" s="11"/>
      <c r="N320" s="11"/>
      <c r="O320" s="38"/>
      <c r="P320" s="38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E320" s="42"/>
    </row>
    <row r="321" spans="1:31">
      <c r="A321" s="156" t="s">
        <v>219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M321" s="11"/>
      <c r="N321" s="11"/>
      <c r="O321" s="38"/>
      <c r="P321" s="38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E321" s="42"/>
    </row>
    <row r="322" spans="1:31">
      <c r="A322" s="1" t="s">
        <v>218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11"/>
      <c r="N322" s="11"/>
      <c r="O322" s="38"/>
      <c r="P322" s="38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E322" s="42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11"/>
      <c r="N323" s="11"/>
      <c r="O323" s="38"/>
      <c r="P323" s="38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E323" s="42"/>
    </row>
    <row r="324" spans="1:31">
      <c r="A324" s="1" t="s">
        <v>197</v>
      </c>
      <c r="B324" s="1"/>
      <c r="C324" s="182"/>
      <c r="D324" s="182"/>
      <c r="E324" s="2"/>
      <c r="F324" s="2"/>
      <c r="G324" s="1"/>
      <c r="H324" s="1"/>
      <c r="I324" s="2"/>
      <c r="J324" s="1"/>
      <c r="K324" s="1"/>
      <c r="M324" s="11"/>
      <c r="N324" s="11"/>
      <c r="O324" s="38"/>
      <c r="P324" s="38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E324" s="42"/>
    </row>
    <row r="325" spans="1:31">
      <c r="A325" s="1" t="s">
        <v>220</v>
      </c>
      <c r="B325" s="1"/>
      <c r="C325" s="182">
        <v>516</v>
      </c>
      <c r="D325" s="182">
        <f>ROUND((D329/C329)*C325,0)</f>
        <v>516</v>
      </c>
      <c r="E325" s="161">
        <f>$E$153</f>
        <v>7.53</v>
      </c>
      <c r="F325" s="184"/>
      <c r="G325" s="2">
        <f>ROUND(E325*$C325,0)</f>
        <v>3885</v>
      </c>
      <c r="H325" s="2">
        <f>ROUND(E325*$D325,0)</f>
        <v>3885</v>
      </c>
      <c r="I325" s="161">
        <f>$I$153</f>
        <v>8</v>
      </c>
      <c r="J325" s="186"/>
      <c r="K325" s="2">
        <f>ROUND(I325*$C325,0)</f>
        <v>4128</v>
      </c>
      <c r="M325" s="11"/>
      <c r="N325" s="11"/>
      <c r="O325" s="38"/>
      <c r="P325" s="38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E325" s="42"/>
    </row>
    <row r="326" spans="1:31">
      <c r="A326" s="1" t="s">
        <v>195</v>
      </c>
      <c r="B326" s="1"/>
      <c r="C326" s="182">
        <v>0</v>
      </c>
      <c r="D326" s="182">
        <v>0</v>
      </c>
      <c r="E326" s="161">
        <f>$E$154</f>
        <v>11.18</v>
      </c>
      <c r="F326" s="187"/>
      <c r="G326" s="2">
        <f>ROUND(E326*$C326,0)</f>
        <v>0</v>
      </c>
      <c r="H326" s="2">
        <f>ROUND(E326*$D326,0)</f>
        <v>0</v>
      </c>
      <c r="I326" s="161">
        <f>$I$154</f>
        <v>11.877822045152721</v>
      </c>
      <c r="J326" s="188"/>
      <c r="K326" s="2">
        <f>ROUND(I326*$C326,0)</f>
        <v>0</v>
      </c>
      <c r="M326" s="11"/>
      <c r="N326" s="11"/>
      <c r="O326" s="38"/>
      <c r="P326" s="38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E326" s="42"/>
    </row>
    <row r="327" spans="1:31">
      <c r="A327" s="1" t="s">
        <v>196</v>
      </c>
      <c r="B327" s="1"/>
      <c r="C327" s="182">
        <v>0</v>
      </c>
      <c r="D327" s="182">
        <v>0</v>
      </c>
      <c r="E327" s="161">
        <f>$E$155</f>
        <v>0.78</v>
      </c>
      <c r="F327" s="187"/>
      <c r="G327" s="2">
        <f>ROUND(E327*$C327,0)</f>
        <v>0</v>
      </c>
      <c r="H327" s="2">
        <f>ROUND(E327*$D327,0)</f>
        <v>0</v>
      </c>
      <c r="I327" s="161">
        <f>$I$155</f>
        <v>0.83</v>
      </c>
      <c r="J327" s="188"/>
      <c r="K327" s="2">
        <f>ROUND(I327*$C327,0)</f>
        <v>0</v>
      </c>
      <c r="M327" s="11"/>
      <c r="N327" s="11"/>
      <c r="O327" s="38"/>
      <c r="P327" s="38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E327" s="42"/>
    </row>
    <row r="328" spans="1:31">
      <c r="A328" s="1" t="s">
        <v>198</v>
      </c>
      <c r="B328" s="1"/>
      <c r="C328" s="182">
        <f>SUM(C325:C326)</f>
        <v>516</v>
      </c>
      <c r="D328" s="182">
        <f>ROUND((D329/C329)*C328,0)</f>
        <v>516</v>
      </c>
      <c r="E328" s="161"/>
      <c r="F328" s="184"/>
      <c r="G328" s="2"/>
      <c r="H328" s="2"/>
      <c r="I328" s="161"/>
      <c r="J328" s="186"/>
      <c r="K328" s="2"/>
      <c r="M328" s="11"/>
      <c r="N328" s="11"/>
      <c r="O328" s="38"/>
      <c r="P328" s="38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E328" s="42"/>
    </row>
    <row r="329" spans="1:31">
      <c r="A329" s="1" t="s">
        <v>166</v>
      </c>
      <c r="B329" s="1"/>
      <c r="C329" s="182">
        <v>48</v>
      </c>
      <c r="D329" s="182">
        <v>48</v>
      </c>
      <c r="E329" s="161"/>
      <c r="F329" s="184"/>
      <c r="G329" s="2"/>
      <c r="H329" s="2"/>
      <c r="I329" s="161"/>
      <c r="J329" s="186"/>
      <c r="K329" s="2"/>
      <c r="M329" s="11"/>
      <c r="N329" s="11"/>
      <c r="O329" s="38"/>
      <c r="P329" s="38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E329" s="42"/>
    </row>
    <row r="330" spans="1:31">
      <c r="A330" s="1" t="s">
        <v>199</v>
      </c>
      <c r="B330" s="1"/>
      <c r="C330" s="182">
        <v>0</v>
      </c>
      <c r="D330" s="182">
        <v>0</v>
      </c>
      <c r="E330" s="189">
        <f>$E$158</f>
        <v>2.88</v>
      </c>
      <c r="F330" s="186"/>
      <c r="G330" s="2">
        <f>ROUND(E330*$C330,0)</f>
        <v>0</v>
      </c>
      <c r="H330" s="2">
        <f>ROUND(E330*$D330,0)</f>
        <v>0</v>
      </c>
      <c r="I330" s="189">
        <f>$I$158</f>
        <v>2.97</v>
      </c>
      <c r="J330" s="186"/>
      <c r="K330" s="2">
        <f>ROUND(I330*$C330,0)</f>
        <v>0</v>
      </c>
      <c r="M330" s="11"/>
      <c r="N330" s="11"/>
      <c r="O330" s="38"/>
      <c r="P330" s="38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E330" s="42"/>
    </row>
    <row r="331" spans="1:31">
      <c r="A331" s="1" t="s">
        <v>201</v>
      </c>
      <c r="B331" s="1"/>
      <c r="C331" s="182">
        <f>33312</f>
        <v>33312</v>
      </c>
      <c r="D331" s="182">
        <f>ROUND(($D$346/'Billing Determinants (2)'!$C$346)*C331,0)</f>
        <v>38537</v>
      </c>
      <c r="E331" s="162">
        <f>$E$159</f>
        <v>8.0890000000000004</v>
      </c>
      <c r="F331" s="186" t="s">
        <v>178</v>
      </c>
      <c r="G331" s="2">
        <f>ROUND(E331*$C331/100,0)</f>
        <v>2695</v>
      </c>
      <c r="H331" s="2">
        <f>ROUND(E331*$D331/100,0)</f>
        <v>3117</v>
      </c>
      <c r="I331" s="162">
        <f>$I$159</f>
        <v>8.8109999999999999</v>
      </c>
      <c r="J331" s="186" t="s">
        <v>178</v>
      </c>
      <c r="K331" s="2">
        <f>ROUND(I331*$C331/100,0)</f>
        <v>2935</v>
      </c>
      <c r="M331" s="11"/>
      <c r="N331" s="11"/>
      <c r="O331" s="38"/>
      <c r="P331" s="38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E331" s="42"/>
    </row>
    <row r="332" spans="1:31">
      <c r="A332" s="1" t="s">
        <v>202</v>
      </c>
      <c r="B332" s="1"/>
      <c r="C332" s="182">
        <v>0</v>
      </c>
      <c r="D332" s="182">
        <v>0</v>
      </c>
      <c r="E332" s="162">
        <f>$E$160</f>
        <v>5.5839999999999996</v>
      </c>
      <c r="F332" s="186" t="s">
        <v>178</v>
      </c>
      <c r="G332" s="2">
        <f>ROUND(E332*$C332/100,0)</f>
        <v>0</v>
      </c>
      <c r="H332" s="2">
        <f>ROUND(E332*$D332/100,0)</f>
        <v>0</v>
      </c>
      <c r="I332" s="162">
        <f>$I$160</f>
        <v>6.0819999999999999</v>
      </c>
      <c r="J332" s="186" t="s">
        <v>178</v>
      </c>
      <c r="K332" s="2">
        <f>ROUND(I332*$C332/100,0)</f>
        <v>0</v>
      </c>
      <c r="M332" s="11"/>
      <c r="N332" s="11"/>
      <c r="O332" s="38"/>
      <c r="P332" s="38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E332" s="42"/>
    </row>
    <row r="333" spans="1:31">
      <c r="A333" s="1" t="s">
        <v>203</v>
      </c>
      <c r="B333" s="1"/>
      <c r="C333" s="182">
        <f>33312-C331</f>
        <v>0</v>
      </c>
      <c r="D333" s="182">
        <v>0</v>
      </c>
      <c r="E333" s="162">
        <f>$E$161</f>
        <v>4.8099999999999996</v>
      </c>
      <c r="F333" s="186" t="s">
        <v>178</v>
      </c>
      <c r="G333" s="2">
        <f>ROUND(E333*$C333/100,0)</f>
        <v>0</v>
      </c>
      <c r="H333" s="2">
        <f>ROUND(E333*$D333/100,0)</f>
        <v>0</v>
      </c>
      <c r="I333" s="162">
        <f>$I$161</f>
        <v>5.24</v>
      </c>
      <c r="J333" s="186" t="s">
        <v>178</v>
      </c>
      <c r="K333" s="2">
        <f>ROUND(I333*$C333/100,0)</f>
        <v>0</v>
      </c>
      <c r="M333" s="11"/>
      <c r="N333" s="11"/>
      <c r="O333" s="38"/>
      <c r="P333" s="38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E333" s="42"/>
    </row>
    <row r="334" spans="1:31">
      <c r="A334" s="1" t="s">
        <v>204</v>
      </c>
      <c r="B334" s="1"/>
      <c r="C334" s="182">
        <v>0</v>
      </c>
      <c r="D334" s="182">
        <v>0</v>
      </c>
      <c r="E334" s="193">
        <f>$E$162</f>
        <v>45</v>
      </c>
      <c r="F334" s="184" t="s">
        <v>178</v>
      </c>
      <c r="G334" s="2">
        <f>ROUND(E334*$C334/100,0)</f>
        <v>0</v>
      </c>
      <c r="H334" s="2">
        <f>ROUND(E334*$D334/100,0)</f>
        <v>0</v>
      </c>
      <c r="I334" s="193">
        <f>$I$162</f>
        <v>50</v>
      </c>
      <c r="J334" s="186" t="s">
        <v>178</v>
      </c>
      <c r="K334" s="2">
        <f>ROUND(I334*$C334/100,0)</f>
        <v>0</v>
      </c>
      <c r="M334" s="11"/>
      <c r="N334" s="11"/>
      <c r="O334" s="38"/>
      <c r="P334" s="38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E334" s="42"/>
    </row>
    <row r="335" spans="1:31">
      <c r="A335" s="194" t="s">
        <v>205</v>
      </c>
      <c r="B335" s="1"/>
      <c r="C335" s="182"/>
      <c r="D335" s="182"/>
      <c r="E335" s="195">
        <v>-0.01</v>
      </c>
      <c r="F335" s="184"/>
      <c r="G335" s="2"/>
      <c r="H335" s="2"/>
      <c r="I335" s="195">
        <v>-0.01</v>
      </c>
      <c r="J335" s="186"/>
      <c r="K335" s="2"/>
      <c r="M335" s="11"/>
      <c r="N335" s="11"/>
      <c r="O335" s="38"/>
      <c r="P335" s="38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E335" s="42"/>
    </row>
    <row r="336" spans="1:31">
      <c r="A336" s="1" t="s">
        <v>194</v>
      </c>
      <c r="B336" s="1"/>
      <c r="C336" s="182">
        <v>0</v>
      </c>
      <c r="D336" s="182">
        <v>0</v>
      </c>
      <c r="E336" s="197">
        <f>E325</f>
        <v>7.53</v>
      </c>
      <c r="F336" s="184"/>
      <c r="G336" s="2">
        <f>-ROUND(E336*$C336/100,0)</f>
        <v>0</v>
      </c>
      <c r="H336" s="2">
        <f t="shared" ref="H336:H345" si="31">-ROUND(E336*$D336/100,0)</f>
        <v>0</v>
      </c>
      <c r="I336" s="197">
        <f>I325</f>
        <v>8</v>
      </c>
      <c r="J336" s="184"/>
      <c r="K336" s="2">
        <f>-ROUND(I336*$C336/100,0)</f>
        <v>0</v>
      </c>
      <c r="M336" s="11"/>
      <c r="N336" s="11"/>
      <c r="O336" s="38"/>
      <c r="P336" s="38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E336" s="42"/>
    </row>
    <row r="337" spans="1:31">
      <c r="A337" s="1" t="s">
        <v>195</v>
      </c>
      <c r="B337" s="1"/>
      <c r="C337" s="182">
        <v>0</v>
      </c>
      <c r="D337" s="182">
        <v>0</v>
      </c>
      <c r="E337" s="197">
        <f>E326</f>
        <v>11.18</v>
      </c>
      <c r="F337" s="184"/>
      <c r="G337" s="2">
        <f>-ROUND(E337*$C337/100,0)</f>
        <v>0</v>
      </c>
      <c r="H337" s="2">
        <f t="shared" si="31"/>
        <v>0</v>
      </c>
      <c r="I337" s="197">
        <f>I326</f>
        <v>11.877822045152721</v>
      </c>
      <c r="J337" s="184"/>
      <c r="K337" s="2">
        <f>-ROUND(I337*$C337/100,0)</f>
        <v>0</v>
      </c>
      <c r="M337" s="11"/>
      <c r="N337" s="11"/>
      <c r="O337" s="38"/>
      <c r="P337" s="38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E337" s="42"/>
    </row>
    <row r="338" spans="1:31">
      <c r="A338" s="1" t="s">
        <v>206</v>
      </c>
      <c r="B338" s="1"/>
      <c r="C338" s="182">
        <v>0</v>
      </c>
      <c r="D338" s="182">
        <v>0</v>
      </c>
      <c r="E338" s="197">
        <f>E327</f>
        <v>0.78</v>
      </c>
      <c r="F338" s="184"/>
      <c r="G338" s="2">
        <f>-ROUND(E338*$C338/100,0)</f>
        <v>0</v>
      </c>
      <c r="H338" s="2">
        <f t="shared" si="31"/>
        <v>0</v>
      </c>
      <c r="I338" s="197">
        <f>I327</f>
        <v>0.83</v>
      </c>
      <c r="J338" s="184"/>
      <c r="K338" s="2">
        <f>-ROUND(I338*$C338/100,0)</f>
        <v>0</v>
      </c>
      <c r="M338" s="11"/>
      <c r="N338" s="11"/>
      <c r="O338" s="38"/>
      <c r="P338" s="38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E338" s="42"/>
    </row>
    <row r="339" spans="1:31">
      <c r="A339" s="1" t="s">
        <v>207</v>
      </c>
      <c r="B339" s="1"/>
      <c r="C339" s="182">
        <v>0</v>
      </c>
      <c r="D339" s="182">
        <v>0</v>
      </c>
      <c r="E339" s="197">
        <f>E330</f>
        <v>2.88</v>
      </c>
      <c r="F339" s="186"/>
      <c r="G339" s="2">
        <f>-ROUND(E339*$C339/100,0)</f>
        <v>0</v>
      </c>
      <c r="H339" s="2">
        <f t="shared" si="31"/>
        <v>0</v>
      </c>
      <c r="I339" s="197">
        <f>I330</f>
        <v>2.97</v>
      </c>
      <c r="J339" s="186"/>
      <c r="K339" s="2">
        <f>-ROUND(I339*$C339/100,0)</f>
        <v>0</v>
      </c>
      <c r="M339" s="11"/>
      <c r="N339" s="11"/>
      <c r="O339" s="38"/>
      <c r="P339" s="38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E339" s="42"/>
    </row>
    <row r="340" spans="1:31">
      <c r="A340" s="1" t="s">
        <v>209</v>
      </c>
      <c r="B340" s="1"/>
      <c r="C340" s="182">
        <v>0</v>
      </c>
      <c r="D340" s="182">
        <v>0</v>
      </c>
      <c r="E340" s="198">
        <f>E331</f>
        <v>8.0890000000000004</v>
      </c>
      <c r="F340" s="186" t="s">
        <v>178</v>
      </c>
      <c r="G340" s="2">
        <f>ROUND(E340*$C340/100*E335,0)</f>
        <v>0</v>
      </c>
      <c r="H340" s="2">
        <f t="shared" si="31"/>
        <v>0</v>
      </c>
      <c r="I340" s="198">
        <f>I331</f>
        <v>8.8109999999999999</v>
      </c>
      <c r="J340" s="186" t="s">
        <v>178</v>
      </c>
      <c r="K340" s="2">
        <f>ROUND(I340*$C340/100*I335,0)</f>
        <v>0</v>
      </c>
      <c r="M340" s="11"/>
      <c r="N340" s="11"/>
      <c r="O340" s="38"/>
      <c r="P340" s="38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E340" s="42"/>
    </row>
    <row r="341" spans="1:31">
      <c r="A341" s="1" t="s">
        <v>202</v>
      </c>
      <c r="B341" s="1"/>
      <c r="C341" s="182">
        <v>0</v>
      </c>
      <c r="D341" s="182">
        <v>0</v>
      </c>
      <c r="E341" s="198">
        <f>E332</f>
        <v>5.5839999999999996</v>
      </c>
      <c r="F341" s="186" t="s">
        <v>178</v>
      </c>
      <c r="G341" s="2">
        <f>ROUND(E341*$C341/100*E335,0)</f>
        <v>0</v>
      </c>
      <c r="H341" s="2">
        <f t="shared" si="31"/>
        <v>0</v>
      </c>
      <c r="I341" s="198">
        <f>I332</f>
        <v>6.0819999999999999</v>
      </c>
      <c r="J341" s="186" t="s">
        <v>178</v>
      </c>
      <c r="K341" s="2">
        <f>ROUND(I341*$C341/100*I335,0)</f>
        <v>0</v>
      </c>
      <c r="M341" s="11"/>
      <c r="N341" s="11"/>
      <c r="O341" s="38"/>
      <c r="P341" s="38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E341" s="42"/>
    </row>
    <row r="342" spans="1:31">
      <c r="A342" s="1" t="s">
        <v>203</v>
      </c>
      <c r="B342" s="1"/>
      <c r="C342" s="182">
        <v>0</v>
      </c>
      <c r="D342" s="182">
        <v>0</v>
      </c>
      <c r="E342" s="198">
        <f>E333</f>
        <v>4.8099999999999996</v>
      </c>
      <c r="F342" s="186" t="s">
        <v>178</v>
      </c>
      <c r="G342" s="2">
        <f>ROUND(E342*$C342/100*E335,0)</f>
        <v>0</v>
      </c>
      <c r="H342" s="2">
        <f t="shared" si="31"/>
        <v>0</v>
      </c>
      <c r="I342" s="198">
        <f>I333</f>
        <v>5.24</v>
      </c>
      <c r="J342" s="186" t="s">
        <v>178</v>
      </c>
      <c r="K342" s="2">
        <f>ROUND(I342*$C342/100*I335,0)</f>
        <v>0</v>
      </c>
      <c r="M342" s="11"/>
      <c r="N342" s="11"/>
      <c r="O342" s="38"/>
      <c r="P342" s="38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E342" s="42"/>
    </row>
    <row r="343" spans="1:31">
      <c r="A343" s="1" t="s">
        <v>204</v>
      </c>
      <c r="B343" s="1"/>
      <c r="C343" s="182">
        <v>0</v>
      </c>
      <c r="D343" s="182">
        <v>0</v>
      </c>
      <c r="E343" s="199">
        <f>E334</f>
        <v>45</v>
      </c>
      <c r="F343" s="186" t="s">
        <v>178</v>
      </c>
      <c r="G343" s="2">
        <f>ROUND(E343*$C343/100*E335,0)</f>
        <v>0</v>
      </c>
      <c r="H343" s="2">
        <f t="shared" si="31"/>
        <v>0</v>
      </c>
      <c r="I343" s="199">
        <f>I334</f>
        <v>50</v>
      </c>
      <c r="J343" s="186" t="s">
        <v>178</v>
      </c>
      <c r="K343" s="2">
        <f>ROUND(I343*$C343/100*I335,0)</f>
        <v>0</v>
      </c>
      <c r="M343" s="11"/>
      <c r="N343" s="11"/>
      <c r="O343" s="38"/>
      <c r="P343" s="38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E343" s="42"/>
    </row>
    <row r="344" spans="1:31">
      <c r="A344" s="1" t="s">
        <v>211</v>
      </c>
      <c r="B344" s="1"/>
      <c r="C344" s="182">
        <v>0</v>
      </c>
      <c r="D344" s="182">
        <v>0</v>
      </c>
      <c r="E344" s="200">
        <f>$E$172</f>
        <v>60</v>
      </c>
      <c r="F344" s="184"/>
      <c r="G344" s="2">
        <f>ROUND(E344*$C344,0)</f>
        <v>0</v>
      </c>
      <c r="H344" s="2">
        <f t="shared" si="31"/>
        <v>0</v>
      </c>
      <c r="I344" s="200">
        <f>$I$172</f>
        <v>60</v>
      </c>
      <c r="J344" s="186"/>
      <c r="K344" s="2">
        <f>ROUND(I344*$C344,0)</f>
        <v>0</v>
      </c>
      <c r="M344" s="11"/>
      <c r="N344" s="11"/>
      <c r="O344" s="38"/>
      <c r="P344" s="38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E344" s="42"/>
    </row>
    <row r="345" spans="1:31">
      <c r="A345" s="1" t="s">
        <v>212</v>
      </c>
      <c r="B345" s="1"/>
      <c r="C345" s="182">
        <v>0</v>
      </c>
      <c r="D345" s="182">
        <v>0</v>
      </c>
      <c r="E345" s="202">
        <f>$E$173</f>
        <v>-30</v>
      </c>
      <c r="F345" s="184" t="s">
        <v>178</v>
      </c>
      <c r="G345" s="2">
        <f>ROUND(E345*$C345/100,0)</f>
        <v>0</v>
      </c>
      <c r="H345" s="2">
        <f t="shared" si="31"/>
        <v>0</v>
      </c>
      <c r="I345" s="202">
        <f>$I$173</f>
        <v>-30</v>
      </c>
      <c r="J345" s="186" t="s">
        <v>178</v>
      </c>
      <c r="K345" s="2">
        <f>ROUND(I345*$C345/100,0)</f>
        <v>0</v>
      </c>
      <c r="M345" s="11"/>
      <c r="N345" s="11"/>
      <c r="O345" s="38"/>
      <c r="P345" s="38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E345" s="42"/>
    </row>
    <row r="346" spans="1:31">
      <c r="A346" s="1" t="s">
        <v>185</v>
      </c>
      <c r="B346" s="1"/>
      <c r="C346" s="182">
        <f>SUM(C331:C333)</f>
        <v>33312</v>
      </c>
      <c r="D346" s="182">
        <v>38537</v>
      </c>
      <c r="E346" s="193"/>
      <c r="F346" s="2"/>
      <c r="G346" s="2">
        <f>SUM(G325:G345)</f>
        <v>6580</v>
      </c>
      <c r="H346" s="2">
        <f>SUM(H325:H345)</f>
        <v>7002</v>
      </c>
      <c r="I346" s="193"/>
      <c r="J346" s="186"/>
      <c r="K346" s="2">
        <f>SUM(K325:K345)</f>
        <v>7063</v>
      </c>
      <c r="M346" s="11"/>
      <c r="N346" s="11"/>
      <c r="O346" s="38"/>
      <c r="P346" s="38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E346" s="42"/>
    </row>
    <row r="347" spans="1:31">
      <c r="A347" s="1" t="s">
        <v>167</v>
      </c>
      <c r="B347" s="1"/>
      <c r="C347" s="212" t="e">
        <f>#REF!</f>
        <v>#REF!</v>
      </c>
      <c r="D347" s="203">
        <v>0</v>
      </c>
      <c r="E347" s="172"/>
      <c r="F347" s="172"/>
      <c r="G347" s="204" t="e">
        <f>#REF!</f>
        <v>#REF!</v>
      </c>
      <c r="H347" s="204">
        <v>0</v>
      </c>
      <c r="I347" s="172"/>
      <c r="J347" s="172"/>
      <c r="K347" s="204" t="e">
        <f>G347</f>
        <v>#REF!</v>
      </c>
      <c r="M347" s="307"/>
      <c r="N347" s="307"/>
      <c r="O347" s="150"/>
      <c r="P347" s="38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E347" s="42"/>
    </row>
    <row r="348" spans="1:31" ht="16.5" thickBot="1">
      <c r="A348" s="1" t="s">
        <v>186</v>
      </c>
      <c r="B348" s="1"/>
      <c r="C348" s="174" t="e">
        <f>SUM(C346:C347)</f>
        <v>#REF!</v>
      </c>
      <c r="D348" s="174">
        <f>SUM(D346:D347)</f>
        <v>38537</v>
      </c>
      <c r="E348" s="205"/>
      <c r="F348" s="206"/>
      <c r="G348" s="207" t="e">
        <f>G346+G347</f>
        <v>#REF!</v>
      </c>
      <c r="H348" s="207">
        <f>H346+H347</f>
        <v>7002</v>
      </c>
      <c r="I348" s="205"/>
      <c r="J348" s="208"/>
      <c r="K348" s="207" t="e">
        <f>K346+K347</f>
        <v>#REF!</v>
      </c>
      <c r="M348" s="274"/>
      <c r="N348" s="274"/>
      <c r="O348" s="333"/>
      <c r="P348" s="38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E348" s="42"/>
    </row>
    <row r="349" spans="1:31" ht="16.5" thickTop="1">
      <c r="A349" s="1"/>
      <c r="B349" s="1"/>
      <c r="C349" s="12"/>
      <c r="D349" s="12"/>
      <c r="E349" s="200"/>
      <c r="F349" s="2"/>
      <c r="G349" s="2"/>
      <c r="H349" s="2"/>
      <c r="I349" s="216" t="s">
        <v>13</v>
      </c>
      <c r="J349" s="1"/>
      <c r="K349" s="2" t="s">
        <v>13</v>
      </c>
      <c r="M349" s="11"/>
      <c r="N349" s="11"/>
      <c r="O349" s="38"/>
      <c r="P349" s="38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E349" s="42"/>
    </row>
    <row r="350" spans="1:31">
      <c r="A350" s="1"/>
      <c r="B350" s="1"/>
      <c r="C350" s="12"/>
      <c r="D350" s="12"/>
      <c r="E350" s="200"/>
      <c r="F350" s="2"/>
      <c r="G350" s="2"/>
      <c r="H350" s="2"/>
      <c r="I350" s="216" t="s">
        <v>13</v>
      </c>
      <c r="J350" s="1"/>
      <c r="K350" s="2" t="s">
        <v>13</v>
      </c>
      <c r="M350" s="11"/>
      <c r="N350" s="11"/>
      <c r="O350" s="38"/>
      <c r="P350" s="38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E350" s="42"/>
    </row>
    <row r="351" spans="1:31">
      <c r="A351" s="156" t="s">
        <v>221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M351" s="11"/>
      <c r="N351" s="11"/>
      <c r="O351" s="38"/>
      <c r="P351" s="38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E351" s="42"/>
    </row>
    <row r="352" spans="1:31">
      <c r="A352" s="1" t="s">
        <v>214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11"/>
      <c r="N352" s="11"/>
      <c r="O352" s="38"/>
      <c r="P352" s="38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>
      <c r="A353" s="1" t="s">
        <v>222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11"/>
      <c r="N353" s="11"/>
      <c r="O353" s="38"/>
      <c r="P353" s="38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>
      <c r="A354" s="1" t="s">
        <v>197</v>
      </c>
      <c r="B354" s="1"/>
      <c r="C354" s="182"/>
      <c r="D354" s="182"/>
      <c r="E354" s="2"/>
      <c r="F354" s="2"/>
      <c r="G354" s="1"/>
      <c r="H354" s="1"/>
      <c r="I354" s="2"/>
      <c r="J354" s="1"/>
      <c r="K354" s="1"/>
      <c r="M354" s="11"/>
      <c r="N354" s="11"/>
      <c r="O354" s="38"/>
      <c r="P354" s="38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>
      <c r="A355" s="1" t="s">
        <v>194</v>
      </c>
      <c r="B355" s="1"/>
      <c r="C355" s="182">
        <f t="shared" ref="C355:D364" si="32">C384+C413</f>
        <v>1</v>
      </c>
      <c r="D355" s="182">
        <f t="shared" si="32"/>
        <v>1</v>
      </c>
      <c r="E355" s="161">
        <f>$E$149</f>
        <v>90.36</v>
      </c>
      <c r="F355" s="184"/>
      <c r="G355" s="2">
        <f t="shared" ref="G355:H357" si="33">G384+G413</f>
        <v>90</v>
      </c>
      <c r="H355" s="2">
        <f t="shared" si="33"/>
        <v>90</v>
      </c>
      <c r="I355" s="161">
        <f>$I$149</f>
        <v>96</v>
      </c>
      <c r="J355" s="186"/>
      <c r="K355" s="2">
        <f>K384+K413</f>
        <v>96</v>
      </c>
      <c r="M355" s="11"/>
      <c r="N355" s="11"/>
      <c r="O355" s="38"/>
      <c r="P355" s="38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>
      <c r="A356" s="1" t="s">
        <v>195</v>
      </c>
      <c r="B356" s="1"/>
      <c r="C356" s="182">
        <f t="shared" si="32"/>
        <v>107</v>
      </c>
      <c r="D356" s="182">
        <f t="shared" si="32"/>
        <v>109.09090909090909</v>
      </c>
      <c r="E356" s="161">
        <f>$E$150</f>
        <v>134.16</v>
      </c>
      <c r="F356" s="187"/>
      <c r="G356" s="2">
        <f t="shared" si="33"/>
        <v>14355</v>
      </c>
      <c r="H356" s="2">
        <f t="shared" si="33"/>
        <v>14635</v>
      </c>
      <c r="I356" s="161">
        <f>$I$150</f>
        <v>142.53386454183266</v>
      </c>
      <c r="J356" s="188"/>
      <c r="K356" s="2">
        <f>K385+K414</f>
        <v>15252</v>
      </c>
      <c r="M356" s="11"/>
      <c r="N356" s="11"/>
      <c r="O356" s="38"/>
      <c r="P356" s="38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>
      <c r="A357" s="1" t="s">
        <v>196</v>
      </c>
      <c r="B357" s="1"/>
      <c r="C357" s="182">
        <f t="shared" si="32"/>
        <v>4321</v>
      </c>
      <c r="D357" s="182">
        <f t="shared" si="32"/>
        <v>1974</v>
      </c>
      <c r="E357" s="161">
        <f>$E$151</f>
        <v>9.36</v>
      </c>
      <c r="F357" s="187"/>
      <c r="G357" s="2">
        <f t="shared" si="33"/>
        <v>40445</v>
      </c>
      <c r="H357" s="2">
        <f t="shared" si="33"/>
        <v>18476</v>
      </c>
      <c r="I357" s="161">
        <f>$I$151</f>
        <v>9.94</v>
      </c>
      <c r="J357" s="188"/>
      <c r="K357" s="2">
        <f>K386+K415</f>
        <v>42951</v>
      </c>
      <c r="M357" s="11"/>
      <c r="N357" s="11"/>
      <c r="O357" s="38"/>
      <c r="P357" s="38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>
      <c r="A358" s="1" t="s">
        <v>198</v>
      </c>
      <c r="B358" s="1"/>
      <c r="C358" s="182">
        <f t="shared" si="32"/>
        <v>108</v>
      </c>
      <c r="D358" s="182">
        <f t="shared" si="32"/>
        <v>109.84090909090909</v>
      </c>
      <c r="E358" s="161"/>
      <c r="F358" s="184"/>
      <c r="G358" s="2"/>
      <c r="H358" s="2"/>
      <c r="I358" s="161"/>
      <c r="J358" s="186"/>
      <c r="K358" s="2"/>
      <c r="M358" s="11"/>
      <c r="N358" s="11"/>
      <c r="O358" s="38"/>
      <c r="P358" s="38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>
      <c r="A359" s="1" t="s">
        <v>223</v>
      </c>
      <c r="B359" s="1"/>
      <c r="C359" s="182">
        <f t="shared" si="32"/>
        <v>1258</v>
      </c>
      <c r="D359" s="182">
        <f t="shared" si="32"/>
        <v>1279</v>
      </c>
      <c r="E359" s="161"/>
      <c r="F359" s="184"/>
      <c r="G359" s="2"/>
      <c r="H359" s="2"/>
      <c r="I359" s="161"/>
      <c r="J359" s="186"/>
      <c r="K359" s="2"/>
      <c r="M359" s="11"/>
      <c r="N359" s="11"/>
      <c r="O359" s="38"/>
      <c r="P359" s="38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>
      <c r="A360" s="1" t="s">
        <v>199</v>
      </c>
      <c r="B360" s="1"/>
      <c r="C360" s="182">
        <f t="shared" si="32"/>
        <v>11960</v>
      </c>
      <c r="D360" s="182">
        <f t="shared" si="32"/>
        <v>5447</v>
      </c>
      <c r="E360" s="189">
        <f>$E$158</f>
        <v>2.88</v>
      </c>
      <c r="F360" s="186"/>
      <c r="G360" s="2">
        <f t="shared" ref="G360:H364" si="34">G389+G418</f>
        <v>34445</v>
      </c>
      <c r="H360" s="2">
        <f t="shared" si="34"/>
        <v>15687</v>
      </c>
      <c r="I360" s="189">
        <f>$I$158</f>
        <v>2.97</v>
      </c>
      <c r="J360" s="186"/>
      <c r="K360" s="2">
        <f>K389+K418</f>
        <v>35521</v>
      </c>
      <c r="M360" s="11"/>
      <c r="N360" s="11"/>
      <c r="O360" s="38"/>
      <c r="P360" s="38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>
      <c r="A361" s="1" t="s">
        <v>201</v>
      </c>
      <c r="B361" s="1"/>
      <c r="C361" s="182">
        <f t="shared" si="32"/>
        <v>212823</v>
      </c>
      <c r="D361" s="182">
        <f t="shared" si="32"/>
        <v>96758</v>
      </c>
      <c r="E361" s="162">
        <f>$E$159</f>
        <v>8.0890000000000004</v>
      </c>
      <c r="F361" s="186" t="s">
        <v>178</v>
      </c>
      <c r="G361" s="2">
        <f t="shared" si="34"/>
        <v>17216</v>
      </c>
      <c r="H361" s="2">
        <f t="shared" si="34"/>
        <v>7826</v>
      </c>
      <c r="I361" s="162">
        <f>$I$159</f>
        <v>8.8109999999999999</v>
      </c>
      <c r="J361" s="186" t="s">
        <v>178</v>
      </c>
      <c r="K361" s="2">
        <f>K390+K419</f>
        <v>18752</v>
      </c>
      <c r="M361" s="11"/>
      <c r="N361" s="11"/>
      <c r="O361" s="38"/>
      <c r="P361" s="38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>
      <c r="A362" s="1" t="s">
        <v>202</v>
      </c>
      <c r="B362" s="1"/>
      <c r="C362" s="182">
        <f t="shared" si="32"/>
        <v>426085</v>
      </c>
      <c r="D362" s="182">
        <f t="shared" si="32"/>
        <v>194138</v>
      </c>
      <c r="E362" s="162">
        <f>$E$189</f>
        <v>5.5839999999999996</v>
      </c>
      <c r="F362" s="186" t="s">
        <v>178</v>
      </c>
      <c r="G362" s="2">
        <f t="shared" si="34"/>
        <v>23793</v>
      </c>
      <c r="H362" s="2">
        <f t="shared" si="34"/>
        <v>10841</v>
      </c>
      <c r="I362" s="162">
        <f>$I$160</f>
        <v>6.0819999999999999</v>
      </c>
      <c r="J362" s="186" t="s">
        <v>178</v>
      </c>
      <c r="K362" s="2">
        <f>K391+K420</f>
        <v>25915</v>
      </c>
      <c r="M362" s="11"/>
      <c r="N362" s="11"/>
      <c r="O362" s="38"/>
      <c r="P362" s="38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>
      <c r="A363" s="1" t="s">
        <v>203</v>
      </c>
      <c r="B363" s="1"/>
      <c r="C363" s="182">
        <f t="shared" si="32"/>
        <v>20189</v>
      </c>
      <c r="D363" s="182">
        <f t="shared" si="32"/>
        <v>9223</v>
      </c>
      <c r="E363" s="162">
        <f>$E$161</f>
        <v>4.8099999999999996</v>
      </c>
      <c r="F363" s="186" t="s">
        <v>178</v>
      </c>
      <c r="G363" s="2">
        <f t="shared" si="34"/>
        <v>971</v>
      </c>
      <c r="H363" s="2">
        <f t="shared" si="34"/>
        <v>444</v>
      </c>
      <c r="I363" s="162">
        <f>$I$161</f>
        <v>5.24</v>
      </c>
      <c r="J363" s="186" t="s">
        <v>178</v>
      </c>
      <c r="K363" s="2">
        <f>K392+K421</f>
        <v>1058</v>
      </c>
      <c r="M363" s="11"/>
      <c r="N363" s="11"/>
      <c r="O363" s="38"/>
      <c r="P363" s="38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>
      <c r="A364" s="1" t="s">
        <v>204</v>
      </c>
      <c r="B364" s="1"/>
      <c r="C364" s="182">
        <f t="shared" si="32"/>
        <v>1540</v>
      </c>
      <c r="D364" s="182">
        <f t="shared" si="32"/>
        <v>704</v>
      </c>
      <c r="E364" s="193">
        <f>$E$162</f>
        <v>45</v>
      </c>
      <c r="F364" s="184" t="s">
        <v>178</v>
      </c>
      <c r="G364" s="2">
        <f t="shared" si="34"/>
        <v>693</v>
      </c>
      <c r="H364" s="2">
        <f t="shared" si="34"/>
        <v>317</v>
      </c>
      <c r="I364" s="193">
        <f>$I$162</f>
        <v>50</v>
      </c>
      <c r="J364" s="186" t="s">
        <v>178</v>
      </c>
      <c r="K364" s="2">
        <f>K393+K422</f>
        <v>770</v>
      </c>
      <c r="M364" s="11"/>
      <c r="N364" s="11"/>
      <c r="O364" s="38"/>
      <c r="P364" s="38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>
      <c r="A365" s="194" t="s">
        <v>205</v>
      </c>
      <c r="B365" s="1"/>
      <c r="C365" s="182"/>
      <c r="D365" s="182"/>
      <c r="E365" s="195">
        <v>-0.01</v>
      </c>
      <c r="F365" s="184"/>
      <c r="G365" s="2"/>
      <c r="H365" s="2"/>
      <c r="I365" s="195">
        <v>-0.01</v>
      </c>
      <c r="J365" s="186"/>
      <c r="K365" s="2"/>
      <c r="M365" s="11"/>
      <c r="N365" s="11"/>
      <c r="O365" s="38"/>
      <c r="P365" s="38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>
      <c r="A366" s="1" t="s">
        <v>194</v>
      </c>
      <c r="B366" s="1"/>
      <c r="C366" s="182">
        <v>0</v>
      </c>
      <c r="D366" s="182">
        <v>0</v>
      </c>
      <c r="E366" s="197">
        <f>E355</f>
        <v>90.36</v>
      </c>
      <c r="F366" s="184"/>
      <c r="G366" s="2">
        <f t="shared" ref="G366:H377" si="35">G395+G424</f>
        <v>0</v>
      </c>
      <c r="H366" s="2">
        <f t="shared" si="35"/>
        <v>0</v>
      </c>
      <c r="I366" s="197">
        <f>I355</f>
        <v>96</v>
      </c>
      <c r="J366" s="184"/>
      <c r="K366" s="2">
        <f t="shared" ref="K366:K376" si="36">K395+K424</f>
        <v>0</v>
      </c>
      <c r="M366" s="11"/>
      <c r="N366" s="11"/>
      <c r="O366" s="38"/>
      <c r="P366" s="38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>
      <c r="A367" s="1" t="s">
        <v>195</v>
      </c>
      <c r="B367" s="1"/>
      <c r="C367" s="182">
        <v>0</v>
      </c>
      <c r="D367" s="182">
        <v>0</v>
      </c>
      <c r="E367" s="197">
        <f>E356</f>
        <v>134.16</v>
      </c>
      <c r="F367" s="184"/>
      <c r="G367" s="2">
        <f t="shared" si="35"/>
        <v>0</v>
      </c>
      <c r="H367" s="2">
        <f t="shared" si="35"/>
        <v>0</v>
      </c>
      <c r="I367" s="197">
        <f>I356</f>
        <v>142.53386454183266</v>
      </c>
      <c r="J367" s="184"/>
      <c r="K367" s="2">
        <f t="shared" si="36"/>
        <v>0</v>
      </c>
      <c r="M367" s="11"/>
      <c r="N367" s="11"/>
      <c r="O367" s="38"/>
      <c r="P367" s="38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>
      <c r="A368" s="1" t="s">
        <v>206</v>
      </c>
      <c r="B368" s="1"/>
      <c r="C368" s="182">
        <v>0</v>
      </c>
      <c r="D368" s="182">
        <v>0</v>
      </c>
      <c r="E368" s="197">
        <f>E357</f>
        <v>9.36</v>
      </c>
      <c r="F368" s="184"/>
      <c r="G368" s="2">
        <f t="shared" si="35"/>
        <v>0</v>
      </c>
      <c r="H368" s="2">
        <f t="shared" si="35"/>
        <v>0</v>
      </c>
      <c r="I368" s="197">
        <f>I357</f>
        <v>9.94</v>
      </c>
      <c r="J368" s="184"/>
      <c r="K368" s="2">
        <f t="shared" si="36"/>
        <v>0</v>
      </c>
      <c r="M368" s="11"/>
      <c r="N368" s="11"/>
      <c r="O368" s="38"/>
      <c r="P368" s="38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>
      <c r="A369" s="1" t="s">
        <v>207</v>
      </c>
      <c r="B369" s="1"/>
      <c r="C369" s="182">
        <v>0</v>
      </c>
      <c r="D369" s="182">
        <v>0</v>
      </c>
      <c r="E369" s="197">
        <f>E360</f>
        <v>2.88</v>
      </c>
      <c r="F369" s="186"/>
      <c r="G369" s="2">
        <f t="shared" si="35"/>
        <v>0</v>
      </c>
      <c r="H369" s="2">
        <f t="shared" si="35"/>
        <v>0</v>
      </c>
      <c r="I369" s="197">
        <f>I360</f>
        <v>2.97</v>
      </c>
      <c r="J369" s="186"/>
      <c r="K369" s="2">
        <f t="shared" si="36"/>
        <v>0</v>
      </c>
      <c r="M369" s="11"/>
      <c r="N369" s="11"/>
      <c r="O369" s="38"/>
      <c r="P369" s="38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>
      <c r="A370" s="1" t="s">
        <v>209</v>
      </c>
      <c r="B370" s="1"/>
      <c r="C370" s="182">
        <v>0</v>
      </c>
      <c r="D370" s="182">
        <v>0</v>
      </c>
      <c r="E370" s="198">
        <f>E361</f>
        <v>8.0890000000000004</v>
      </c>
      <c r="F370" s="186" t="s">
        <v>178</v>
      </c>
      <c r="G370" s="2">
        <f t="shared" si="35"/>
        <v>0</v>
      </c>
      <c r="H370" s="2">
        <f t="shared" si="35"/>
        <v>0</v>
      </c>
      <c r="I370" s="198">
        <f>I361</f>
        <v>8.8109999999999999</v>
      </c>
      <c r="J370" s="186" t="s">
        <v>178</v>
      </c>
      <c r="K370" s="2">
        <f t="shared" si="36"/>
        <v>0</v>
      </c>
      <c r="M370" s="11"/>
      <c r="N370" s="11"/>
      <c r="O370" s="38"/>
      <c r="P370" s="38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>
      <c r="A371" s="1" t="s">
        <v>202</v>
      </c>
      <c r="B371" s="1"/>
      <c r="C371" s="182">
        <v>0</v>
      </c>
      <c r="D371" s="182">
        <v>0</v>
      </c>
      <c r="E371" s="198">
        <f>E362</f>
        <v>5.5839999999999996</v>
      </c>
      <c r="F371" s="186" t="s">
        <v>178</v>
      </c>
      <c r="G371" s="2">
        <f t="shared" si="35"/>
        <v>0</v>
      </c>
      <c r="H371" s="2">
        <f t="shared" si="35"/>
        <v>0</v>
      </c>
      <c r="I371" s="198">
        <f>I362</f>
        <v>6.0819999999999999</v>
      </c>
      <c r="J371" s="186" t="s">
        <v>178</v>
      </c>
      <c r="K371" s="2">
        <f t="shared" si="36"/>
        <v>0</v>
      </c>
      <c r="M371" s="11"/>
      <c r="N371" s="11"/>
      <c r="O371" s="38"/>
      <c r="P371" s="38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>
      <c r="A372" s="1" t="s">
        <v>203</v>
      </c>
      <c r="B372" s="1"/>
      <c r="C372" s="182">
        <v>0</v>
      </c>
      <c r="D372" s="182">
        <v>0</v>
      </c>
      <c r="E372" s="198">
        <f>E363</f>
        <v>4.8099999999999996</v>
      </c>
      <c r="F372" s="186" t="s">
        <v>178</v>
      </c>
      <c r="G372" s="2">
        <f t="shared" si="35"/>
        <v>0</v>
      </c>
      <c r="H372" s="2">
        <f t="shared" si="35"/>
        <v>0</v>
      </c>
      <c r="I372" s="198">
        <f>I363</f>
        <v>5.24</v>
      </c>
      <c r="J372" s="186" t="s">
        <v>178</v>
      </c>
      <c r="K372" s="2">
        <f t="shared" si="36"/>
        <v>0</v>
      </c>
      <c r="M372" s="11"/>
      <c r="N372" s="11"/>
      <c r="O372" s="38"/>
      <c r="P372" s="38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>
      <c r="A373" s="1" t="s">
        <v>204</v>
      </c>
      <c r="B373" s="1"/>
      <c r="C373" s="182">
        <v>0</v>
      </c>
      <c r="D373" s="182">
        <v>0</v>
      </c>
      <c r="E373" s="199">
        <f>E364</f>
        <v>45</v>
      </c>
      <c r="F373" s="186" t="s">
        <v>178</v>
      </c>
      <c r="G373" s="2">
        <f t="shared" si="35"/>
        <v>0</v>
      </c>
      <c r="H373" s="2">
        <f t="shared" si="35"/>
        <v>0</v>
      </c>
      <c r="I373" s="199">
        <f>I364</f>
        <v>50</v>
      </c>
      <c r="J373" s="186" t="s">
        <v>178</v>
      </c>
      <c r="K373" s="2">
        <f t="shared" si="36"/>
        <v>0</v>
      </c>
      <c r="M373" s="11"/>
      <c r="N373" s="11"/>
      <c r="O373" s="38"/>
      <c r="P373" s="38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>
      <c r="A374" s="1" t="s">
        <v>211</v>
      </c>
      <c r="B374" s="1"/>
      <c r="C374" s="182">
        <v>0</v>
      </c>
      <c r="D374" s="182">
        <v>0</v>
      </c>
      <c r="E374" s="200">
        <f>$E$172</f>
        <v>60</v>
      </c>
      <c r="F374" s="184"/>
      <c r="G374" s="2">
        <f t="shared" si="35"/>
        <v>0</v>
      </c>
      <c r="H374" s="2">
        <f t="shared" si="35"/>
        <v>0</v>
      </c>
      <c r="I374" s="200">
        <f>$I$172</f>
        <v>60</v>
      </c>
      <c r="J374" s="186"/>
      <c r="K374" s="2">
        <f t="shared" si="36"/>
        <v>0</v>
      </c>
      <c r="M374" s="11"/>
      <c r="N374" s="11"/>
      <c r="O374" s="38"/>
      <c r="P374" s="38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>
      <c r="A375" s="1" t="s">
        <v>212</v>
      </c>
      <c r="B375" s="1"/>
      <c r="C375" s="182">
        <v>0</v>
      </c>
      <c r="D375" s="182">
        <v>0</v>
      </c>
      <c r="E375" s="202">
        <f>$E$173</f>
        <v>-30</v>
      </c>
      <c r="F375" s="184" t="s">
        <v>178</v>
      </c>
      <c r="G375" s="2">
        <f t="shared" si="35"/>
        <v>0</v>
      </c>
      <c r="H375" s="2">
        <f t="shared" si="35"/>
        <v>0</v>
      </c>
      <c r="I375" s="202">
        <f>$I$173</f>
        <v>-30</v>
      </c>
      <c r="J375" s="186" t="s">
        <v>178</v>
      </c>
      <c r="K375" s="2">
        <f t="shared" si="36"/>
        <v>0</v>
      </c>
      <c r="M375" s="11"/>
      <c r="N375" s="11"/>
      <c r="O375" s="38"/>
      <c r="P375" s="38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>
      <c r="A376" s="1" t="s">
        <v>185</v>
      </c>
      <c r="B376" s="1"/>
      <c r="C376" s="182">
        <f>C405+C434</f>
        <v>659097</v>
      </c>
      <c r="D376" s="182">
        <f>D405+D434</f>
        <v>300118.64975971833</v>
      </c>
      <c r="E376" s="193"/>
      <c r="F376" s="2"/>
      <c r="G376" s="2">
        <f t="shared" si="35"/>
        <v>132008</v>
      </c>
      <c r="H376" s="2">
        <f t="shared" si="35"/>
        <v>68316</v>
      </c>
      <c r="I376" s="2"/>
      <c r="J376" s="186"/>
      <c r="K376" s="2">
        <f t="shared" si="36"/>
        <v>140315</v>
      </c>
      <c r="M376" s="11"/>
      <c r="N376" s="11"/>
      <c r="O376" s="38"/>
      <c r="P376" s="38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>
      <c r="A377" s="1" t="s">
        <v>167</v>
      </c>
      <c r="B377" s="1"/>
      <c r="C377" s="203" t="e">
        <f>C406+C435</f>
        <v>#REF!</v>
      </c>
      <c r="D377" s="203">
        <f>D406+D435</f>
        <v>0</v>
      </c>
      <c r="E377" s="172"/>
      <c r="F377" s="172"/>
      <c r="G377" s="204" t="e">
        <f t="shared" si="35"/>
        <v>#REF!</v>
      </c>
      <c r="H377" s="204">
        <f t="shared" si="35"/>
        <v>0</v>
      </c>
      <c r="I377" s="172"/>
      <c r="J377" s="172"/>
      <c r="K377" s="204" t="e">
        <f>G377</f>
        <v>#REF!</v>
      </c>
      <c r="M377" s="307"/>
      <c r="N377" s="307"/>
      <c r="O377" s="150"/>
      <c r="P377" s="38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6.5" thickBot="1">
      <c r="A378" s="1" t="s">
        <v>186</v>
      </c>
      <c r="B378" s="1"/>
      <c r="C378" s="174" t="e">
        <f>SUM(C376:C377)</f>
        <v>#REF!</v>
      </c>
      <c r="D378" s="174">
        <f>SUM(D376:D377)</f>
        <v>300118.64975971833</v>
      </c>
      <c r="E378" s="205"/>
      <c r="F378" s="206"/>
      <c r="G378" s="207" t="e">
        <f>G376+G377</f>
        <v>#REF!</v>
      </c>
      <c r="H378" s="207">
        <f>H376+H377</f>
        <v>68316</v>
      </c>
      <c r="I378" s="205"/>
      <c r="J378" s="208"/>
      <c r="K378" s="207" t="e">
        <f>K376+K377</f>
        <v>#REF!</v>
      </c>
      <c r="M378" s="274"/>
      <c r="N378" s="274"/>
      <c r="O378" s="333"/>
      <c r="P378" s="38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6.5" thickTop="1">
      <c r="A379" s="1"/>
      <c r="B379" s="1"/>
      <c r="C379" s="12"/>
      <c r="D379" s="12"/>
      <c r="E379" s="200"/>
      <c r="F379" s="2"/>
      <c r="G379" s="2"/>
      <c r="H379" s="2"/>
      <c r="I379" s="216" t="s">
        <v>13</v>
      </c>
      <c r="J379" s="1"/>
      <c r="K379" s="2" t="s">
        <v>13</v>
      </c>
      <c r="M379" s="11"/>
      <c r="N379" s="11"/>
      <c r="O379" s="38"/>
      <c r="P379" s="38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>
      <c r="A380" s="156" t="s">
        <v>221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  <c r="M380" s="11"/>
      <c r="N380" s="11"/>
      <c r="O380" s="38"/>
      <c r="P380" s="38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>
      <c r="A381" s="1" t="s">
        <v>215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11"/>
      <c r="N381" s="11"/>
      <c r="O381" s="38"/>
      <c r="P381" s="38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>
      <c r="A382" s="1" t="s">
        <v>222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11"/>
      <c r="N382" s="11"/>
      <c r="O382" s="38"/>
      <c r="P382" s="38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>
      <c r="A383" s="1" t="s">
        <v>197</v>
      </c>
      <c r="B383" s="1"/>
      <c r="C383" s="182"/>
      <c r="D383" s="182"/>
      <c r="E383" s="2"/>
      <c r="F383" s="2"/>
      <c r="G383" s="1"/>
      <c r="H383" s="1"/>
      <c r="I383" s="2"/>
      <c r="J383" s="1"/>
      <c r="K383" s="1"/>
      <c r="M383" s="11"/>
      <c r="N383" s="11"/>
      <c r="O383" s="38"/>
      <c r="P383" s="38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>
      <c r="A384" s="1" t="s">
        <v>194</v>
      </c>
      <c r="B384" s="1"/>
      <c r="C384" s="182">
        <v>1</v>
      </c>
      <c r="D384" s="182">
        <f>ROUND(($D$387/$C$387)*C384,0)</f>
        <v>1</v>
      </c>
      <c r="E384" s="161">
        <f>$E$149</f>
        <v>90.36</v>
      </c>
      <c r="F384" s="184"/>
      <c r="G384" s="2">
        <f>ROUND(E384*$C384,0)</f>
        <v>90</v>
      </c>
      <c r="H384" s="2">
        <f>ROUND(E384*$D384,0)</f>
        <v>90</v>
      </c>
      <c r="I384" s="161">
        <f>$I$149</f>
        <v>96</v>
      </c>
      <c r="J384" s="186"/>
      <c r="K384" s="2">
        <f>ROUND(I384*$C384,0)</f>
        <v>96</v>
      </c>
      <c r="M384" s="11"/>
      <c r="N384" s="11"/>
      <c r="O384" s="38"/>
      <c r="P384" s="38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>
      <c r="A385" s="1" t="s">
        <v>195</v>
      </c>
      <c r="B385" s="1"/>
      <c r="C385" s="182">
        <v>106</v>
      </c>
      <c r="D385" s="182">
        <f>ROUND(($D$387/$C$387)*C385,0)</f>
        <v>108</v>
      </c>
      <c r="E385" s="161">
        <f>$E$150</f>
        <v>134.16</v>
      </c>
      <c r="F385" s="187"/>
      <c r="G385" s="2">
        <f>ROUND(E385*$C385,0)</f>
        <v>14221</v>
      </c>
      <c r="H385" s="2">
        <f>ROUND(E385*$D385,0)</f>
        <v>14489</v>
      </c>
      <c r="I385" s="161">
        <f>$I$150</f>
        <v>142.53386454183266</v>
      </c>
      <c r="J385" s="188"/>
      <c r="K385" s="2">
        <f>ROUND(I385*$C385,0)</f>
        <v>15109</v>
      </c>
      <c r="M385" s="11"/>
      <c r="N385" s="11"/>
      <c r="O385" s="38"/>
      <c r="P385" s="38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>
      <c r="A386" s="1" t="s">
        <v>196</v>
      </c>
      <c r="B386" s="1"/>
      <c r="C386" s="182">
        <v>4246</v>
      </c>
      <c r="D386" s="182">
        <f>ROUND(($D$405/$C$405)*C386,0)</f>
        <v>1940</v>
      </c>
      <c r="E386" s="161">
        <f>$E$151</f>
        <v>9.36</v>
      </c>
      <c r="F386" s="187"/>
      <c r="G386" s="2">
        <f>ROUND(E386*$C386,0)</f>
        <v>39743</v>
      </c>
      <c r="H386" s="2">
        <f>ROUND(E386*$D386,0)</f>
        <v>18158</v>
      </c>
      <c r="I386" s="161">
        <f>$I$151</f>
        <v>9.94</v>
      </c>
      <c r="J386" s="188"/>
      <c r="K386" s="2">
        <f>ROUND(I386*$C386,0)</f>
        <v>42205</v>
      </c>
      <c r="M386" s="11"/>
      <c r="N386" s="11"/>
      <c r="O386" s="38"/>
      <c r="P386" s="38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>
      <c r="A387" s="1" t="s">
        <v>198</v>
      </c>
      <c r="B387" s="1"/>
      <c r="C387" s="182">
        <f>SUM(C384:C385)</f>
        <v>107</v>
      </c>
      <c r="D387" s="182">
        <v>108.75</v>
      </c>
      <c r="E387" s="161"/>
      <c r="F387" s="184"/>
      <c r="G387" s="2"/>
      <c r="H387" s="2"/>
      <c r="I387" s="161"/>
      <c r="J387" s="186"/>
      <c r="K387" s="2"/>
      <c r="M387" s="11"/>
      <c r="N387" s="11"/>
      <c r="O387" s="38"/>
      <c r="P387" s="38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>
      <c r="A388" s="1" t="s">
        <v>223</v>
      </c>
      <c r="B388" s="1"/>
      <c r="C388" s="182">
        <f>11+1236</f>
        <v>1247</v>
      </c>
      <c r="D388" s="182">
        <f>ROUND(($D$387/$C$387)*C388,0)</f>
        <v>1267</v>
      </c>
      <c r="E388" s="161"/>
      <c r="F388" s="184"/>
      <c r="G388" s="2"/>
      <c r="H388" s="2"/>
      <c r="I388" s="161"/>
      <c r="J388" s="186"/>
      <c r="K388" s="2"/>
      <c r="M388" s="11"/>
      <c r="N388" s="11"/>
      <c r="O388" s="38"/>
      <c r="P388" s="38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>
      <c r="A389" s="1" t="s">
        <v>199</v>
      </c>
      <c r="B389" s="1"/>
      <c r="C389" s="182">
        <v>11707</v>
      </c>
      <c r="D389" s="182">
        <f>ROUND(($D$405/$C$405)*C389,0)</f>
        <v>5348</v>
      </c>
      <c r="E389" s="189">
        <f>$E$158</f>
        <v>2.88</v>
      </c>
      <c r="F389" s="186"/>
      <c r="G389" s="2">
        <f>ROUND(E389*$C389,0)</f>
        <v>33716</v>
      </c>
      <c r="H389" s="2">
        <f>ROUND(E389*$D389,0)</f>
        <v>15402</v>
      </c>
      <c r="I389" s="189">
        <f>$I$158</f>
        <v>2.97</v>
      </c>
      <c r="J389" s="186"/>
      <c r="K389" s="2">
        <f>ROUND(I389*$C389,0)</f>
        <v>34770</v>
      </c>
      <c r="M389" s="11"/>
      <c r="N389" s="11"/>
      <c r="O389" s="38"/>
      <c r="P389" s="38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>
      <c r="A390" s="1" t="s">
        <v>201</v>
      </c>
      <c r="B390" s="1"/>
      <c r="C390" s="182">
        <f>4783+201108</f>
        <v>205891</v>
      </c>
      <c r="D390" s="182">
        <f>ROUND(($D$405/$C$405)*C390,0)</f>
        <v>94057</v>
      </c>
      <c r="E390" s="162">
        <f>$E$159</f>
        <v>8.0890000000000004</v>
      </c>
      <c r="F390" s="186" t="s">
        <v>178</v>
      </c>
      <c r="G390" s="2">
        <f>ROUND(E390*$C390/100,0)</f>
        <v>16655</v>
      </c>
      <c r="H390" s="2">
        <f>ROUND(E390*$D390/100,0)</f>
        <v>7608</v>
      </c>
      <c r="I390" s="162">
        <f>$I$159</f>
        <v>8.8109999999999999</v>
      </c>
      <c r="J390" s="186" t="s">
        <v>178</v>
      </c>
      <c r="K390" s="2">
        <f>ROUND(I390*$C390/100,0)</f>
        <v>18141</v>
      </c>
      <c r="M390" s="11"/>
      <c r="N390" s="11"/>
      <c r="O390" s="38"/>
      <c r="P390" s="38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>
      <c r="A391" s="1" t="s">
        <v>202</v>
      </c>
      <c r="B391" s="1"/>
      <c r="C391" s="182">
        <f>417691+806</f>
        <v>418497</v>
      </c>
      <c r="D391" s="182">
        <f>ROUND(($D$405/$C$405)*C391,0)</f>
        <v>191182</v>
      </c>
      <c r="E391" s="162">
        <f>$E$189</f>
        <v>5.5839999999999996</v>
      </c>
      <c r="F391" s="186" t="s">
        <v>178</v>
      </c>
      <c r="G391" s="2">
        <f>ROUND(E391*$C391/100,0)</f>
        <v>23369</v>
      </c>
      <c r="H391" s="2">
        <f>ROUND(E391*$D391/100,0)</f>
        <v>10676</v>
      </c>
      <c r="I391" s="162">
        <f>$I$160</f>
        <v>6.0819999999999999</v>
      </c>
      <c r="J391" s="186" t="s">
        <v>178</v>
      </c>
      <c r="K391" s="2">
        <f>ROUND(I391*$C391/100,0)</f>
        <v>25453</v>
      </c>
      <c r="M391" s="11"/>
      <c r="N391" s="11"/>
      <c r="O391" s="38"/>
      <c r="P391" s="38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>
      <c r="A392" s="1" t="s">
        <v>203</v>
      </c>
      <c r="B392" s="1"/>
      <c r="C392" s="182">
        <v>20189</v>
      </c>
      <c r="D392" s="182">
        <f>ROUND(($D$405/$C$405)*C392,0)</f>
        <v>9223</v>
      </c>
      <c r="E392" s="162">
        <f>$E$161</f>
        <v>4.8099999999999996</v>
      </c>
      <c r="F392" s="186" t="s">
        <v>178</v>
      </c>
      <c r="G392" s="2">
        <f>ROUND(E392*$C392/100,0)</f>
        <v>971</v>
      </c>
      <c r="H392" s="2">
        <f>ROUND(E392*$D392/100,0)</f>
        <v>444</v>
      </c>
      <c r="I392" s="162">
        <f>$I$161</f>
        <v>5.24</v>
      </c>
      <c r="J392" s="186" t="s">
        <v>178</v>
      </c>
      <c r="K392" s="2">
        <f>ROUND(I392*$C392/100,0)</f>
        <v>1058</v>
      </c>
      <c r="M392" s="11"/>
      <c r="N392" s="11"/>
      <c r="O392" s="38"/>
      <c r="P392" s="38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>
      <c r="A393" s="1" t="s">
        <v>204</v>
      </c>
      <c r="B393" s="1"/>
      <c r="C393" s="182">
        <v>1540</v>
      </c>
      <c r="D393" s="182">
        <f>ROUND(($D$405/$C$405)*C393,0)</f>
        <v>704</v>
      </c>
      <c r="E393" s="193">
        <f>$E$162</f>
        <v>45</v>
      </c>
      <c r="F393" s="184" t="s">
        <v>178</v>
      </c>
      <c r="G393" s="2">
        <f>ROUND(E393*$C393/100,0)</f>
        <v>693</v>
      </c>
      <c r="H393" s="2">
        <f>ROUND(E393*$D393/100,0)</f>
        <v>317</v>
      </c>
      <c r="I393" s="193">
        <f>$I$162</f>
        <v>50</v>
      </c>
      <c r="J393" s="186" t="s">
        <v>178</v>
      </c>
      <c r="K393" s="2">
        <f>ROUND(I393*$C393/100,0)</f>
        <v>770</v>
      </c>
      <c r="M393" s="11"/>
      <c r="N393" s="11"/>
      <c r="O393" s="38"/>
      <c r="P393" s="38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>
      <c r="A394" s="194" t="s">
        <v>205</v>
      </c>
      <c r="B394" s="1"/>
      <c r="C394" s="182"/>
      <c r="D394" s="182"/>
      <c r="E394" s="195">
        <v>-0.01</v>
      </c>
      <c r="F394" s="184"/>
      <c r="G394" s="2"/>
      <c r="H394" s="2"/>
      <c r="I394" s="195">
        <v>-0.01</v>
      </c>
      <c r="J394" s="186"/>
      <c r="K394" s="2"/>
      <c r="M394" s="11"/>
      <c r="N394" s="11"/>
      <c r="O394" s="38"/>
      <c r="P394" s="38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>
      <c r="A395" s="1" t="s">
        <v>194</v>
      </c>
      <c r="B395" s="1"/>
      <c r="C395" s="182">
        <v>0</v>
      </c>
      <c r="D395" s="182">
        <f>ROUND(($D$387/$C$387)*C395,0)</f>
        <v>0</v>
      </c>
      <c r="E395" s="197">
        <f>E384</f>
        <v>90.36</v>
      </c>
      <c r="F395" s="184"/>
      <c r="G395" s="2">
        <f>-ROUND(E395*$C395/100,0)</f>
        <v>0</v>
      </c>
      <c r="H395" s="2">
        <f>-ROUND(E395*$D395/100,0)</f>
        <v>0</v>
      </c>
      <c r="I395" s="197">
        <f>I384</f>
        <v>96</v>
      </c>
      <c r="J395" s="184"/>
      <c r="K395" s="2">
        <f>-ROUND(I395*$C395/100,0)</f>
        <v>0</v>
      </c>
      <c r="M395" s="11"/>
      <c r="N395" s="11"/>
      <c r="O395" s="38"/>
      <c r="P395" s="38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>
      <c r="A396" s="1" t="s">
        <v>195</v>
      </c>
      <c r="B396" s="1"/>
      <c r="C396" s="182">
        <v>0</v>
      </c>
      <c r="D396" s="182">
        <f>ROUND(($D$387/$C$387)*C396,0)</f>
        <v>0</v>
      </c>
      <c r="E396" s="197">
        <f>E385</f>
        <v>134.16</v>
      </c>
      <c r="F396" s="184"/>
      <c r="G396" s="2">
        <f>-ROUND(E396*$C396/100,0)</f>
        <v>0</v>
      </c>
      <c r="H396" s="2">
        <f>-ROUND(E396*$D396/100,0)</f>
        <v>0</v>
      </c>
      <c r="I396" s="197">
        <f>I385</f>
        <v>142.53386454183266</v>
      </c>
      <c r="J396" s="184"/>
      <c r="K396" s="2">
        <f>-ROUND(I396*$C396/100,0)</f>
        <v>0</v>
      </c>
      <c r="M396" s="11"/>
      <c r="N396" s="11"/>
      <c r="O396" s="38"/>
      <c r="P396" s="38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>
      <c r="A397" s="1" t="s">
        <v>206</v>
      </c>
      <c r="B397" s="1"/>
      <c r="C397" s="182">
        <v>0</v>
      </c>
      <c r="D397" s="182">
        <f t="shared" ref="D397:D402" si="37">ROUND(($D$405/$C$405)*C397,0)</f>
        <v>0</v>
      </c>
      <c r="E397" s="197">
        <f>E386</f>
        <v>9.36</v>
      </c>
      <c r="F397" s="184"/>
      <c r="G397" s="2">
        <f>-ROUND(E397*$C397/100,0)</f>
        <v>0</v>
      </c>
      <c r="H397" s="2">
        <f>-ROUND(E397*$D397/100,0)</f>
        <v>0</v>
      </c>
      <c r="I397" s="197">
        <f>I386</f>
        <v>9.94</v>
      </c>
      <c r="J397" s="184"/>
      <c r="K397" s="2">
        <f>-ROUND(I397*$C397/100,0)</f>
        <v>0</v>
      </c>
      <c r="M397" s="11"/>
      <c r="N397" s="11"/>
      <c r="O397" s="38"/>
      <c r="P397" s="38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>
      <c r="A398" s="1" t="s">
        <v>207</v>
      </c>
      <c r="B398" s="1"/>
      <c r="C398" s="182">
        <v>0</v>
      </c>
      <c r="D398" s="182">
        <f t="shared" si="37"/>
        <v>0</v>
      </c>
      <c r="E398" s="197">
        <f>E389</f>
        <v>2.88</v>
      </c>
      <c r="F398" s="186"/>
      <c r="G398" s="2">
        <f>-ROUND(E398*$C398/100,0)</f>
        <v>0</v>
      </c>
      <c r="H398" s="2">
        <f>-ROUND(E398*$D398/100,0)</f>
        <v>0</v>
      </c>
      <c r="I398" s="197">
        <f>I389</f>
        <v>2.97</v>
      </c>
      <c r="J398" s="186"/>
      <c r="K398" s="2">
        <f>-ROUND(I398*$C398/100,0)</f>
        <v>0</v>
      </c>
      <c r="M398" s="11"/>
      <c r="N398" s="11"/>
      <c r="O398" s="38"/>
      <c r="P398" s="38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>
      <c r="A399" s="1" t="s">
        <v>209</v>
      </c>
      <c r="B399" s="1"/>
      <c r="C399" s="182">
        <v>0</v>
      </c>
      <c r="D399" s="182">
        <f t="shared" si="37"/>
        <v>0</v>
      </c>
      <c r="E399" s="198">
        <f>E390</f>
        <v>8.0890000000000004</v>
      </c>
      <c r="F399" s="186" t="s">
        <v>178</v>
      </c>
      <c r="G399" s="2">
        <f>ROUND(E399*$C399/100*E394,0)</f>
        <v>0</v>
      </c>
      <c r="H399" s="2">
        <f>ROUND(E399*$D399/100*E394,0)</f>
        <v>0</v>
      </c>
      <c r="I399" s="198">
        <f>I390</f>
        <v>8.8109999999999999</v>
      </c>
      <c r="J399" s="186" t="s">
        <v>178</v>
      </c>
      <c r="K399" s="2">
        <f>ROUND(I399*$C399/100*I394,0)</f>
        <v>0</v>
      </c>
      <c r="M399" s="11"/>
      <c r="N399" s="11"/>
      <c r="O399" s="38"/>
      <c r="P399" s="38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>
      <c r="A400" s="1" t="s">
        <v>202</v>
      </c>
      <c r="B400" s="1"/>
      <c r="C400" s="182">
        <v>0</v>
      </c>
      <c r="D400" s="182">
        <f t="shared" si="37"/>
        <v>0</v>
      </c>
      <c r="E400" s="198">
        <f>E391</f>
        <v>5.5839999999999996</v>
      </c>
      <c r="F400" s="186" t="s">
        <v>178</v>
      </c>
      <c r="G400" s="2">
        <f>ROUND(E400*$C400/100*E394,0)</f>
        <v>0</v>
      </c>
      <c r="H400" s="2">
        <f>ROUND(E400*$D400/100*E394,0)</f>
        <v>0</v>
      </c>
      <c r="I400" s="198">
        <f>I391</f>
        <v>6.0819999999999999</v>
      </c>
      <c r="J400" s="186" t="s">
        <v>178</v>
      </c>
      <c r="K400" s="2">
        <f>ROUND(I400*$C400/100*I394,0)</f>
        <v>0</v>
      </c>
      <c r="M400" s="11"/>
      <c r="N400" s="11"/>
      <c r="O400" s="38"/>
      <c r="P400" s="38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>
      <c r="A401" s="1" t="s">
        <v>203</v>
      </c>
      <c r="B401" s="1"/>
      <c r="C401" s="182">
        <v>0</v>
      </c>
      <c r="D401" s="182">
        <f t="shared" si="37"/>
        <v>0</v>
      </c>
      <c r="E401" s="198">
        <f>E392</f>
        <v>4.8099999999999996</v>
      </c>
      <c r="F401" s="186" t="s">
        <v>178</v>
      </c>
      <c r="G401" s="2">
        <f>ROUND(E401*$C401/100*E394,0)</f>
        <v>0</v>
      </c>
      <c r="H401" s="2">
        <f>ROUND(E401*$D401/100*E394,0)</f>
        <v>0</v>
      </c>
      <c r="I401" s="198">
        <f>I392</f>
        <v>5.24</v>
      </c>
      <c r="J401" s="186" t="s">
        <v>178</v>
      </c>
      <c r="K401" s="2">
        <f>ROUND(I401*$C401/100*I394,0)</f>
        <v>0</v>
      </c>
      <c r="M401" s="11"/>
      <c r="N401" s="11"/>
      <c r="O401" s="38"/>
      <c r="P401" s="38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>
      <c r="A402" s="1" t="s">
        <v>204</v>
      </c>
      <c r="B402" s="1"/>
      <c r="C402" s="182">
        <v>0</v>
      </c>
      <c r="D402" s="182">
        <f t="shared" si="37"/>
        <v>0</v>
      </c>
      <c r="E402" s="199">
        <f>E393</f>
        <v>45</v>
      </c>
      <c r="F402" s="186" t="s">
        <v>178</v>
      </c>
      <c r="G402" s="2">
        <f>ROUND(E402*$C402/100*E394,0)</f>
        <v>0</v>
      </c>
      <c r="H402" s="2">
        <f>ROUND(E402*$D402/100*E394,0)</f>
        <v>0</v>
      </c>
      <c r="I402" s="199">
        <f>I393</f>
        <v>50</v>
      </c>
      <c r="J402" s="186" t="s">
        <v>178</v>
      </c>
      <c r="K402" s="2">
        <f>ROUND(I402*$C402/100*I394,0)</f>
        <v>0</v>
      </c>
      <c r="M402" s="11"/>
      <c r="N402" s="11"/>
      <c r="O402" s="38"/>
      <c r="P402" s="38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>
      <c r="A403" s="1" t="s">
        <v>211</v>
      </c>
      <c r="B403" s="1"/>
      <c r="C403" s="182">
        <v>0</v>
      </c>
      <c r="D403" s="182">
        <f>ROUND(($D$387/$C$387)*C403,0)</f>
        <v>0</v>
      </c>
      <c r="E403" s="200">
        <f>$E$172</f>
        <v>60</v>
      </c>
      <c r="F403" s="184"/>
      <c r="G403" s="2">
        <f>ROUND(E403*$C403,0)</f>
        <v>0</v>
      </c>
      <c r="H403" s="2">
        <f>ROUND(E403*$D403,0)</f>
        <v>0</v>
      </c>
      <c r="I403" s="200">
        <f>$I$172</f>
        <v>60</v>
      </c>
      <c r="J403" s="186"/>
      <c r="K403" s="2">
        <f>ROUND(I403*$C403,0)</f>
        <v>0</v>
      </c>
      <c r="M403" s="11"/>
      <c r="N403" s="11"/>
      <c r="O403" s="38"/>
      <c r="P403" s="38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>
      <c r="A404" s="1" t="s">
        <v>212</v>
      </c>
      <c r="B404" s="1"/>
      <c r="C404" s="182">
        <v>0</v>
      </c>
      <c r="D404" s="182">
        <f>ROUND(($D$405/$C$405)*C404,0)</f>
        <v>0</v>
      </c>
      <c r="E404" s="202">
        <f>$E$173</f>
        <v>-30</v>
      </c>
      <c r="F404" s="184" t="s">
        <v>178</v>
      </c>
      <c r="G404" s="2">
        <f>ROUND(E404*$C404/100,0)</f>
        <v>0</v>
      </c>
      <c r="H404" s="2">
        <f>ROUND(E404*$D404/100,0)</f>
        <v>0</v>
      </c>
      <c r="I404" s="202">
        <f>$I$173</f>
        <v>-30</v>
      </c>
      <c r="J404" s="186" t="s">
        <v>178</v>
      </c>
      <c r="K404" s="2">
        <f>ROUND(I404*$C404/100,0)</f>
        <v>0</v>
      </c>
      <c r="M404" s="11"/>
      <c r="N404" s="11"/>
      <c r="O404" s="38"/>
      <c r="P404" s="38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>
      <c r="A405" s="1" t="s">
        <v>185</v>
      </c>
      <c r="B405" s="1"/>
      <c r="C405" s="182">
        <f>SUM(C390:C392)</f>
        <v>644577</v>
      </c>
      <c r="D405" s="182">
        <v>294461.5</v>
      </c>
      <c r="E405" s="193"/>
      <c r="F405" s="2"/>
      <c r="G405" s="2">
        <f>SUM(G384:G404)</f>
        <v>129458</v>
      </c>
      <c r="H405" s="2">
        <f>SUM(H384:H404)</f>
        <v>67184</v>
      </c>
      <c r="I405" s="193"/>
      <c r="J405" s="186"/>
      <c r="K405" s="2">
        <f>SUM(K384:K404)</f>
        <v>137602</v>
      </c>
      <c r="M405" s="11"/>
      <c r="N405" s="11"/>
      <c r="O405" s="38"/>
      <c r="P405" s="38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>
      <c r="A406" s="1" t="s">
        <v>167</v>
      </c>
      <c r="B406" s="1"/>
      <c r="C406" s="212" t="e">
        <f>#REF!</f>
        <v>#REF!</v>
      </c>
      <c r="D406" s="212">
        <v>0</v>
      </c>
      <c r="E406" s="172"/>
      <c r="F406" s="172"/>
      <c r="G406" s="204" t="e">
        <f>#REF!</f>
        <v>#REF!</v>
      </c>
      <c r="H406" s="204">
        <v>0</v>
      </c>
      <c r="I406" s="172"/>
      <c r="J406" s="172"/>
      <c r="K406" s="204" t="e">
        <f>G406</f>
        <v>#REF!</v>
      </c>
      <c r="M406" s="307"/>
      <c r="N406" s="307"/>
      <c r="O406" s="150"/>
      <c r="P406" s="38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6.5" thickBot="1">
      <c r="A407" s="1" t="s">
        <v>186</v>
      </c>
      <c r="B407" s="1"/>
      <c r="C407" s="174" t="e">
        <f>SUM(C405:C406)</f>
        <v>#REF!</v>
      </c>
      <c r="D407" s="174">
        <f>SUM(D405:D406)</f>
        <v>294461.5</v>
      </c>
      <c r="E407" s="205"/>
      <c r="F407" s="206"/>
      <c r="G407" s="207" t="e">
        <f>G405+G406</f>
        <v>#REF!</v>
      </c>
      <c r="H407" s="207">
        <f>H405+H406</f>
        <v>67184</v>
      </c>
      <c r="I407" s="205"/>
      <c r="J407" s="208"/>
      <c r="K407" s="207" t="e">
        <f>K405+K406</f>
        <v>#REF!</v>
      </c>
      <c r="M407" s="274"/>
      <c r="N407" s="274"/>
      <c r="O407" s="333"/>
      <c r="P407" s="38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6.5" thickTop="1">
      <c r="A408" s="1"/>
      <c r="B408" s="1"/>
      <c r="C408" s="12"/>
      <c r="D408" s="12"/>
      <c r="E408" s="200"/>
      <c r="F408" s="2"/>
      <c r="G408" s="2"/>
      <c r="H408" s="2"/>
      <c r="I408" s="216" t="s">
        <v>13</v>
      </c>
      <c r="J408" s="1"/>
      <c r="K408" s="2" t="s">
        <v>13</v>
      </c>
      <c r="M408" s="11"/>
      <c r="N408" s="11"/>
      <c r="O408" s="38"/>
      <c r="P408" s="38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>
      <c r="A409" s="156" t="s">
        <v>221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  <c r="M409" s="11"/>
      <c r="N409" s="11"/>
      <c r="O409" s="38"/>
      <c r="P409" s="38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>
      <c r="A410" s="1" t="s">
        <v>218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11"/>
      <c r="N410" s="11"/>
      <c r="O410" s="38"/>
      <c r="P410" s="38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>
      <c r="A411" s="1" t="s">
        <v>222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11"/>
      <c r="N411" s="11"/>
      <c r="O411" s="38"/>
      <c r="P411" s="38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>
      <c r="A412" s="1" t="s">
        <v>197</v>
      </c>
      <c r="B412" s="1"/>
      <c r="C412" s="182"/>
      <c r="D412" s="182"/>
      <c r="E412" s="2"/>
      <c r="F412" s="2"/>
      <c r="G412" s="1"/>
      <c r="H412" s="1"/>
      <c r="I412" s="2"/>
      <c r="J412" s="1"/>
      <c r="K412" s="1"/>
      <c r="M412" s="11"/>
      <c r="N412" s="11"/>
      <c r="O412" s="38"/>
      <c r="P412" s="38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>
      <c r="A413" s="1" t="s">
        <v>194</v>
      </c>
      <c r="B413" s="1"/>
      <c r="C413" s="182">
        <v>0</v>
      </c>
      <c r="D413" s="182">
        <f>$D$417/$C$417*C413</f>
        <v>0</v>
      </c>
      <c r="E413" s="161">
        <f>$E$149</f>
        <v>90.36</v>
      </c>
      <c r="F413" s="184"/>
      <c r="G413" s="2">
        <f>ROUND(E413*$C413,0)</f>
        <v>0</v>
      </c>
      <c r="H413" s="2">
        <f>ROUND(E413*$D413,0)</f>
        <v>0</v>
      </c>
      <c r="I413" s="161">
        <f>$I$149</f>
        <v>96</v>
      </c>
      <c r="J413" s="186"/>
      <c r="K413" s="2">
        <f>ROUND(I413*$C413,0)</f>
        <v>0</v>
      </c>
      <c r="M413" s="11"/>
      <c r="N413" s="11"/>
      <c r="O413" s="38"/>
      <c r="P413" s="38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>
      <c r="A414" s="1" t="s">
        <v>195</v>
      </c>
      <c r="B414" s="1"/>
      <c r="C414" s="182">
        <v>1</v>
      </c>
      <c r="D414" s="182">
        <f>$D$417/$C$417*C414</f>
        <v>1.0909090909090908</v>
      </c>
      <c r="E414" s="161">
        <f>$E$150</f>
        <v>134.16</v>
      </c>
      <c r="F414" s="187"/>
      <c r="G414" s="2">
        <f>ROUND(E414*$C414,0)</f>
        <v>134</v>
      </c>
      <c r="H414" s="2">
        <f>ROUND(E414*$D414,0)</f>
        <v>146</v>
      </c>
      <c r="I414" s="161">
        <f>$I$150</f>
        <v>142.53386454183266</v>
      </c>
      <c r="J414" s="188"/>
      <c r="K414" s="2">
        <f>ROUND(I414*$C414,0)</f>
        <v>143</v>
      </c>
      <c r="M414" s="11"/>
      <c r="N414" s="11"/>
      <c r="O414" s="38"/>
      <c r="P414" s="38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>
      <c r="A415" s="1" t="s">
        <v>196</v>
      </c>
      <c r="B415" s="1"/>
      <c r="C415" s="182">
        <v>75</v>
      </c>
      <c r="D415" s="182">
        <v>34</v>
      </c>
      <c r="E415" s="161">
        <f>$E$151</f>
        <v>9.36</v>
      </c>
      <c r="F415" s="187"/>
      <c r="G415" s="2">
        <f>ROUND(E415*$C415,0)</f>
        <v>702</v>
      </c>
      <c r="H415" s="2">
        <f>ROUND(E415*$D415,0)</f>
        <v>318</v>
      </c>
      <c r="I415" s="161">
        <f>$I$151</f>
        <v>9.94</v>
      </c>
      <c r="J415" s="188"/>
      <c r="K415" s="2">
        <f>ROUND(I415*$C415,0)</f>
        <v>746</v>
      </c>
      <c r="M415" s="11"/>
      <c r="N415" s="11"/>
      <c r="O415" s="38"/>
      <c r="P415" s="38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>
      <c r="A416" s="1" t="s">
        <v>198</v>
      </c>
      <c r="B416" s="1"/>
      <c r="C416" s="182">
        <f>SUM(C413:C414)</f>
        <v>1</v>
      </c>
      <c r="D416" s="182">
        <f>SUM(D413:D414)</f>
        <v>1.0909090909090908</v>
      </c>
      <c r="E416" s="161"/>
      <c r="F416" s="184"/>
      <c r="G416" s="2"/>
      <c r="H416" s="2"/>
      <c r="I416" s="161"/>
      <c r="J416" s="186"/>
      <c r="K416" s="2"/>
      <c r="M416" s="11"/>
      <c r="N416" s="11"/>
      <c r="O416" s="38"/>
      <c r="P416" s="38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>
      <c r="A417" s="1" t="s">
        <v>223</v>
      </c>
      <c r="B417" s="1"/>
      <c r="C417" s="182">
        <v>11</v>
      </c>
      <c r="D417" s="182">
        <v>12</v>
      </c>
      <c r="E417" s="161"/>
      <c r="F417" s="184"/>
      <c r="G417" s="2"/>
      <c r="H417" s="2"/>
      <c r="I417" s="161"/>
      <c r="J417" s="186"/>
      <c r="K417" s="2"/>
      <c r="M417" s="11"/>
      <c r="N417" s="11"/>
      <c r="O417" s="38"/>
      <c r="P417" s="38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>
      <c r="A418" s="1" t="s">
        <v>199</v>
      </c>
      <c r="B418" s="1"/>
      <c r="C418" s="182">
        <v>253</v>
      </c>
      <c r="D418" s="182">
        <f>ROUND(($D$434/$C$434)*C418,0)</f>
        <v>99</v>
      </c>
      <c r="E418" s="189">
        <f>$E$158</f>
        <v>2.88</v>
      </c>
      <c r="F418" s="186"/>
      <c r="G418" s="2">
        <f>ROUND(E418*$C418,0)</f>
        <v>729</v>
      </c>
      <c r="H418" s="2">
        <f>ROUND(E418*$D418,0)</f>
        <v>285</v>
      </c>
      <c r="I418" s="189">
        <f>$I$158</f>
        <v>2.97</v>
      </c>
      <c r="J418" s="186"/>
      <c r="K418" s="2">
        <f>ROUND(I418*$C418,0)</f>
        <v>751</v>
      </c>
      <c r="M418" s="11"/>
      <c r="N418" s="11"/>
      <c r="O418" s="38"/>
      <c r="P418" s="38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>
      <c r="A419" s="1" t="s">
        <v>201</v>
      </c>
      <c r="B419" s="1"/>
      <c r="C419" s="182">
        <v>6932</v>
      </c>
      <c r="D419" s="182">
        <f>ROUND(($D$434/$C$434)*C419,0)</f>
        <v>2701</v>
      </c>
      <c r="E419" s="162">
        <f>$E$159</f>
        <v>8.0890000000000004</v>
      </c>
      <c r="F419" s="186" t="s">
        <v>178</v>
      </c>
      <c r="G419" s="2">
        <f>ROUND(E419*$C419/100,0)</f>
        <v>561</v>
      </c>
      <c r="H419" s="2">
        <f>ROUND(E419*$D419/100,0)</f>
        <v>218</v>
      </c>
      <c r="I419" s="162">
        <f>$I$159</f>
        <v>8.8109999999999999</v>
      </c>
      <c r="J419" s="186" t="s">
        <v>178</v>
      </c>
      <c r="K419" s="2">
        <f>ROUND(I419*$C419/100,0)</f>
        <v>611</v>
      </c>
      <c r="M419" s="11"/>
      <c r="N419" s="11"/>
      <c r="O419" s="38"/>
      <c r="P419" s="38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>
      <c r="A420" s="1" t="s">
        <v>202</v>
      </c>
      <c r="B420" s="1"/>
      <c r="C420" s="182">
        <v>7588</v>
      </c>
      <c r="D420" s="182">
        <f>ROUND(($D$434/$C$434)*C420,0)</f>
        <v>2956</v>
      </c>
      <c r="E420" s="162">
        <f>$E$189</f>
        <v>5.5839999999999996</v>
      </c>
      <c r="F420" s="186" t="s">
        <v>178</v>
      </c>
      <c r="G420" s="2">
        <f>ROUND(E420*$C420/100,0)</f>
        <v>424</v>
      </c>
      <c r="H420" s="2">
        <f>ROUND(E420*$D420/100,0)</f>
        <v>165</v>
      </c>
      <c r="I420" s="162">
        <f>$I$160</f>
        <v>6.0819999999999999</v>
      </c>
      <c r="J420" s="186" t="s">
        <v>178</v>
      </c>
      <c r="K420" s="2">
        <f>ROUND(I420*$C420/100,0)</f>
        <v>462</v>
      </c>
      <c r="M420" s="11"/>
      <c r="N420" s="11"/>
      <c r="O420" s="38"/>
      <c r="P420" s="38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>
      <c r="A421" s="1" t="s">
        <v>203</v>
      </c>
      <c r="B421" s="1"/>
      <c r="C421" s="182">
        <v>0</v>
      </c>
      <c r="D421" s="182">
        <f>ROUND(($D$434/$C$434)*C421,0)</f>
        <v>0</v>
      </c>
      <c r="E421" s="162">
        <f>$E$161</f>
        <v>4.8099999999999996</v>
      </c>
      <c r="F421" s="186" t="s">
        <v>178</v>
      </c>
      <c r="G421" s="2">
        <f>ROUND(E421*$C421/100,0)</f>
        <v>0</v>
      </c>
      <c r="H421" s="2">
        <f>ROUND(E421*$D421/100,0)</f>
        <v>0</v>
      </c>
      <c r="I421" s="162">
        <f>$I$161</f>
        <v>5.24</v>
      </c>
      <c r="J421" s="186" t="s">
        <v>178</v>
      </c>
      <c r="K421" s="2">
        <f>ROUND(I421*$C421/100,0)</f>
        <v>0</v>
      </c>
      <c r="M421" s="11"/>
      <c r="N421" s="11"/>
      <c r="O421" s="38"/>
      <c r="P421" s="38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>
      <c r="A422" s="1" t="s">
        <v>204</v>
      </c>
      <c r="B422" s="1"/>
      <c r="C422" s="182">
        <v>0</v>
      </c>
      <c r="D422" s="182">
        <f>ROUND(($D$434/$C$434)*C422,0)</f>
        <v>0</v>
      </c>
      <c r="E422" s="193">
        <f>$E$162</f>
        <v>45</v>
      </c>
      <c r="F422" s="184" t="s">
        <v>178</v>
      </c>
      <c r="G422" s="2">
        <f>ROUND(E422*$C422/100,0)</f>
        <v>0</v>
      </c>
      <c r="H422" s="2">
        <f>ROUND(E422*$D422/100,0)</f>
        <v>0</v>
      </c>
      <c r="I422" s="193">
        <f>$I$162</f>
        <v>50</v>
      </c>
      <c r="J422" s="186" t="s">
        <v>178</v>
      </c>
      <c r="K422" s="2">
        <f>ROUND(I422*$C422/100,0)</f>
        <v>0</v>
      </c>
      <c r="M422" s="11"/>
      <c r="N422" s="11"/>
      <c r="O422" s="38"/>
      <c r="P422" s="38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>
      <c r="A423" s="194" t="s">
        <v>205</v>
      </c>
      <c r="B423" s="1"/>
      <c r="C423" s="182"/>
      <c r="D423" s="182"/>
      <c r="E423" s="195">
        <v>-0.01</v>
      </c>
      <c r="F423" s="184"/>
      <c r="G423" s="2"/>
      <c r="H423" s="2"/>
      <c r="I423" s="195">
        <v>-0.01</v>
      </c>
      <c r="J423" s="186"/>
      <c r="K423" s="2"/>
      <c r="M423" s="11"/>
      <c r="N423" s="11"/>
      <c r="O423" s="38"/>
      <c r="P423" s="38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>
      <c r="A424" s="1" t="s">
        <v>194</v>
      </c>
      <c r="B424" s="1"/>
      <c r="C424" s="182">
        <v>0</v>
      </c>
      <c r="D424" s="182">
        <f>$D$417/$C$417*C424</f>
        <v>0</v>
      </c>
      <c r="E424" s="197">
        <f>E413</f>
        <v>90.36</v>
      </c>
      <c r="F424" s="184"/>
      <c r="G424" s="2">
        <f>-ROUND(E424*$C424/100,0)</f>
        <v>0</v>
      </c>
      <c r="H424" s="2">
        <f>-ROUND(E424*$D424/100,0)</f>
        <v>0</v>
      </c>
      <c r="I424" s="197">
        <f>I413</f>
        <v>96</v>
      </c>
      <c r="J424" s="184"/>
      <c r="K424" s="2">
        <f>-ROUND(I424*$C424/100,0)</f>
        <v>0</v>
      </c>
      <c r="M424" s="11"/>
      <c r="N424" s="11"/>
      <c r="O424" s="38"/>
      <c r="P424" s="38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>
      <c r="A425" s="1" t="s">
        <v>195</v>
      </c>
      <c r="B425" s="1"/>
      <c r="C425" s="182">
        <v>0</v>
      </c>
      <c r="D425" s="182">
        <f>$D$417/$C$417*C425</f>
        <v>0</v>
      </c>
      <c r="E425" s="197">
        <f>E414</f>
        <v>134.16</v>
      </c>
      <c r="F425" s="184"/>
      <c r="G425" s="2">
        <f>-ROUND(E425*$C425/100,0)</f>
        <v>0</v>
      </c>
      <c r="H425" s="2">
        <f>-ROUND(E425*$D425/100,0)</f>
        <v>0</v>
      </c>
      <c r="I425" s="197">
        <f>I414</f>
        <v>142.53386454183266</v>
      </c>
      <c r="J425" s="184"/>
      <c r="K425" s="2">
        <f>-ROUND(I425*$C425/100,0)</f>
        <v>0</v>
      </c>
      <c r="M425" s="11"/>
      <c r="N425" s="11"/>
      <c r="O425" s="38"/>
      <c r="P425" s="38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>
      <c r="A426" s="1" t="s">
        <v>206</v>
      </c>
      <c r="B426" s="1"/>
      <c r="C426" s="182">
        <v>0</v>
      </c>
      <c r="D426" s="182">
        <f t="shared" ref="D426:D431" si="38">ROUND(($D$434/$C$434)*C426,0)</f>
        <v>0</v>
      </c>
      <c r="E426" s="197">
        <f>E415</f>
        <v>9.36</v>
      </c>
      <c r="F426" s="184"/>
      <c r="G426" s="2">
        <f>-ROUND(E426*$C426/100,0)</f>
        <v>0</v>
      </c>
      <c r="H426" s="2">
        <f>-ROUND(E426*$D426/100,0)</f>
        <v>0</v>
      </c>
      <c r="I426" s="197">
        <f>I415</f>
        <v>9.94</v>
      </c>
      <c r="J426" s="184"/>
      <c r="K426" s="2">
        <f>-ROUND(I426*$C426/100,0)</f>
        <v>0</v>
      </c>
      <c r="M426" s="11"/>
      <c r="N426" s="11"/>
      <c r="O426" s="38"/>
      <c r="P426" s="38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>
      <c r="A427" s="1" t="s">
        <v>207</v>
      </c>
      <c r="B427" s="1"/>
      <c r="C427" s="182">
        <v>0</v>
      </c>
      <c r="D427" s="182">
        <f t="shared" si="38"/>
        <v>0</v>
      </c>
      <c r="E427" s="197">
        <f>E418</f>
        <v>2.88</v>
      </c>
      <c r="F427" s="186"/>
      <c r="G427" s="2">
        <f>-ROUND(E427*$C427/100,0)</f>
        <v>0</v>
      </c>
      <c r="H427" s="2">
        <f>-ROUND(E427*$D427/100,0)</f>
        <v>0</v>
      </c>
      <c r="I427" s="197">
        <f>I418</f>
        <v>2.97</v>
      </c>
      <c r="J427" s="186"/>
      <c r="K427" s="2">
        <f>-ROUND(I427*$C427/100,0)</f>
        <v>0</v>
      </c>
      <c r="M427" s="11"/>
      <c r="N427" s="11"/>
      <c r="O427" s="38"/>
      <c r="P427" s="38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>
      <c r="A428" s="1" t="s">
        <v>209</v>
      </c>
      <c r="B428" s="1"/>
      <c r="C428" s="182">
        <v>0</v>
      </c>
      <c r="D428" s="182">
        <f t="shared" si="38"/>
        <v>0</v>
      </c>
      <c r="E428" s="198">
        <f>E419</f>
        <v>8.0890000000000004</v>
      </c>
      <c r="F428" s="186" t="s">
        <v>178</v>
      </c>
      <c r="G428" s="2">
        <f>ROUND(E428*$C428/100*E423,0)</f>
        <v>0</v>
      </c>
      <c r="H428" s="2">
        <f>ROUND(E428*$D428/100*E423,0)</f>
        <v>0</v>
      </c>
      <c r="I428" s="198">
        <f>I419</f>
        <v>8.8109999999999999</v>
      </c>
      <c r="J428" s="186" t="s">
        <v>178</v>
      </c>
      <c r="K428" s="2">
        <f>ROUND(I428*$C428/100*I423,0)</f>
        <v>0</v>
      </c>
      <c r="M428" s="11"/>
      <c r="N428" s="11"/>
      <c r="O428" s="38"/>
      <c r="P428" s="38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>
      <c r="A429" s="1" t="s">
        <v>202</v>
      </c>
      <c r="B429" s="1"/>
      <c r="C429" s="182">
        <v>0</v>
      </c>
      <c r="D429" s="182">
        <f t="shared" si="38"/>
        <v>0</v>
      </c>
      <c r="E429" s="198">
        <f>E420</f>
        <v>5.5839999999999996</v>
      </c>
      <c r="F429" s="186" t="s">
        <v>178</v>
      </c>
      <c r="G429" s="2">
        <f>ROUND(E429*$C429/100*E423,0)</f>
        <v>0</v>
      </c>
      <c r="H429" s="2">
        <f>ROUND(E429*$D429/100*E423,0)</f>
        <v>0</v>
      </c>
      <c r="I429" s="198">
        <f>I420</f>
        <v>6.0819999999999999</v>
      </c>
      <c r="J429" s="186" t="s">
        <v>178</v>
      </c>
      <c r="K429" s="2">
        <f>ROUND(I429*$C429/100*I423,0)</f>
        <v>0</v>
      </c>
      <c r="M429" s="11"/>
      <c r="N429" s="11"/>
      <c r="O429" s="38"/>
      <c r="P429" s="38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>
      <c r="A430" s="1" t="s">
        <v>203</v>
      </c>
      <c r="B430" s="1"/>
      <c r="C430" s="182">
        <v>0</v>
      </c>
      <c r="D430" s="182">
        <f t="shared" si="38"/>
        <v>0</v>
      </c>
      <c r="E430" s="198">
        <f>E421</f>
        <v>4.8099999999999996</v>
      </c>
      <c r="F430" s="186" t="s">
        <v>178</v>
      </c>
      <c r="G430" s="2">
        <f>ROUND(E430*$C430/100*E423,0)</f>
        <v>0</v>
      </c>
      <c r="H430" s="2">
        <f>ROUND(E430*$D430/100*E423,0)</f>
        <v>0</v>
      </c>
      <c r="I430" s="198">
        <f>I421</f>
        <v>5.24</v>
      </c>
      <c r="J430" s="186" t="s">
        <v>178</v>
      </c>
      <c r="K430" s="2">
        <f>ROUND(I430*$C430/100*I423,0)</f>
        <v>0</v>
      </c>
      <c r="M430" s="11"/>
      <c r="N430" s="11"/>
      <c r="O430" s="38"/>
      <c r="P430" s="38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>
      <c r="A431" s="1" t="s">
        <v>204</v>
      </c>
      <c r="B431" s="1"/>
      <c r="C431" s="182">
        <v>0</v>
      </c>
      <c r="D431" s="182">
        <f t="shared" si="38"/>
        <v>0</v>
      </c>
      <c r="E431" s="199">
        <f>E422</f>
        <v>45</v>
      </c>
      <c r="F431" s="186" t="s">
        <v>178</v>
      </c>
      <c r="G431" s="2">
        <f>ROUND(E431*$C431/100*E423,0)</f>
        <v>0</v>
      </c>
      <c r="H431" s="2">
        <f>ROUND(E431*$D431/100*E423,0)</f>
        <v>0</v>
      </c>
      <c r="I431" s="199">
        <f>I422</f>
        <v>50</v>
      </c>
      <c r="J431" s="186" t="s">
        <v>178</v>
      </c>
      <c r="K431" s="2">
        <f>ROUND(I431*$C431/100*I423,0)</f>
        <v>0</v>
      </c>
      <c r="M431" s="11"/>
      <c r="N431" s="11"/>
      <c r="O431" s="38"/>
      <c r="P431" s="38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>
      <c r="A432" s="1" t="s">
        <v>211</v>
      </c>
      <c r="B432" s="1"/>
      <c r="C432" s="182">
        <v>0</v>
      </c>
      <c r="D432" s="182">
        <f>$D$417/$C$417*C432</f>
        <v>0</v>
      </c>
      <c r="E432" s="200">
        <f>$E$172</f>
        <v>60</v>
      </c>
      <c r="F432" s="184"/>
      <c r="G432" s="2">
        <f>ROUND(E432*$C432,0)</f>
        <v>0</v>
      </c>
      <c r="H432" s="2">
        <f>ROUND(E432*$D432,0)</f>
        <v>0</v>
      </c>
      <c r="I432" s="200">
        <f>$I$172</f>
        <v>60</v>
      </c>
      <c r="J432" s="186"/>
      <c r="K432" s="2">
        <f>ROUND(I432*$C432,0)</f>
        <v>0</v>
      </c>
      <c r="M432" s="11"/>
      <c r="N432" s="11"/>
      <c r="O432" s="38"/>
      <c r="P432" s="38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>
      <c r="A433" s="1" t="s">
        <v>212</v>
      </c>
      <c r="B433" s="1"/>
      <c r="C433" s="182">
        <v>0</v>
      </c>
      <c r="D433" s="182">
        <f>ROUND(($D$434/$C$434)*C433,0)</f>
        <v>0</v>
      </c>
      <c r="E433" s="202">
        <f>$E$173</f>
        <v>-30</v>
      </c>
      <c r="F433" s="184" t="s">
        <v>178</v>
      </c>
      <c r="G433" s="2">
        <f>ROUND(E433*$C433/100,0)</f>
        <v>0</v>
      </c>
      <c r="H433" s="2">
        <f>ROUND(E433*$D433/100,0)</f>
        <v>0</v>
      </c>
      <c r="I433" s="202">
        <f>$I$173</f>
        <v>-30</v>
      </c>
      <c r="J433" s="186" t="s">
        <v>178</v>
      </c>
      <c r="K433" s="2">
        <f>ROUND(I433*$C433/100,0)</f>
        <v>0</v>
      </c>
      <c r="M433" s="11"/>
      <c r="N433" s="11"/>
      <c r="O433" s="38"/>
      <c r="P433" s="38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>
      <c r="A434" s="1" t="s">
        <v>185</v>
      </c>
      <c r="B434" s="1"/>
      <c r="C434" s="182">
        <f>SUM(C419:C421)</f>
        <v>14520</v>
      </c>
      <c r="D434" s="182">
        <v>5657.1497597183234</v>
      </c>
      <c r="E434" s="193"/>
      <c r="F434" s="2"/>
      <c r="G434" s="2">
        <f>SUM(G413:G433)</f>
        <v>2550</v>
      </c>
      <c r="H434" s="2">
        <f>SUM(H413:H433)</f>
        <v>1132</v>
      </c>
      <c r="I434" s="193"/>
      <c r="J434" s="186"/>
      <c r="K434" s="2">
        <f>SUM(K413:K433)</f>
        <v>2713</v>
      </c>
      <c r="M434" s="11"/>
      <c r="N434" s="11"/>
      <c r="O434" s="38"/>
      <c r="P434" s="38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>
      <c r="A435" s="1" t="s">
        <v>167</v>
      </c>
      <c r="B435" s="1"/>
      <c r="C435" s="212" t="e">
        <f>#REF!</f>
        <v>#REF!</v>
      </c>
      <c r="D435" s="212">
        <v>0</v>
      </c>
      <c r="E435" s="172"/>
      <c r="F435" s="172"/>
      <c r="G435" s="204" t="e">
        <f>#REF!</f>
        <v>#REF!</v>
      </c>
      <c r="H435" s="204">
        <v>0</v>
      </c>
      <c r="I435" s="172"/>
      <c r="J435" s="172"/>
      <c r="K435" s="204" t="e">
        <f>G435</f>
        <v>#REF!</v>
      </c>
      <c r="M435" s="307"/>
      <c r="N435" s="307"/>
      <c r="O435" s="150"/>
      <c r="P435" s="38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6.5" thickBot="1">
      <c r="A436" s="1" t="s">
        <v>186</v>
      </c>
      <c r="B436" s="1"/>
      <c r="C436" s="174" t="e">
        <f>SUM(C434:C435)</f>
        <v>#REF!</v>
      </c>
      <c r="D436" s="174">
        <f>SUM(D434:D435)</f>
        <v>5657.1497597183234</v>
      </c>
      <c r="E436" s="205"/>
      <c r="F436" s="206"/>
      <c r="G436" s="207" t="e">
        <f>G434+G435</f>
        <v>#REF!</v>
      </c>
      <c r="H436" s="207">
        <f>H434+H435</f>
        <v>1132</v>
      </c>
      <c r="I436" s="205"/>
      <c r="J436" s="208"/>
      <c r="K436" s="207" t="e">
        <f>K434+K435</f>
        <v>#REF!</v>
      </c>
      <c r="M436" s="274"/>
      <c r="N436" s="274"/>
      <c r="O436" s="333"/>
      <c r="P436" s="38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6.5" thickTop="1">
      <c r="A437" s="1"/>
      <c r="B437" s="1"/>
      <c r="C437" s="12"/>
      <c r="D437" s="12"/>
      <c r="E437" s="200"/>
      <c r="F437" s="2"/>
      <c r="G437" s="2"/>
      <c r="H437" s="2"/>
      <c r="I437" s="216" t="s">
        <v>13</v>
      </c>
      <c r="J437" s="1"/>
      <c r="K437" s="2" t="s">
        <v>13</v>
      </c>
      <c r="M437" s="11"/>
      <c r="N437" s="11"/>
      <c r="O437" s="38"/>
      <c r="P437" s="38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>
      <c r="A438" s="1"/>
      <c r="B438" s="1"/>
      <c r="C438" s="12"/>
      <c r="D438" s="12"/>
      <c r="E438" s="200"/>
      <c r="F438" s="2"/>
      <c r="G438" s="2"/>
      <c r="H438" s="2"/>
      <c r="I438" s="216" t="s">
        <v>13</v>
      </c>
      <c r="J438" s="1"/>
      <c r="K438" s="2" t="s">
        <v>13</v>
      </c>
      <c r="M438" s="11"/>
      <c r="N438" s="11"/>
      <c r="O438" s="38"/>
      <c r="P438" s="38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>
      <c r="A439" s="156" t="s">
        <v>224</v>
      </c>
      <c r="B439" s="1"/>
      <c r="C439" s="217"/>
      <c r="D439" s="217"/>
      <c r="E439" s="2"/>
      <c r="F439" s="2"/>
      <c r="G439" s="1"/>
      <c r="H439" s="1"/>
      <c r="I439" s="2"/>
      <c r="J439" s="1"/>
      <c r="K439" s="2" t="s">
        <v>13</v>
      </c>
      <c r="M439" s="11"/>
      <c r="N439" s="11"/>
      <c r="O439" s="38"/>
      <c r="P439" s="38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>
      <c r="A440" s="186" t="s">
        <v>139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  <c r="M440" s="11"/>
      <c r="N440" s="11"/>
      <c r="O440" s="38"/>
      <c r="P440" s="38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>
      <c r="A441" s="186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11"/>
      <c r="N441" s="11"/>
      <c r="O441" s="38"/>
      <c r="P441" s="38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>
      <c r="A442" s="186" t="s">
        <v>197</v>
      </c>
      <c r="B442" s="1"/>
      <c r="C442" s="182"/>
      <c r="D442" s="182"/>
      <c r="E442" s="2"/>
      <c r="F442" s="2"/>
      <c r="G442" s="1"/>
      <c r="H442" s="1"/>
      <c r="I442" s="2"/>
      <c r="J442" s="1"/>
      <c r="K442" s="1"/>
      <c r="M442" s="11"/>
      <c r="N442" s="11"/>
      <c r="O442" s="38"/>
      <c r="P442" s="38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>
      <c r="A443" s="186" t="s">
        <v>225</v>
      </c>
      <c r="B443" s="1"/>
      <c r="C443" s="182">
        <v>0</v>
      </c>
      <c r="D443" s="182">
        <v>0</v>
      </c>
      <c r="E443" s="218">
        <f>E480</f>
        <v>225</v>
      </c>
      <c r="F443" s="186"/>
      <c r="G443" s="184">
        <f t="shared" ref="G443:H445" si="39">ROUND(E443*$C443,0)</f>
        <v>0</v>
      </c>
      <c r="H443" s="184">
        <f t="shared" si="39"/>
        <v>0</v>
      </c>
      <c r="I443" s="218">
        <f>'Blocking - detail'!I443</f>
        <v>225</v>
      </c>
      <c r="J443" s="186"/>
      <c r="K443" s="184">
        <f>ROUND(I443*$C443,0)</f>
        <v>0</v>
      </c>
      <c r="M443" s="11"/>
      <c r="N443" s="11"/>
      <c r="O443" s="38"/>
      <c r="P443" s="38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>
      <c r="A444" s="186" t="s">
        <v>226</v>
      </c>
      <c r="B444" s="1"/>
      <c r="C444" s="182">
        <v>0</v>
      </c>
      <c r="D444" s="182">
        <v>0</v>
      </c>
      <c r="E444" s="218">
        <f>E481</f>
        <v>83</v>
      </c>
      <c r="F444" s="186"/>
      <c r="G444" s="184">
        <f t="shared" si="39"/>
        <v>0</v>
      </c>
      <c r="H444" s="184">
        <f t="shared" si="39"/>
        <v>0</v>
      </c>
      <c r="I444" s="218">
        <f>'Blocking - detail'!I444</f>
        <v>83</v>
      </c>
      <c r="J444" s="186"/>
      <c r="K444" s="184">
        <f>ROUND(I444*$C444,0)</f>
        <v>0</v>
      </c>
      <c r="M444" s="11"/>
      <c r="N444" s="11"/>
      <c r="O444" s="38"/>
      <c r="P444" s="38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>
      <c r="A445" s="186" t="s">
        <v>227</v>
      </c>
      <c r="B445" s="1"/>
      <c r="C445" s="182">
        <v>0</v>
      </c>
      <c r="D445" s="182">
        <v>0</v>
      </c>
      <c r="E445" s="218">
        <f>E482</f>
        <v>166</v>
      </c>
      <c r="F445" s="188"/>
      <c r="G445" s="184">
        <f t="shared" si="39"/>
        <v>0</v>
      </c>
      <c r="H445" s="184">
        <f t="shared" si="39"/>
        <v>0</v>
      </c>
      <c r="I445" s="218">
        <f>'Blocking - detail'!I445</f>
        <v>166</v>
      </c>
      <c r="J445" s="188"/>
      <c r="K445" s="184">
        <f>ROUND(I445*$C445,0)</f>
        <v>0</v>
      </c>
      <c r="M445" s="11"/>
      <c r="N445" s="11"/>
      <c r="O445" s="38"/>
      <c r="P445" s="38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>
      <c r="A446" s="186" t="s">
        <v>198</v>
      </c>
      <c r="B446" s="1"/>
      <c r="C446" s="182">
        <f>SUM(C443:C445)</f>
        <v>0</v>
      </c>
      <c r="D446" s="182">
        <f>SUM(D443:D445)</f>
        <v>0</v>
      </c>
      <c r="E446" s="218"/>
      <c r="F446" s="186"/>
      <c r="G446" s="184"/>
      <c r="H446" s="184"/>
      <c r="I446" s="218"/>
      <c r="J446" s="186"/>
      <c r="K446" s="184"/>
      <c r="M446" s="11"/>
      <c r="N446" s="11"/>
      <c r="O446" s="38"/>
      <c r="P446" s="38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>
      <c r="A447" s="186" t="s">
        <v>226</v>
      </c>
      <c r="B447" s="1"/>
      <c r="C447" s="182">
        <v>0</v>
      </c>
      <c r="D447" s="182">
        <v>0</v>
      </c>
      <c r="E447" s="218">
        <f>E484</f>
        <v>1.47</v>
      </c>
      <c r="F447" s="186" t="s">
        <v>13</v>
      </c>
      <c r="G447" s="184">
        <f>ROUND(E447*$C447,0)</f>
        <v>0</v>
      </c>
      <c r="H447" s="184">
        <f>ROUND(F447*$C447,0)</f>
        <v>0</v>
      </c>
      <c r="I447" s="218">
        <f>'Blocking - detail'!I447</f>
        <v>1.47</v>
      </c>
      <c r="J447" s="186" t="s">
        <v>13</v>
      </c>
      <c r="K447" s="184">
        <f>ROUND(I447*$C447,0)</f>
        <v>0</v>
      </c>
      <c r="M447" s="11"/>
      <c r="N447" s="11"/>
      <c r="O447" s="38"/>
      <c r="P447" s="38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>
      <c r="A448" s="186" t="s">
        <v>227</v>
      </c>
      <c r="B448" s="1"/>
      <c r="C448" s="182">
        <v>0</v>
      </c>
      <c r="D448" s="182">
        <v>0</v>
      </c>
      <c r="E448" s="218">
        <f>E485</f>
        <v>1.2</v>
      </c>
      <c r="F448" s="186" t="s">
        <v>13</v>
      </c>
      <c r="G448" s="184">
        <f>ROUND(E448*$C448,0)</f>
        <v>0</v>
      </c>
      <c r="H448" s="184">
        <f>ROUND(F448*$C448,0)</f>
        <v>0</v>
      </c>
      <c r="I448" s="218">
        <f>'Blocking - detail'!I448</f>
        <v>1.2</v>
      </c>
      <c r="J448" s="186" t="s">
        <v>13</v>
      </c>
      <c r="K448" s="184">
        <f>ROUND(I448*$C448,0)</f>
        <v>0</v>
      </c>
      <c r="M448" s="11"/>
      <c r="N448" s="11"/>
      <c r="O448" s="38"/>
      <c r="P448" s="38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>
      <c r="A449" s="172" t="s">
        <v>228</v>
      </c>
      <c r="B449" s="1"/>
      <c r="C449" s="182"/>
      <c r="D449" s="182"/>
      <c r="E449" s="218"/>
      <c r="F449" s="186"/>
      <c r="G449" s="184"/>
      <c r="H449" s="184"/>
      <c r="I449" s="218"/>
      <c r="J449" s="186"/>
      <c r="K449" s="184"/>
      <c r="M449" s="11"/>
      <c r="N449" s="11"/>
      <c r="O449" s="38"/>
      <c r="P449" s="38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>
      <c r="A450" s="172" t="s">
        <v>229</v>
      </c>
      <c r="B450" s="1"/>
      <c r="C450" s="182">
        <v>0</v>
      </c>
      <c r="D450" s="182">
        <v>0</v>
      </c>
      <c r="E450" s="218">
        <f>E487</f>
        <v>3.75</v>
      </c>
      <c r="F450" s="186"/>
      <c r="G450" s="184">
        <f>ROUND(E450*$C450,0)</f>
        <v>0</v>
      </c>
      <c r="H450" s="184">
        <f>ROUND(F450*$C450,0)</f>
        <v>0</v>
      </c>
      <c r="I450" s="218">
        <f>'Blocking - detail'!I450</f>
        <v>3.75</v>
      </c>
      <c r="J450" s="186"/>
      <c r="K450" s="184">
        <f>ROUND(I450*$C450,0)</f>
        <v>0</v>
      </c>
      <c r="M450" s="11"/>
      <c r="N450" s="11"/>
      <c r="O450" s="38"/>
      <c r="P450" s="38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>
      <c r="A451" s="186" t="s">
        <v>230</v>
      </c>
      <c r="B451" s="1"/>
      <c r="C451" s="182"/>
      <c r="D451" s="182"/>
      <c r="E451" s="219"/>
      <c r="F451" s="184"/>
      <c r="G451" s="184"/>
      <c r="H451" s="184"/>
      <c r="I451" s="219"/>
      <c r="J451" s="184"/>
      <c r="K451" s="184"/>
      <c r="M451" s="11"/>
      <c r="N451" s="11"/>
      <c r="O451" s="38"/>
      <c r="P451" s="38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>
      <c r="A452" s="186" t="s">
        <v>231</v>
      </c>
      <c r="B452" s="1"/>
      <c r="C452" s="182">
        <v>0</v>
      </c>
      <c r="D452" s="182">
        <v>0</v>
      </c>
      <c r="E452" s="198">
        <f>E490</f>
        <v>4.3570000000000002</v>
      </c>
      <c r="F452" s="184" t="s">
        <v>178</v>
      </c>
      <c r="G452" s="184">
        <f>ROUND($C452*E452/100,0)</f>
        <v>0</v>
      </c>
      <c r="H452" s="184">
        <f>ROUND($C452*F452/100,0)</f>
        <v>0</v>
      </c>
      <c r="I452" s="198">
        <f>'Blocking - detail'!I452</f>
        <v>4.3570000000000002</v>
      </c>
      <c r="J452" s="184" t="s">
        <v>178</v>
      </c>
      <c r="K452" s="184">
        <f>ROUND($C452*I452/100,0)</f>
        <v>0</v>
      </c>
      <c r="M452" s="11"/>
      <c r="N452" s="11"/>
      <c r="O452" s="38"/>
      <c r="P452" s="38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>
      <c r="A453" s="186" t="s">
        <v>203</v>
      </c>
      <c r="B453" s="1"/>
      <c r="C453" s="182">
        <v>0</v>
      </c>
      <c r="D453" s="182">
        <v>0</v>
      </c>
      <c r="E453" s="198">
        <f>E491</f>
        <v>3.9930000000000003</v>
      </c>
      <c r="F453" s="184" t="s">
        <v>178</v>
      </c>
      <c r="G453" s="184">
        <f>ROUND($C453*E453/100,0)</f>
        <v>0</v>
      </c>
      <c r="H453" s="184">
        <f>ROUND($C453*F453/100,0)</f>
        <v>0</v>
      </c>
      <c r="I453" s="198">
        <f>'Blocking - detail'!I453</f>
        <v>3.9930000000000003</v>
      </c>
      <c r="J453" s="184" t="s">
        <v>178</v>
      </c>
      <c r="K453" s="184">
        <f>ROUND($C453*I453/100,0)</f>
        <v>0</v>
      </c>
      <c r="M453" s="11"/>
      <c r="N453" s="11"/>
      <c r="O453" s="38"/>
      <c r="P453" s="38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>
      <c r="A454" s="186" t="s">
        <v>204</v>
      </c>
      <c r="B454" s="1"/>
      <c r="C454" s="182">
        <v>0</v>
      </c>
      <c r="D454" s="182">
        <v>0</v>
      </c>
      <c r="E454" s="225">
        <f>'Blocking - detail'!E454</f>
        <v>45</v>
      </c>
      <c r="F454" s="184" t="s">
        <v>178</v>
      </c>
      <c r="G454" s="184">
        <f>ROUND(E454*$C454/100,0)</f>
        <v>0</v>
      </c>
      <c r="H454" s="184">
        <f>ROUND(F454*$C454/100,0)</f>
        <v>0</v>
      </c>
      <c r="I454" s="225">
        <f>'Blocking - detail'!I454</f>
        <v>45</v>
      </c>
      <c r="J454" s="184" t="s">
        <v>178</v>
      </c>
      <c r="K454" s="184">
        <f>ROUND(I454*$C454,0)</f>
        <v>0</v>
      </c>
      <c r="M454" s="11"/>
      <c r="N454" s="11"/>
      <c r="O454" s="38"/>
      <c r="P454" s="38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>
      <c r="A455" s="186" t="s">
        <v>232</v>
      </c>
      <c r="B455" s="1"/>
      <c r="C455" s="182">
        <v>0</v>
      </c>
      <c r="D455" s="182">
        <v>0</v>
      </c>
      <c r="E455" s="222">
        <f>'Blocking - detail'!E455</f>
        <v>0.06</v>
      </c>
      <c r="F455" s="184"/>
      <c r="G455" s="184">
        <f>ROUND($C455*E455/100,0)</f>
        <v>0</v>
      </c>
      <c r="H455" s="184">
        <f>ROUND($C455*F455/100,0)</f>
        <v>0</v>
      </c>
      <c r="I455" s="222">
        <f>'Blocking - detail'!I455</f>
        <v>0.06</v>
      </c>
      <c r="J455" s="184"/>
      <c r="K455" s="184">
        <f>ROUND($C455*I455/100,0)</f>
        <v>0</v>
      </c>
      <c r="M455" s="11"/>
      <c r="N455" s="11"/>
      <c r="O455" s="38"/>
      <c r="P455" s="38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>
      <c r="A456" s="223" t="s">
        <v>205</v>
      </c>
      <c r="B456" s="1" t="s">
        <v>13</v>
      </c>
      <c r="C456" s="182"/>
      <c r="D456" s="182"/>
      <c r="E456" s="195">
        <v>-0.01</v>
      </c>
      <c r="F456" s="224"/>
      <c r="G456" s="224"/>
      <c r="H456" s="224"/>
      <c r="I456" s="195">
        <v>-0.01</v>
      </c>
      <c r="J456" s="224"/>
      <c r="K456" s="2"/>
      <c r="M456" s="11"/>
      <c r="N456" s="11"/>
      <c r="O456" s="38"/>
      <c r="P456" s="38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>
      <c r="A457" s="186" t="s">
        <v>225</v>
      </c>
      <c r="B457" s="1"/>
      <c r="C457" s="182">
        <v>0</v>
      </c>
      <c r="D457" s="182">
        <v>0</v>
      </c>
      <c r="E457" s="218">
        <f t="shared" ref="E457:E462" si="40">E494</f>
        <v>225</v>
      </c>
      <c r="F457" s="186"/>
      <c r="G457" s="184">
        <f t="shared" ref="G457:H462" si="41">ROUND(E457*$C457*$E$456,0)</f>
        <v>0</v>
      </c>
      <c r="H457" s="184">
        <f t="shared" si="41"/>
        <v>0</v>
      </c>
      <c r="I457" s="218">
        <f>'Blocking - detail'!I457</f>
        <v>225</v>
      </c>
      <c r="J457" s="186"/>
      <c r="K457" s="184">
        <f t="shared" ref="K457:K462" si="42">ROUND(I457*$C457*$E$456,0)</f>
        <v>0</v>
      </c>
      <c r="M457" s="11"/>
      <c r="N457" s="11"/>
      <c r="O457" s="38"/>
      <c r="P457" s="38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>
      <c r="A458" s="186" t="s">
        <v>226</v>
      </c>
      <c r="B458" s="1"/>
      <c r="C458" s="182">
        <v>0</v>
      </c>
      <c r="D458" s="182">
        <v>0</v>
      </c>
      <c r="E458" s="218">
        <f t="shared" si="40"/>
        <v>83</v>
      </c>
      <c r="F458" s="186"/>
      <c r="G458" s="184">
        <f t="shared" si="41"/>
        <v>0</v>
      </c>
      <c r="H458" s="184">
        <f t="shared" si="41"/>
        <v>0</v>
      </c>
      <c r="I458" s="218">
        <f>'Blocking - detail'!I458</f>
        <v>83</v>
      </c>
      <c r="J458" s="186"/>
      <c r="K458" s="184">
        <f t="shared" si="42"/>
        <v>0</v>
      </c>
      <c r="M458" s="11"/>
      <c r="N458" s="11"/>
      <c r="O458" s="38"/>
      <c r="P458" s="38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>
      <c r="A459" s="186" t="s">
        <v>227</v>
      </c>
      <c r="B459" s="1"/>
      <c r="C459" s="182">
        <v>0</v>
      </c>
      <c r="D459" s="182">
        <v>0</v>
      </c>
      <c r="E459" s="218">
        <f t="shared" si="40"/>
        <v>166</v>
      </c>
      <c r="F459" s="188"/>
      <c r="G459" s="184">
        <f t="shared" si="41"/>
        <v>0</v>
      </c>
      <c r="H459" s="184">
        <f t="shared" si="41"/>
        <v>0</v>
      </c>
      <c r="I459" s="218">
        <f>'Blocking - detail'!I459</f>
        <v>166</v>
      </c>
      <c r="J459" s="188"/>
      <c r="K459" s="184">
        <f t="shared" si="42"/>
        <v>0</v>
      </c>
      <c r="M459" s="11"/>
      <c r="N459" s="11"/>
      <c r="O459" s="38"/>
      <c r="P459" s="38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>
      <c r="A460" s="186" t="s">
        <v>226</v>
      </c>
      <c r="B460" s="1"/>
      <c r="C460" s="182">
        <v>0</v>
      </c>
      <c r="D460" s="182">
        <v>0</v>
      </c>
      <c r="E460" s="218">
        <f t="shared" si="40"/>
        <v>1.47</v>
      </c>
      <c r="F460" s="186" t="s">
        <v>13</v>
      </c>
      <c r="G460" s="184">
        <f t="shared" si="41"/>
        <v>0</v>
      </c>
      <c r="H460" s="184">
        <f t="shared" si="41"/>
        <v>0</v>
      </c>
      <c r="I460" s="218">
        <f>'Blocking - detail'!I460</f>
        <v>1.47</v>
      </c>
      <c r="J460" s="186" t="s">
        <v>13</v>
      </c>
      <c r="K460" s="184">
        <f t="shared" si="42"/>
        <v>0</v>
      </c>
      <c r="M460" s="11"/>
      <c r="N460" s="11"/>
      <c r="O460" s="38"/>
      <c r="P460" s="38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>
      <c r="A461" s="186" t="s">
        <v>227</v>
      </c>
      <c r="B461" s="1"/>
      <c r="C461" s="182">
        <v>0</v>
      </c>
      <c r="D461" s="182">
        <v>0</v>
      </c>
      <c r="E461" s="218">
        <f t="shared" si="40"/>
        <v>1.2</v>
      </c>
      <c r="F461" s="186" t="s">
        <v>13</v>
      </c>
      <c r="G461" s="184">
        <f t="shared" si="41"/>
        <v>0</v>
      </c>
      <c r="H461" s="184">
        <f t="shared" si="41"/>
        <v>0</v>
      </c>
      <c r="I461" s="218">
        <f>'Blocking - detail'!I461</f>
        <v>1.2</v>
      </c>
      <c r="J461" s="186" t="s">
        <v>13</v>
      </c>
      <c r="K461" s="184">
        <f t="shared" si="42"/>
        <v>0</v>
      </c>
      <c r="M461" s="11"/>
      <c r="N461" s="11"/>
      <c r="O461" s="38"/>
      <c r="P461" s="38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>
      <c r="A462" s="172" t="s">
        <v>229</v>
      </c>
      <c r="B462" s="1"/>
      <c r="C462" s="182">
        <v>0</v>
      </c>
      <c r="D462" s="182">
        <v>0</v>
      </c>
      <c r="E462" s="218">
        <f t="shared" si="40"/>
        <v>3.75</v>
      </c>
      <c r="F462" s="186"/>
      <c r="G462" s="184">
        <f t="shared" si="41"/>
        <v>0</v>
      </c>
      <c r="H462" s="184">
        <f t="shared" si="41"/>
        <v>0</v>
      </c>
      <c r="I462" s="218">
        <f>'Blocking - detail'!I462</f>
        <v>3.75</v>
      </c>
      <c r="J462" s="186"/>
      <c r="K462" s="184">
        <f t="shared" si="42"/>
        <v>0</v>
      </c>
      <c r="M462" s="11"/>
      <c r="N462" s="11"/>
      <c r="O462" s="38"/>
      <c r="P462" s="38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>
      <c r="A463" s="186" t="s">
        <v>231</v>
      </c>
      <c r="B463" s="1"/>
      <c r="C463" s="182">
        <v>0</v>
      </c>
      <c r="D463" s="182">
        <v>0</v>
      </c>
      <c r="E463" s="198">
        <f>E501</f>
        <v>4.3570000000000002</v>
      </c>
      <c r="F463" s="184" t="s">
        <v>178</v>
      </c>
      <c r="G463" s="184">
        <f>ROUND(E463/100*$C463*E456,0)</f>
        <v>0</v>
      </c>
      <c r="H463" s="184">
        <f>ROUND(F463/100*$C463*F456,0)</f>
        <v>0</v>
      </c>
      <c r="I463" s="198">
        <f>'Blocking - detail'!I463</f>
        <v>4.3570000000000002</v>
      </c>
      <c r="J463" s="184" t="s">
        <v>178</v>
      </c>
      <c r="K463" s="184">
        <f>ROUND(I463/100*$C463*E456,0)</f>
        <v>0</v>
      </c>
      <c r="M463" s="11"/>
      <c r="N463" s="11"/>
      <c r="O463" s="38"/>
      <c r="P463" s="38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>
      <c r="A464" s="186" t="s">
        <v>203</v>
      </c>
      <c r="B464" s="1"/>
      <c r="C464" s="182">
        <v>0</v>
      </c>
      <c r="D464" s="182">
        <v>0</v>
      </c>
      <c r="E464" s="198">
        <f>E502</f>
        <v>3.9930000000000003</v>
      </c>
      <c r="F464" s="184" t="s">
        <v>178</v>
      </c>
      <c r="G464" s="184">
        <f>ROUND(E464/100*$C464*E456,0)</f>
        <v>0</v>
      </c>
      <c r="H464" s="184">
        <f>ROUND(F464/100*$C464*F456,0)</f>
        <v>0</v>
      </c>
      <c r="I464" s="198">
        <f>'Blocking - detail'!I464</f>
        <v>3.9930000000000003</v>
      </c>
      <c r="J464" s="184" t="s">
        <v>178</v>
      </c>
      <c r="K464" s="184">
        <f>ROUND(I464/100*$C464*E456,0)</f>
        <v>0</v>
      </c>
      <c r="M464" s="11"/>
      <c r="N464" s="11"/>
      <c r="O464" s="38"/>
      <c r="P464" s="38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>
      <c r="A465" s="172" t="s">
        <v>233</v>
      </c>
      <c r="B465" s="1"/>
      <c r="C465" s="182">
        <v>0</v>
      </c>
      <c r="D465" s="182">
        <v>0</v>
      </c>
      <c r="E465" s="225">
        <f>E503</f>
        <v>45</v>
      </c>
      <c r="F465" s="184" t="s">
        <v>178</v>
      </c>
      <c r="G465" s="184">
        <f>ROUND(E465*$C465*$E$456,0)</f>
        <v>0</v>
      </c>
      <c r="H465" s="184">
        <f>ROUND(F465*$C465*$E$456,0)</f>
        <v>0</v>
      </c>
      <c r="I465" s="225">
        <f>'Blocking - detail'!I465</f>
        <v>45</v>
      </c>
      <c r="J465" s="184" t="s">
        <v>178</v>
      </c>
      <c r="K465" s="184">
        <f>ROUND(I465*$C465*$E$456,0)</f>
        <v>0</v>
      </c>
      <c r="M465" s="11"/>
      <c r="N465" s="11"/>
      <c r="O465" s="38"/>
      <c r="P465" s="38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>
      <c r="A466" s="172" t="s">
        <v>234</v>
      </c>
      <c r="B466" s="1"/>
      <c r="C466" s="182">
        <v>0</v>
      </c>
      <c r="D466" s="182">
        <v>0</v>
      </c>
      <c r="E466" s="337">
        <f>'Blocking - detail'!E466</f>
        <v>0.06</v>
      </c>
      <c r="F466" s="184" t="s">
        <v>178</v>
      </c>
      <c r="G466" s="184">
        <f>ROUND(E466/100*$C466*E456,0)</f>
        <v>0</v>
      </c>
      <c r="H466" s="184">
        <f>ROUND(F466/100*$C466*F456,0)</f>
        <v>0</v>
      </c>
      <c r="I466" s="337">
        <f>'Blocking - detail'!I466</f>
        <v>0.06</v>
      </c>
      <c r="J466" s="184" t="s">
        <v>178</v>
      </c>
      <c r="K466" s="184">
        <f>ROUND(I466/100*$C466*I456,0)</f>
        <v>0</v>
      </c>
      <c r="M466" s="11"/>
      <c r="N466" s="11"/>
      <c r="O466" s="38"/>
      <c r="P466" s="38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>
      <c r="A467" s="186" t="s">
        <v>235</v>
      </c>
      <c r="B467" s="1"/>
      <c r="C467" s="182">
        <v>0</v>
      </c>
      <c r="D467" s="182">
        <v>0</v>
      </c>
      <c r="E467" s="226">
        <v>60</v>
      </c>
      <c r="F467" s="224" t="s">
        <v>13</v>
      </c>
      <c r="G467" s="184">
        <f>ROUND(E467*$C467,0)</f>
        <v>0</v>
      </c>
      <c r="H467" s="184">
        <f>ROUND(F467*$C467,0)</f>
        <v>0</v>
      </c>
      <c r="I467" s="226">
        <v>60</v>
      </c>
      <c r="J467" s="227" t="s">
        <v>13</v>
      </c>
      <c r="K467" s="184">
        <f>ROUND(I467*$C467,0)</f>
        <v>0</v>
      </c>
      <c r="M467" s="11"/>
      <c r="N467" s="11"/>
      <c r="O467" s="38"/>
      <c r="P467" s="38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>
      <c r="A468" s="186" t="s">
        <v>236</v>
      </c>
      <c r="B468" s="1"/>
      <c r="C468" s="182">
        <v>0</v>
      </c>
      <c r="D468" s="182">
        <v>0</v>
      </c>
      <c r="E468" s="199">
        <v>-30</v>
      </c>
      <c r="F468" s="184" t="s">
        <v>178</v>
      </c>
      <c r="G468" s="184">
        <f>ROUND(E468*$C468*$E$456,0)</f>
        <v>0</v>
      </c>
      <c r="H468" s="184">
        <f>ROUND(F468*$C468*$E$456,0)</f>
        <v>0</v>
      </c>
      <c r="I468" s="199">
        <v>-30</v>
      </c>
      <c r="J468" s="184" t="s">
        <v>178</v>
      </c>
      <c r="K468" s="184">
        <f>ROUND(I468*$C468*$E$456,0)</f>
        <v>0</v>
      </c>
      <c r="M468" s="11"/>
      <c r="N468" s="11"/>
      <c r="O468" s="38"/>
      <c r="P468" s="38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>
      <c r="A469" s="172" t="s">
        <v>237</v>
      </c>
      <c r="B469" s="1"/>
      <c r="C469" s="182">
        <v>0</v>
      </c>
      <c r="D469" s="182">
        <v>0</v>
      </c>
      <c r="E469" s="197">
        <f>E450/2</f>
        <v>1.875</v>
      </c>
      <c r="F469" s="184"/>
      <c r="G469" s="184"/>
      <c r="H469" s="184"/>
      <c r="I469" s="218">
        <f>'Blocking - detail'!I469</f>
        <v>1.875</v>
      </c>
      <c r="J469" s="184"/>
      <c r="K469" s="184">
        <f>ROUND($C469*I469,0)</f>
        <v>0</v>
      </c>
      <c r="M469" s="11"/>
      <c r="N469" s="11"/>
      <c r="O469" s="38"/>
      <c r="P469" s="38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>
      <c r="A470" s="172" t="s">
        <v>238</v>
      </c>
      <c r="B470" s="1"/>
      <c r="C470" s="182">
        <v>0</v>
      </c>
      <c r="D470" s="182">
        <v>0</v>
      </c>
      <c r="E470" s="197">
        <f>E450*4</f>
        <v>15</v>
      </c>
      <c r="F470" s="184"/>
      <c r="G470" s="184"/>
      <c r="H470" s="184"/>
      <c r="I470" s="218">
        <f>'Blocking - detail'!I470</f>
        <v>15</v>
      </c>
      <c r="J470" s="184"/>
      <c r="K470" s="184">
        <f>ROUND($C470*I470,0)</f>
        <v>0</v>
      </c>
      <c r="M470" s="11"/>
      <c r="N470" s="11"/>
      <c r="O470" s="38"/>
      <c r="P470" s="38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>
      <c r="A471" s="3" t="s">
        <v>239</v>
      </c>
      <c r="B471" s="166"/>
      <c r="C471" s="182">
        <v>0</v>
      </c>
      <c r="D471" s="182">
        <v>0</v>
      </c>
      <c r="E471" s="198">
        <f>E453*4</f>
        <v>15.972000000000001</v>
      </c>
      <c r="F471" s="184" t="s">
        <v>178</v>
      </c>
      <c r="G471" s="184">
        <f>ROUND($C471*E471/100,0)</f>
        <v>0</v>
      </c>
      <c r="H471" s="184">
        <f>ROUND($C471*F471/100,0)</f>
        <v>0</v>
      </c>
      <c r="I471" s="198">
        <f>'Blocking - detail'!I471</f>
        <v>15.972000000000001</v>
      </c>
      <c r="J471" s="184" t="s">
        <v>178</v>
      </c>
      <c r="K471" s="184">
        <f>ROUND($C471*I471/100,0)</f>
        <v>0</v>
      </c>
      <c r="M471" s="11"/>
      <c r="N471" s="11"/>
      <c r="O471" s="38"/>
      <c r="P471" s="38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>
      <c r="A472" s="1" t="s">
        <v>185</v>
      </c>
      <c r="B472" s="1"/>
      <c r="C472" s="182">
        <f>SUM(C452:C453)</f>
        <v>0</v>
      </c>
      <c r="D472" s="182">
        <f>SUM(D452:D453)</f>
        <v>0</v>
      </c>
      <c r="E472" s="193"/>
      <c r="F472" s="2"/>
      <c r="G472" s="2">
        <f>SUM(G443:G471)</f>
        <v>0</v>
      </c>
      <c r="H472" s="2">
        <f>SUM(H443:H471)</f>
        <v>0</v>
      </c>
      <c r="I472" s="193"/>
      <c r="J472" s="186"/>
      <c r="K472" s="2">
        <f>SUM(K443:K471)</f>
        <v>0</v>
      </c>
      <c r="M472" s="11"/>
      <c r="N472" s="11"/>
      <c r="O472" s="38"/>
      <c r="P472" s="38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>
      <c r="A473" s="1" t="s">
        <v>167</v>
      </c>
      <c r="B473" s="1"/>
      <c r="C473" s="212">
        <v>0</v>
      </c>
      <c r="D473" s="212">
        <v>0</v>
      </c>
      <c r="E473" s="172"/>
      <c r="F473" s="172"/>
      <c r="G473" s="173">
        <v>0</v>
      </c>
      <c r="H473" s="173">
        <v>0</v>
      </c>
      <c r="I473" s="172"/>
      <c r="J473" s="172"/>
      <c r="K473" s="173">
        <v>0</v>
      </c>
      <c r="M473" s="307"/>
      <c r="N473" s="307"/>
      <c r="O473" s="150"/>
      <c r="P473" s="38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6.5" thickBot="1">
      <c r="A474" s="1" t="s">
        <v>186</v>
      </c>
      <c r="B474" s="1"/>
      <c r="C474" s="229">
        <f>SUM(C472:C473)</f>
        <v>0</v>
      </c>
      <c r="D474" s="229">
        <f>SUM(D472:D473)</f>
        <v>0</v>
      </c>
      <c r="E474" s="205"/>
      <c r="F474" s="206"/>
      <c r="G474" s="207">
        <f>SUM(G472:G473)</f>
        <v>0</v>
      </c>
      <c r="H474" s="207">
        <f>SUM(H472:H473)</f>
        <v>0</v>
      </c>
      <c r="I474" s="205"/>
      <c r="J474" s="208"/>
      <c r="K474" s="207">
        <f>SUM(K472:K473)</f>
        <v>0</v>
      </c>
      <c r="M474" s="274"/>
      <c r="N474" s="274"/>
      <c r="O474" s="333"/>
      <c r="P474" s="38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6.5" thickTop="1">
      <c r="A475" s="1"/>
      <c r="B475" s="230"/>
      <c r="C475" s="12"/>
      <c r="D475" s="12"/>
      <c r="E475" s="200"/>
      <c r="F475" s="2"/>
      <c r="G475" s="2"/>
      <c r="H475" s="2"/>
      <c r="I475" s="200"/>
      <c r="J475" s="1"/>
      <c r="K475" s="2"/>
      <c r="M475" s="11"/>
      <c r="N475" s="11"/>
      <c r="O475" s="38"/>
      <c r="P475" s="38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>
      <c r="A476" s="156" t="s">
        <v>240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  <c r="M476" s="11"/>
      <c r="N476" s="11"/>
      <c r="O476" s="38"/>
      <c r="P476" s="38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>
      <c r="A477" s="172" t="s">
        <v>241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11"/>
      <c r="N477" s="11"/>
      <c r="O477" s="38"/>
      <c r="P477" s="38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>
      <c r="A478" s="186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11"/>
      <c r="N478" s="11"/>
      <c r="P478" s="38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>
      <c r="A479" s="186" t="s">
        <v>197</v>
      </c>
      <c r="B479" s="1"/>
      <c r="C479" s="182"/>
      <c r="D479" s="182"/>
      <c r="E479" s="2"/>
      <c r="F479" s="2"/>
      <c r="G479" s="1"/>
      <c r="H479" s="1"/>
      <c r="I479" s="2"/>
      <c r="J479" s="1"/>
      <c r="K479" s="1"/>
      <c r="M479" s="11"/>
      <c r="N479" s="11"/>
      <c r="O479" s="38"/>
      <c r="P479" s="38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>
      <c r="A480" s="186" t="s">
        <v>225</v>
      </c>
      <c r="B480" s="1"/>
      <c r="C480" s="182">
        <f t="shared" ref="C480:D482" si="43">C514+C548</f>
        <v>342</v>
      </c>
      <c r="D480" s="182">
        <f t="shared" si="43"/>
        <v>345</v>
      </c>
      <c r="E480" s="161">
        <v>225</v>
      </c>
      <c r="F480" s="186"/>
      <c r="G480" s="184">
        <f t="shared" ref="G480:H482" si="44">G514+G548</f>
        <v>76950</v>
      </c>
      <c r="H480" s="184">
        <f t="shared" si="44"/>
        <v>77625</v>
      </c>
      <c r="I480" s="161">
        <v>245</v>
      </c>
      <c r="J480" s="186"/>
      <c r="K480" s="184">
        <f>K514+K548</f>
        <v>83790</v>
      </c>
      <c r="M480" s="42">
        <f>I480*D480</f>
        <v>84525</v>
      </c>
      <c r="O480" s="8">
        <f>(I480-E480)/E480</f>
        <v>8.8888888888888892E-2</v>
      </c>
      <c r="P480" s="101" t="e">
        <f>SUM(K480:K485)/SUM(H480:H485)-1</f>
        <v>#REF!</v>
      </c>
      <c r="T480" s="3" t="s">
        <v>175</v>
      </c>
      <c r="U480" s="3" t="s">
        <v>120</v>
      </c>
      <c r="V480" s="3" t="s">
        <v>176</v>
      </c>
      <c r="W480" s="3" t="s">
        <v>126</v>
      </c>
      <c r="X480" s="11"/>
      <c r="Y480" s="11"/>
      <c r="Z480" s="11"/>
      <c r="AA480" s="11"/>
      <c r="AB480" s="11"/>
      <c r="AC480" s="11"/>
    </row>
    <row r="481" spans="1:29">
      <c r="A481" s="186" t="s">
        <v>226</v>
      </c>
      <c r="B481" s="1"/>
      <c r="C481" s="182">
        <f t="shared" si="43"/>
        <v>8833</v>
      </c>
      <c r="D481" s="182">
        <f t="shared" si="43"/>
        <v>8896</v>
      </c>
      <c r="E481" s="161">
        <v>83</v>
      </c>
      <c r="F481" s="186"/>
      <c r="G481" s="184">
        <f t="shared" si="44"/>
        <v>733139</v>
      </c>
      <c r="H481" s="184">
        <f t="shared" si="44"/>
        <v>738368</v>
      </c>
      <c r="I481" s="161">
        <v>90</v>
      </c>
      <c r="J481" s="186"/>
      <c r="K481" s="184">
        <f>K515+K549</f>
        <v>794970</v>
      </c>
      <c r="M481" s="42">
        <f>I481*D481</f>
        <v>800640</v>
      </c>
      <c r="O481" s="8">
        <f>(I481-E481)/E481</f>
        <v>8.4337349397590355E-2</v>
      </c>
      <c r="S481" s="3" t="s">
        <v>246</v>
      </c>
      <c r="T481" s="42" t="e">
        <f>SUM(H480:H485)</f>
        <v>#REF!</v>
      </c>
      <c r="U481" s="42">
        <f>SUM(K480:K485)</f>
        <v>6247027</v>
      </c>
      <c r="V481" s="49">
        <v>6297781.880353801</v>
      </c>
      <c r="W481" s="101">
        <f>U481/V481</f>
        <v>0.99194083229332963</v>
      </c>
      <c r="X481" s="11"/>
      <c r="Y481" s="11"/>
      <c r="Z481" s="11"/>
      <c r="AA481" s="11"/>
      <c r="AB481" s="11"/>
      <c r="AC481" s="11"/>
    </row>
    <row r="482" spans="1:29">
      <c r="A482" s="186" t="s">
        <v>227</v>
      </c>
      <c r="B482" s="1"/>
      <c r="C482" s="182">
        <f t="shared" si="43"/>
        <v>3531</v>
      </c>
      <c r="D482" s="182">
        <f t="shared" si="43"/>
        <v>3549</v>
      </c>
      <c r="E482" s="161">
        <v>166</v>
      </c>
      <c r="F482" s="188"/>
      <c r="G482" s="184">
        <f t="shared" si="44"/>
        <v>586146</v>
      </c>
      <c r="H482" s="184">
        <f t="shared" si="44"/>
        <v>589134</v>
      </c>
      <c r="I482" s="161">
        <v>180</v>
      </c>
      <c r="J482" s="188"/>
      <c r="K482" s="184">
        <f>K516+K550</f>
        <v>635580</v>
      </c>
      <c r="M482" s="42">
        <f>I482*D482</f>
        <v>638820</v>
      </c>
      <c r="O482" s="8">
        <f>(I482-E482)/E482</f>
        <v>8.4337349397590355E-2</v>
      </c>
      <c r="S482" s="3" t="s">
        <v>180</v>
      </c>
      <c r="T482" s="42" t="e">
        <f>SUM(H490:H491)</f>
        <v>#REF!</v>
      </c>
      <c r="U482" s="42" t="e">
        <f>SUM(K490:K491)</f>
        <v>#REF!</v>
      </c>
      <c r="V482" s="49">
        <v>43870359.484416999</v>
      </c>
      <c r="W482" s="101" t="e">
        <f>U482/V482</f>
        <v>#REF!</v>
      </c>
      <c r="X482" s="11"/>
      <c r="Y482" s="11"/>
      <c r="Z482" s="11"/>
      <c r="AA482" s="11"/>
      <c r="AB482" s="11"/>
      <c r="AC482" s="11"/>
    </row>
    <row r="483" spans="1:29">
      <c r="A483" s="186" t="s">
        <v>198</v>
      </c>
      <c r="B483" s="1"/>
      <c r="C483" s="182">
        <f>SUM(C480:C482)</f>
        <v>12706</v>
      </c>
      <c r="D483" s="182">
        <f>SUM(D480:D482)</f>
        <v>12790</v>
      </c>
      <c r="E483" s="161"/>
      <c r="F483" s="186"/>
      <c r="G483" s="184"/>
      <c r="H483" s="184"/>
      <c r="I483" s="161"/>
      <c r="J483" s="186"/>
      <c r="K483" s="184"/>
      <c r="S483" s="3" t="s">
        <v>210</v>
      </c>
      <c r="T483" s="42" t="e">
        <f>SUM(H487:H488)</f>
        <v>#REF!</v>
      </c>
      <c r="U483" s="42">
        <f>SUM(K487:K488)</f>
        <v>9987587</v>
      </c>
      <c r="V483" s="49">
        <v>6509411.4532006206</v>
      </c>
      <c r="W483" s="101">
        <f>U483/V483</f>
        <v>1.5343302650025588</v>
      </c>
      <c r="X483" s="11"/>
      <c r="Y483" s="11"/>
      <c r="Z483" s="11"/>
      <c r="AA483" s="11"/>
      <c r="AB483" s="11"/>
      <c r="AC483" s="11"/>
    </row>
    <row r="484" spans="1:29">
      <c r="A484" s="186" t="s">
        <v>226</v>
      </c>
      <c r="B484" s="1"/>
      <c r="C484" s="182">
        <f>C518+C552</f>
        <v>1522475</v>
      </c>
      <c r="D484" s="182" t="e">
        <f>D518+D552</f>
        <v>#REF!</v>
      </c>
      <c r="E484" s="161">
        <v>1.47</v>
      </c>
      <c r="F484" s="186" t="s">
        <v>13</v>
      </c>
      <c r="G484" s="184">
        <f>G518+G552</f>
        <v>2238038</v>
      </c>
      <c r="H484" s="184" t="e">
        <f>H518+H552</f>
        <v>#REF!</v>
      </c>
      <c r="I484" s="161">
        <v>1.6</v>
      </c>
      <c r="J484" s="186" t="s">
        <v>13</v>
      </c>
      <c r="K484" s="184">
        <f>K518+K552</f>
        <v>2435960</v>
      </c>
      <c r="M484" s="42" t="e">
        <f>I484*D484</f>
        <v>#REF!</v>
      </c>
      <c r="O484" s="8">
        <f>(I484-E484)/E484</f>
        <v>8.8435374149659948E-2</v>
      </c>
      <c r="W484" s="11"/>
      <c r="X484" s="11"/>
      <c r="Y484" s="11"/>
      <c r="Z484" s="11"/>
      <c r="AA484" s="11"/>
      <c r="AB484" s="11"/>
      <c r="AC484" s="11"/>
    </row>
    <row r="485" spans="1:29">
      <c r="A485" s="186" t="s">
        <v>227</v>
      </c>
      <c r="B485" s="1"/>
      <c r="C485" s="182">
        <f>C519+C553</f>
        <v>1766713</v>
      </c>
      <c r="D485" s="182" t="e">
        <f>D519+D553</f>
        <v>#REF!</v>
      </c>
      <c r="E485" s="161">
        <v>1.2</v>
      </c>
      <c r="F485" s="186" t="s">
        <v>13</v>
      </c>
      <c r="G485" s="184">
        <f>G519+G553</f>
        <v>2120056</v>
      </c>
      <c r="H485" s="184" t="e">
        <f>H519+H553</f>
        <v>#REF!</v>
      </c>
      <c r="I485" s="161">
        <v>1.3</v>
      </c>
      <c r="J485" s="186" t="s">
        <v>13</v>
      </c>
      <c r="K485" s="184">
        <f>K519+K553</f>
        <v>2296727</v>
      </c>
      <c r="M485" s="42" t="e">
        <f>I485*D485</f>
        <v>#REF!</v>
      </c>
      <c r="O485" s="8">
        <f>(I485-E485)/E485</f>
        <v>8.3333333333333412E-2</v>
      </c>
      <c r="W485" s="11"/>
      <c r="X485" s="11"/>
      <c r="Y485" s="11"/>
      <c r="Z485" s="11"/>
      <c r="AA485" s="11"/>
      <c r="AB485" s="11"/>
      <c r="AC485" s="11"/>
    </row>
    <row r="486" spans="1:29">
      <c r="A486" s="172" t="s">
        <v>228</v>
      </c>
      <c r="B486" s="1"/>
      <c r="C486" s="182"/>
      <c r="D486" s="182"/>
      <c r="E486" s="218"/>
      <c r="F486" s="186"/>
      <c r="G486" s="184"/>
      <c r="H486" s="184"/>
      <c r="I486" s="218"/>
      <c r="J486" s="186"/>
      <c r="K486" s="184"/>
      <c r="W486" s="11"/>
      <c r="X486" s="11"/>
      <c r="Y486" s="11"/>
      <c r="Z486" s="11"/>
      <c r="AA486" s="11"/>
      <c r="AB486" s="11"/>
      <c r="AC486" s="11"/>
    </row>
    <row r="487" spans="1:29">
      <c r="A487" s="172" t="s">
        <v>229</v>
      </c>
      <c r="B487" s="1"/>
      <c r="C487" s="182">
        <f>C521+C555</f>
        <v>2528503</v>
      </c>
      <c r="D487" s="182" t="e">
        <f>D521+D555</f>
        <v>#REF!</v>
      </c>
      <c r="E487" s="161">
        <v>3.75</v>
      </c>
      <c r="F487" s="186"/>
      <c r="G487" s="184">
        <f>G521+G555</f>
        <v>9481886</v>
      </c>
      <c r="H487" s="184" t="e">
        <f>H521+H555</f>
        <v>#REF!</v>
      </c>
      <c r="I487" s="161">
        <v>3.95</v>
      </c>
      <c r="J487" s="186"/>
      <c r="K487" s="184">
        <f>K521+K555</f>
        <v>9987587</v>
      </c>
      <c r="M487" s="42" t="e">
        <f>I487*D487</f>
        <v>#REF!</v>
      </c>
      <c r="O487" s="8">
        <f>(I487-E487)/E487</f>
        <v>5.3333333333333378E-2</v>
      </c>
      <c r="W487" s="11"/>
      <c r="X487" s="11"/>
      <c r="Y487" s="11"/>
      <c r="Z487" s="11"/>
      <c r="AA487" s="11"/>
      <c r="AB487" s="11"/>
      <c r="AC487" s="11"/>
    </row>
    <row r="488" spans="1:29">
      <c r="A488" s="172" t="s">
        <v>245</v>
      </c>
      <c r="B488" s="1"/>
      <c r="C488" s="182">
        <f>C522+C556</f>
        <v>0</v>
      </c>
      <c r="D488" s="182" t="e">
        <f>D522+D556</f>
        <v>#REF!</v>
      </c>
      <c r="E488" s="232">
        <f>E487</f>
        <v>3.75</v>
      </c>
      <c r="F488" s="186"/>
      <c r="G488" s="184">
        <f>G522+G556</f>
        <v>0</v>
      </c>
      <c r="H488" s="184" t="e">
        <f>H522+H556</f>
        <v>#REF!</v>
      </c>
      <c r="I488" s="232">
        <f>I487</f>
        <v>3.95</v>
      </c>
      <c r="J488" s="186"/>
      <c r="K488" s="184">
        <f>K522+K556</f>
        <v>0</v>
      </c>
      <c r="M488" s="42" t="e">
        <f>I488*D488</f>
        <v>#REF!</v>
      </c>
      <c r="O488" s="8">
        <f>(I488-E488)/E488</f>
        <v>5.3333333333333378E-2</v>
      </c>
      <c r="W488" s="11"/>
      <c r="X488" s="11"/>
      <c r="Y488" s="11"/>
      <c r="Z488" s="11"/>
      <c r="AA488" s="11"/>
      <c r="AB488" s="11"/>
      <c r="AC488" s="11"/>
    </row>
    <row r="489" spans="1:29">
      <c r="A489" s="186" t="s">
        <v>230</v>
      </c>
      <c r="B489" s="1"/>
      <c r="C489" s="182"/>
      <c r="D489" s="182"/>
      <c r="E489" s="161"/>
      <c r="F489" s="186"/>
      <c r="G489" s="184"/>
      <c r="H489" s="184"/>
      <c r="I489" s="161"/>
      <c r="J489" s="186"/>
      <c r="K489" s="184"/>
      <c r="W489" s="11"/>
      <c r="X489" s="11"/>
      <c r="Y489" s="11"/>
      <c r="Z489" s="11"/>
      <c r="AA489" s="11"/>
      <c r="AB489" s="11"/>
      <c r="AC489" s="11"/>
    </row>
    <row r="490" spans="1:29">
      <c r="A490" s="186" t="s">
        <v>231</v>
      </c>
      <c r="B490" s="182"/>
      <c r="C490" s="182" t="e">
        <f t="shared" ref="C490:D492" si="45">C524+C558</f>
        <v>#REF!</v>
      </c>
      <c r="D490" s="182" t="e">
        <f t="shared" si="45"/>
        <v>#REF!</v>
      </c>
      <c r="E490" s="190">
        <v>4.3570000000000002</v>
      </c>
      <c r="F490" s="186" t="s">
        <v>178</v>
      </c>
      <c r="G490" s="184" t="e">
        <f t="shared" ref="G490:H492" si="46">G524+G558</f>
        <v>#REF!</v>
      </c>
      <c r="H490" s="184" t="e">
        <f t="shared" si="46"/>
        <v>#REF!</v>
      </c>
      <c r="I490" s="190">
        <v>4.8559999999999999</v>
      </c>
      <c r="J490" s="186" t="s">
        <v>178</v>
      </c>
      <c r="K490" s="184" t="e">
        <f>K524+K558</f>
        <v>#REF!</v>
      </c>
      <c r="M490" s="42" t="e">
        <f>(I490/100)*D490</f>
        <v>#REF!</v>
      </c>
      <c r="O490" s="8">
        <f>(I490-E490)/E490</f>
        <v>0.11452834519164555</v>
      </c>
      <c r="W490" s="11"/>
      <c r="X490" s="11"/>
      <c r="Y490" s="11"/>
      <c r="Z490" s="11"/>
      <c r="AA490" s="11"/>
      <c r="AB490" s="11"/>
      <c r="AC490" s="11"/>
    </row>
    <row r="491" spans="1:29">
      <c r="A491" s="186" t="s">
        <v>203</v>
      </c>
      <c r="B491" s="182"/>
      <c r="C491" s="182" t="e">
        <f t="shared" si="45"/>
        <v>#REF!</v>
      </c>
      <c r="D491" s="182" t="e">
        <f t="shared" si="45"/>
        <v>#REF!</v>
      </c>
      <c r="E491" s="190">
        <v>3.9930000000000003</v>
      </c>
      <c r="F491" s="186" t="s">
        <v>178</v>
      </c>
      <c r="G491" s="184" t="e">
        <f t="shared" si="46"/>
        <v>#REF!</v>
      </c>
      <c r="H491" s="184" t="e">
        <f t="shared" si="46"/>
        <v>#REF!</v>
      </c>
      <c r="I491" s="190">
        <f>ROUND(I490/E490*E491,3)+0.005</f>
        <v>4.4550000000000001</v>
      </c>
      <c r="J491" s="186" t="s">
        <v>178</v>
      </c>
      <c r="K491" s="184" t="e">
        <f>K525+K559</f>
        <v>#REF!</v>
      </c>
      <c r="M491" s="42" t="e">
        <f>(I491/100)*D491</f>
        <v>#REF!</v>
      </c>
      <c r="O491" s="8">
        <f>(I491-E491)/E491</f>
        <v>0.1157024793388429</v>
      </c>
      <c r="X491" s="11"/>
      <c r="Y491" s="11"/>
      <c r="Z491" s="11"/>
      <c r="AA491" s="11"/>
      <c r="AB491" s="11"/>
      <c r="AC491" s="11"/>
    </row>
    <row r="492" spans="1:29">
      <c r="A492" s="186" t="s">
        <v>204</v>
      </c>
      <c r="B492" s="1"/>
      <c r="C492" s="182">
        <f t="shared" si="45"/>
        <v>525884</v>
      </c>
      <c r="D492" s="182" t="e">
        <f t="shared" si="45"/>
        <v>#REF!</v>
      </c>
      <c r="E492" s="472">
        <v>45</v>
      </c>
      <c r="F492" s="186" t="s">
        <v>178</v>
      </c>
      <c r="G492" s="184">
        <f t="shared" si="46"/>
        <v>236647</v>
      </c>
      <c r="H492" s="184" t="e">
        <f t="shared" si="46"/>
        <v>#REF!</v>
      </c>
      <c r="I492" s="338">
        <v>50</v>
      </c>
      <c r="J492" s="186" t="s">
        <v>178</v>
      </c>
      <c r="K492" s="184">
        <f>K526+K560</f>
        <v>262942</v>
      </c>
      <c r="M492" s="42" t="e">
        <f>(I492/100)*D492</f>
        <v>#REF!</v>
      </c>
      <c r="O492" s="8">
        <f>(I492-E492)/E492</f>
        <v>0.1111111111111111</v>
      </c>
      <c r="X492" s="11"/>
      <c r="Y492" s="11"/>
      <c r="Z492" s="11"/>
      <c r="AA492" s="11"/>
      <c r="AB492" s="11"/>
      <c r="AC492" s="11"/>
    </row>
    <row r="493" spans="1:29">
      <c r="A493" s="223" t="s">
        <v>205</v>
      </c>
      <c r="B493" s="1"/>
      <c r="C493" s="182"/>
      <c r="D493" s="182"/>
      <c r="E493" s="195">
        <v>-0.01</v>
      </c>
      <c r="F493" s="2"/>
      <c r="G493" s="184"/>
      <c r="H493" s="184"/>
      <c r="I493" s="195">
        <v>-0.01</v>
      </c>
      <c r="J493" s="1"/>
      <c r="K493" s="184"/>
      <c r="X493" s="11"/>
      <c r="Y493" s="11"/>
      <c r="Z493" s="11"/>
      <c r="AA493" s="11"/>
      <c r="AB493" s="11"/>
      <c r="AC493" s="11"/>
    </row>
    <row r="494" spans="1:29">
      <c r="A494" s="186" t="s">
        <v>225</v>
      </c>
      <c r="B494" s="1"/>
      <c r="C494" s="182">
        <f t="shared" ref="C494:D507" si="47">C528+C562</f>
        <v>7</v>
      </c>
      <c r="D494" s="182">
        <f t="shared" si="47"/>
        <v>7</v>
      </c>
      <c r="E494" s="167">
        <f>E480</f>
        <v>225</v>
      </c>
      <c r="F494" s="227"/>
      <c r="G494" s="184">
        <f t="shared" ref="G494:H507" si="48">G528+G562</f>
        <v>-16</v>
      </c>
      <c r="H494" s="184">
        <f t="shared" si="48"/>
        <v>-16</v>
      </c>
      <c r="I494" s="167">
        <f>I480</f>
        <v>245</v>
      </c>
      <c r="J494" s="156"/>
      <c r="K494" s="184">
        <f t="shared" ref="K494:K506" si="49">K528+K562</f>
        <v>-17</v>
      </c>
      <c r="M494" s="42">
        <f t="shared" ref="M494:M500" si="50">-(I494*D494)/100</f>
        <v>-17.149999999999999</v>
      </c>
      <c r="X494" s="11"/>
      <c r="Y494" s="11"/>
      <c r="Z494" s="11"/>
      <c r="AA494" s="11"/>
      <c r="AB494" s="11"/>
      <c r="AC494" s="11"/>
    </row>
    <row r="495" spans="1:29">
      <c r="A495" s="186" t="s">
        <v>226</v>
      </c>
      <c r="B495" s="1"/>
      <c r="C495" s="182">
        <f t="shared" si="47"/>
        <v>37</v>
      </c>
      <c r="D495" s="182">
        <f t="shared" si="47"/>
        <v>37</v>
      </c>
      <c r="E495" s="167">
        <f>E481</f>
        <v>83</v>
      </c>
      <c r="F495" s="227"/>
      <c r="G495" s="184">
        <f t="shared" si="48"/>
        <v>-31</v>
      </c>
      <c r="H495" s="184">
        <f t="shared" si="48"/>
        <v>-31</v>
      </c>
      <c r="I495" s="167">
        <f>I481</f>
        <v>90</v>
      </c>
      <c r="J495" s="156"/>
      <c r="K495" s="184">
        <f t="shared" si="49"/>
        <v>-34</v>
      </c>
      <c r="M495" s="42">
        <f t="shared" si="50"/>
        <v>-33.299999999999997</v>
      </c>
      <c r="O495" s="234"/>
      <c r="W495" s="11"/>
      <c r="X495" s="11"/>
      <c r="Y495" s="11"/>
      <c r="Z495" s="11"/>
      <c r="AA495" s="11"/>
      <c r="AB495" s="11"/>
      <c r="AC495" s="11"/>
    </row>
    <row r="496" spans="1:29">
      <c r="A496" s="186" t="s">
        <v>227</v>
      </c>
      <c r="B496" s="1"/>
      <c r="C496" s="182">
        <f t="shared" si="47"/>
        <v>121</v>
      </c>
      <c r="D496" s="182">
        <f t="shared" si="47"/>
        <v>122</v>
      </c>
      <c r="E496" s="167">
        <f>E482</f>
        <v>166</v>
      </c>
      <c r="F496" s="235"/>
      <c r="G496" s="184">
        <f t="shared" si="48"/>
        <v>-201</v>
      </c>
      <c r="H496" s="184">
        <f t="shared" si="48"/>
        <v>-203</v>
      </c>
      <c r="I496" s="167">
        <f>I482</f>
        <v>180</v>
      </c>
      <c r="J496" s="236"/>
      <c r="K496" s="184">
        <f t="shared" si="49"/>
        <v>-218</v>
      </c>
      <c r="M496" s="42">
        <f t="shared" si="50"/>
        <v>-219.6</v>
      </c>
      <c r="O496" s="234"/>
      <c r="W496" s="11"/>
      <c r="X496" s="11"/>
      <c r="Y496" s="11"/>
      <c r="Z496" s="11"/>
      <c r="AA496" s="11"/>
      <c r="AB496" s="11"/>
      <c r="AC496" s="11"/>
    </row>
    <row r="497" spans="1:29">
      <c r="A497" s="186" t="s">
        <v>226</v>
      </c>
      <c r="B497" s="1"/>
      <c r="C497" s="182">
        <f t="shared" si="47"/>
        <v>6452</v>
      </c>
      <c r="D497" s="182" t="e">
        <f t="shared" si="47"/>
        <v>#REF!</v>
      </c>
      <c r="E497" s="167">
        <f>E484</f>
        <v>1.47</v>
      </c>
      <c r="F497" s="227"/>
      <c r="G497" s="184">
        <f t="shared" si="48"/>
        <v>-94</v>
      </c>
      <c r="H497" s="184" t="e">
        <f t="shared" si="48"/>
        <v>#REF!</v>
      </c>
      <c r="I497" s="167">
        <f>I484</f>
        <v>1.6</v>
      </c>
      <c r="J497" s="156"/>
      <c r="K497" s="184">
        <f t="shared" si="49"/>
        <v>-103</v>
      </c>
      <c r="M497" s="42" t="e">
        <f t="shared" si="50"/>
        <v>#REF!</v>
      </c>
      <c r="W497" s="11"/>
      <c r="X497" s="11"/>
      <c r="Y497" s="11"/>
      <c r="Z497" s="11"/>
      <c r="AA497" s="11"/>
      <c r="AB497" s="11"/>
      <c r="AC497" s="11"/>
    </row>
    <row r="498" spans="1:29">
      <c r="A498" s="186" t="s">
        <v>227</v>
      </c>
      <c r="B498" s="1"/>
      <c r="C498" s="182">
        <f t="shared" si="47"/>
        <v>76044</v>
      </c>
      <c r="D498" s="182" t="e">
        <f t="shared" si="47"/>
        <v>#REF!</v>
      </c>
      <c r="E498" s="167">
        <f>E485</f>
        <v>1.2</v>
      </c>
      <c r="F498" s="227" t="s">
        <v>13</v>
      </c>
      <c r="G498" s="184">
        <f t="shared" si="48"/>
        <v>-913</v>
      </c>
      <c r="H498" s="184" t="e">
        <f t="shared" si="48"/>
        <v>#REF!</v>
      </c>
      <c r="I498" s="167">
        <f>I485</f>
        <v>1.3</v>
      </c>
      <c r="J498" s="156"/>
      <c r="K498" s="184">
        <f t="shared" si="49"/>
        <v>-989</v>
      </c>
      <c r="M498" s="42" t="e">
        <f t="shared" si="50"/>
        <v>#REF!</v>
      </c>
      <c r="W498" s="11"/>
      <c r="X498" s="11"/>
      <c r="Y498" s="11"/>
      <c r="Z498" s="11"/>
      <c r="AA498" s="11"/>
      <c r="AB498" s="11"/>
      <c r="AC498" s="11"/>
    </row>
    <row r="499" spans="1:29">
      <c r="A499" s="172" t="s">
        <v>229</v>
      </c>
      <c r="B499" s="1"/>
      <c r="C499" s="182">
        <f t="shared" si="47"/>
        <v>64762</v>
      </c>
      <c r="D499" s="182" t="e">
        <f t="shared" si="47"/>
        <v>#REF!</v>
      </c>
      <c r="E499" s="167">
        <f>E487</f>
        <v>3.75</v>
      </c>
      <c r="F499" s="227" t="s">
        <v>13</v>
      </c>
      <c r="G499" s="184">
        <f t="shared" si="48"/>
        <v>-2428</v>
      </c>
      <c r="H499" s="184" t="e">
        <f t="shared" si="48"/>
        <v>#REF!</v>
      </c>
      <c r="I499" s="167">
        <f>I487</f>
        <v>3.95</v>
      </c>
      <c r="J499" s="156"/>
      <c r="K499" s="184">
        <f t="shared" si="49"/>
        <v>-2558</v>
      </c>
      <c r="M499" s="42" t="e">
        <f t="shared" si="50"/>
        <v>#REF!</v>
      </c>
      <c r="W499" s="11"/>
      <c r="X499" s="11"/>
      <c r="Y499" s="11"/>
      <c r="Z499" s="11"/>
      <c r="AA499" s="11"/>
      <c r="AB499" s="11"/>
      <c r="AC499" s="11"/>
    </row>
    <row r="500" spans="1:29">
      <c r="A500" s="172" t="s">
        <v>245</v>
      </c>
      <c r="B500" s="1"/>
      <c r="C500" s="182">
        <f t="shared" si="47"/>
        <v>0</v>
      </c>
      <c r="D500" s="182" t="e">
        <f t="shared" si="47"/>
        <v>#REF!</v>
      </c>
      <c r="E500" s="167">
        <f>E488</f>
        <v>3.75</v>
      </c>
      <c r="F500" s="227" t="s">
        <v>13</v>
      </c>
      <c r="G500" s="184">
        <f t="shared" si="48"/>
        <v>0</v>
      </c>
      <c r="H500" s="184" t="e">
        <f t="shared" si="48"/>
        <v>#REF!</v>
      </c>
      <c r="I500" s="167">
        <f>I488</f>
        <v>3.95</v>
      </c>
      <c r="J500" s="156"/>
      <c r="K500" s="184">
        <f t="shared" si="49"/>
        <v>0</v>
      </c>
      <c r="M500" s="42" t="e">
        <f t="shared" si="50"/>
        <v>#REF!</v>
      </c>
      <c r="W500" s="11"/>
      <c r="X500" s="11"/>
      <c r="Y500" s="11"/>
      <c r="Z500" s="11"/>
      <c r="AA500" s="11"/>
      <c r="AB500" s="11"/>
      <c r="AC500" s="11"/>
    </row>
    <row r="501" spans="1:29">
      <c r="A501" s="186" t="s">
        <v>231</v>
      </c>
      <c r="B501" s="1"/>
      <c r="C501" s="182">
        <f t="shared" si="47"/>
        <v>6256747</v>
      </c>
      <c r="D501" s="182" t="e">
        <f t="shared" si="47"/>
        <v>#REF!</v>
      </c>
      <c r="E501" s="237">
        <f>E490</f>
        <v>4.3570000000000002</v>
      </c>
      <c r="F501" s="184" t="s">
        <v>178</v>
      </c>
      <c r="G501" s="184">
        <f t="shared" si="48"/>
        <v>-2726</v>
      </c>
      <c r="H501" s="184" t="e">
        <f t="shared" si="48"/>
        <v>#REF!</v>
      </c>
      <c r="I501" s="237">
        <f>I490</f>
        <v>4.8559999999999999</v>
      </c>
      <c r="J501" s="186" t="s">
        <v>178</v>
      </c>
      <c r="K501" s="184">
        <f t="shared" si="49"/>
        <v>-3038</v>
      </c>
      <c r="M501" s="42" t="e">
        <f>-((I501*D501)/100)/100</f>
        <v>#REF!</v>
      </c>
      <c r="W501" s="11"/>
      <c r="X501" s="11"/>
      <c r="Y501" s="11"/>
      <c r="Z501" s="11"/>
      <c r="AA501" s="11"/>
      <c r="AB501" s="11"/>
      <c r="AC501" s="11"/>
    </row>
    <row r="502" spans="1:29">
      <c r="A502" s="186" t="s">
        <v>203</v>
      </c>
      <c r="B502" s="1"/>
      <c r="C502" s="182">
        <f t="shared" si="47"/>
        <v>19639451</v>
      </c>
      <c r="D502" s="182" t="e">
        <f t="shared" si="47"/>
        <v>#REF!</v>
      </c>
      <c r="E502" s="237">
        <f>E491</f>
        <v>3.9930000000000003</v>
      </c>
      <c r="F502" s="184" t="s">
        <v>178</v>
      </c>
      <c r="G502" s="184">
        <f t="shared" si="48"/>
        <v>-7842</v>
      </c>
      <c r="H502" s="184" t="e">
        <f t="shared" si="48"/>
        <v>#REF!</v>
      </c>
      <c r="I502" s="237">
        <f>I491</f>
        <v>4.4550000000000001</v>
      </c>
      <c r="J502" s="186" t="s">
        <v>178</v>
      </c>
      <c r="K502" s="184">
        <f t="shared" si="49"/>
        <v>-8749</v>
      </c>
      <c r="M502" s="42" t="e">
        <f>-((I502*D502)/100)/100</f>
        <v>#REF!</v>
      </c>
      <c r="W502" s="11"/>
      <c r="X502" s="11"/>
      <c r="Y502" s="11"/>
      <c r="Z502" s="11"/>
      <c r="AA502" s="11"/>
      <c r="AB502" s="11"/>
      <c r="AC502" s="11"/>
    </row>
    <row r="503" spans="1:29">
      <c r="A503" s="186" t="s">
        <v>204</v>
      </c>
      <c r="B503" s="1"/>
      <c r="C503" s="182">
        <f t="shared" si="47"/>
        <v>14691</v>
      </c>
      <c r="D503" s="182" t="e">
        <f t="shared" si="47"/>
        <v>#REF!</v>
      </c>
      <c r="E503" s="238">
        <f>E492</f>
        <v>45</v>
      </c>
      <c r="F503" s="184" t="s">
        <v>178</v>
      </c>
      <c r="G503" s="184">
        <f t="shared" si="48"/>
        <v>-67</v>
      </c>
      <c r="H503" s="184" t="e">
        <f t="shared" si="48"/>
        <v>#REF!</v>
      </c>
      <c r="I503" s="238">
        <f>I492</f>
        <v>50</v>
      </c>
      <c r="J503" s="186" t="s">
        <v>178</v>
      </c>
      <c r="K503" s="184">
        <f t="shared" si="49"/>
        <v>-74</v>
      </c>
      <c r="M503" s="42" t="e">
        <f>-((I503*D503)/100)/100</f>
        <v>#REF!</v>
      </c>
      <c r="W503" s="11"/>
      <c r="X503" s="11"/>
      <c r="Y503" s="11"/>
      <c r="Z503" s="11"/>
      <c r="AA503" s="11"/>
      <c r="AB503" s="11"/>
      <c r="AC503" s="11"/>
    </row>
    <row r="504" spans="1:29">
      <c r="A504" s="186" t="s">
        <v>247</v>
      </c>
      <c r="B504" s="1"/>
      <c r="C504" s="182">
        <f t="shared" si="47"/>
        <v>165</v>
      </c>
      <c r="D504" s="182">
        <f t="shared" si="47"/>
        <v>166</v>
      </c>
      <c r="E504" s="161">
        <f>'Blocking - detail'!E504</f>
        <v>60</v>
      </c>
      <c r="F504" s="227" t="s">
        <v>13</v>
      </c>
      <c r="G504" s="184">
        <f t="shared" si="48"/>
        <v>9900</v>
      </c>
      <c r="H504" s="184">
        <f t="shared" si="48"/>
        <v>9960</v>
      </c>
      <c r="I504" s="161">
        <f>'Blocking - detail'!I504</f>
        <v>60</v>
      </c>
      <c r="J504" s="1"/>
      <c r="K504" s="184">
        <f t="shared" si="49"/>
        <v>9900</v>
      </c>
      <c r="M504" s="42">
        <f>I504*D504</f>
        <v>9960</v>
      </c>
      <c r="W504" s="11"/>
      <c r="X504" s="11"/>
      <c r="Y504" s="11"/>
      <c r="Z504" s="11"/>
      <c r="AA504" s="11"/>
      <c r="AB504" s="11"/>
      <c r="AC504" s="11"/>
    </row>
    <row r="505" spans="1:29">
      <c r="A505" s="186" t="s">
        <v>248</v>
      </c>
      <c r="B505" s="1"/>
      <c r="C505" s="182">
        <f t="shared" si="47"/>
        <v>78375</v>
      </c>
      <c r="D505" s="182" t="e">
        <f t="shared" si="47"/>
        <v>#REF!</v>
      </c>
      <c r="E505" s="202">
        <f>'Blocking - detail'!E505</f>
        <v>-30</v>
      </c>
      <c r="F505" s="184" t="s">
        <v>178</v>
      </c>
      <c r="G505" s="184">
        <f t="shared" si="48"/>
        <v>-23513</v>
      </c>
      <c r="H505" s="184" t="e">
        <f t="shared" si="48"/>
        <v>#REF!</v>
      </c>
      <c r="I505" s="202">
        <f>'Blocking - detail'!I505</f>
        <v>-30</v>
      </c>
      <c r="J505" s="184" t="s">
        <v>178</v>
      </c>
      <c r="K505" s="184">
        <f t="shared" si="49"/>
        <v>-23513</v>
      </c>
      <c r="M505" s="42" t="e">
        <f>(I505/100)*D505</f>
        <v>#REF!</v>
      </c>
      <c r="W505" s="11"/>
      <c r="X505" s="11"/>
      <c r="Y505" s="11"/>
      <c r="Z505" s="11"/>
      <c r="AA505" s="11"/>
      <c r="AB505" s="11"/>
      <c r="AC505" s="11"/>
    </row>
    <row r="506" spans="1:29">
      <c r="A506" s="1" t="s">
        <v>185</v>
      </c>
      <c r="B506" s="29"/>
      <c r="C506" s="182" t="e">
        <f t="shared" si="47"/>
        <v>#REF!</v>
      </c>
      <c r="D506" s="182">
        <f t="shared" si="47"/>
        <v>909584708.38655555</v>
      </c>
      <c r="E506" s="193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42" t="e">
        <f>SUM(M480:M505)</f>
        <v>#REF!</v>
      </c>
      <c r="P506" s="240"/>
      <c r="W506" s="11"/>
      <c r="X506" s="11"/>
      <c r="Y506" s="11"/>
      <c r="Z506" s="11"/>
      <c r="AA506" s="11"/>
      <c r="AB506" s="11"/>
      <c r="AC506" s="11"/>
    </row>
    <row r="507" spans="1:29">
      <c r="A507" s="1" t="s">
        <v>167</v>
      </c>
      <c r="B507" s="15"/>
      <c r="C507" s="203" t="e">
        <f t="shared" si="47"/>
        <v>#REF!</v>
      </c>
      <c r="D507" s="203">
        <f t="shared" si="47"/>
        <v>0</v>
      </c>
      <c r="E507" s="172"/>
      <c r="F507" s="172"/>
      <c r="G507" s="173" t="e">
        <f t="shared" si="48"/>
        <v>#REF!</v>
      </c>
      <c r="H507" s="173">
        <f t="shared" si="48"/>
        <v>0</v>
      </c>
      <c r="I507" s="172"/>
      <c r="J507" s="172"/>
      <c r="K507" s="173" t="e">
        <f>G507</f>
        <v>#REF!</v>
      </c>
      <c r="M507" s="152"/>
      <c r="N507" s="152"/>
      <c r="O507" s="153"/>
      <c r="W507" s="11"/>
      <c r="X507" s="11"/>
      <c r="Y507" s="11"/>
      <c r="Z507" s="11"/>
      <c r="AA507" s="11"/>
      <c r="AB507" s="11"/>
      <c r="AC507" s="11"/>
    </row>
    <row r="508" spans="1:29" ht="16.5" thickBot="1">
      <c r="A508" s="1" t="s">
        <v>186</v>
      </c>
      <c r="B508" s="1"/>
      <c r="C508" s="229" t="e">
        <f>SUM(C506)+C507</f>
        <v>#REF!</v>
      </c>
      <c r="D508" s="229" t="e">
        <f>SUM(D490:D491)+D507</f>
        <v>#REF!</v>
      </c>
      <c r="E508" s="205"/>
      <c r="F508" s="206"/>
      <c r="G508" s="207" t="e">
        <f>G506+G507</f>
        <v>#REF!</v>
      </c>
      <c r="H508" s="207" t="e">
        <f>H506+H507</f>
        <v>#REF!</v>
      </c>
      <c r="I508" s="205"/>
      <c r="J508" s="208"/>
      <c r="K508" s="207" t="e">
        <f>K506+K507</f>
        <v>#REF!</v>
      </c>
      <c r="M508" s="154"/>
      <c r="N508" s="3" t="s">
        <v>213</v>
      </c>
      <c r="O508" s="42" t="e">
        <f>#REF!*1000</f>
        <v>#REF!</v>
      </c>
      <c r="W508" s="11"/>
      <c r="X508" s="11"/>
      <c r="Y508" s="11"/>
      <c r="Z508" s="11"/>
      <c r="AA508" s="11"/>
      <c r="AB508" s="11"/>
      <c r="AC508" s="11"/>
    </row>
    <row r="509" spans="1:29" ht="16.5" thickTop="1">
      <c r="A509" s="1"/>
      <c r="B509" s="1"/>
      <c r="C509" s="12"/>
      <c r="D509" s="12"/>
      <c r="E509" s="200"/>
      <c r="F509" s="2"/>
      <c r="G509" s="2"/>
      <c r="H509" s="2"/>
      <c r="I509" s="216" t="s">
        <v>13</v>
      </c>
      <c r="J509" s="1"/>
      <c r="K509" s="2" t="s">
        <v>13</v>
      </c>
      <c r="N509" s="3" t="s">
        <v>114</v>
      </c>
      <c r="O509" s="42" t="e">
        <f>O508-K508</f>
        <v>#REF!</v>
      </c>
      <c r="P509" s="139" t="e">
        <f>(O508-K508)/K508</f>
        <v>#REF!</v>
      </c>
      <c r="W509" s="11"/>
      <c r="X509" s="11"/>
      <c r="Y509" s="11"/>
      <c r="Z509" s="11"/>
      <c r="AA509" s="11"/>
      <c r="AB509" s="11"/>
      <c r="AC509" s="11"/>
    </row>
    <row r="510" spans="1:29">
      <c r="A510" s="156" t="s">
        <v>240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  <c r="W510" s="11"/>
      <c r="X510" s="11"/>
      <c r="Y510" s="11"/>
      <c r="Z510" s="11"/>
      <c r="AA510" s="11"/>
      <c r="AB510" s="11"/>
      <c r="AC510" s="11"/>
    </row>
    <row r="511" spans="1:29">
      <c r="A511" s="172" t="s">
        <v>249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139" t="e">
        <f>O509/(K490+K491)</f>
        <v>#REF!</v>
      </c>
      <c r="W511" s="11"/>
      <c r="X511" s="11"/>
      <c r="Y511" s="11"/>
      <c r="Z511" s="11"/>
      <c r="AA511" s="11"/>
      <c r="AB511" s="11"/>
      <c r="AC511" s="11"/>
    </row>
    <row r="512" spans="1:29">
      <c r="A512" s="186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11"/>
      <c r="N512" s="11"/>
      <c r="O512" s="38"/>
      <c r="P512" s="38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>
      <c r="A513" s="186" t="s">
        <v>197</v>
      </c>
      <c r="B513" s="1"/>
      <c r="C513" s="182"/>
      <c r="D513" s="182"/>
      <c r="E513" s="2"/>
      <c r="F513" s="2"/>
      <c r="G513" s="1"/>
      <c r="H513" s="1"/>
      <c r="I513" s="2"/>
      <c r="J513" s="1"/>
      <c r="K513" s="1"/>
      <c r="M513" s="11"/>
      <c r="N513" s="11"/>
      <c r="O513" s="38"/>
      <c r="P513" s="38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>
      <c r="A514" s="186" t="s">
        <v>225</v>
      </c>
      <c r="B514" s="1"/>
      <c r="C514" s="182">
        <f>15+3+272</f>
        <v>290</v>
      </c>
      <c r="D514" s="182">
        <v>294</v>
      </c>
      <c r="E514" s="161">
        <f>$E$480</f>
        <v>225</v>
      </c>
      <c r="F514" s="186"/>
      <c r="G514" s="184">
        <f>ROUND(E514*$C514,0)</f>
        <v>65250</v>
      </c>
      <c r="H514" s="184">
        <f>ROUND(E514*$D514,0)</f>
        <v>66150</v>
      </c>
      <c r="I514" s="161">
        <f>$I$480</f>
        <v>245</v>
      </c>
      <c r="J514" s="186"/>
      <c r="K514" s="184">
        <f>ROUND(I514*$C514,0)</f>
        <v>71050</v>
      </c>
      <c r="M514" s="11"/>
      <c r="N514" s="11"/>
      <c r="O514" s="38"/>
      <c r="P514" s="38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>
      <c r="A515" s="186" t="s">
        <v>226</v>
      </c>
      <c r="B515" s="1"/>
      <c r="C515" s="182">
        <f>891+24+6737</f>
        <v>7652</v>
      </c>
      <c r="D515" s="182">
        <v>7746</v>
      </c>
      <c r="E515" s="161">
        <f>$E$481</f>
        <v>83</v>
      </c>
      <c r="F515" s="186"/>
      <c r="G515" s="184">
        <f>ROUND(E515*$C515,0)</f>
        <v>635116</v>
      </c>
      <c r="H515" s="184">
        <f>ROUND(E515*$D515,0)</f>
        <v>642918</v>
      </c>
      <c r="I515" s="161">
        <f>$I$481</f>
        <v>90</v>
      </c>
      <c r="J515" s="186"/>
      <c r="K515" s="184">
        <f>ROUND(I515*$C515,0)</f>
        <v>688680</v>
      </c>
      <c r="M515" s="11"/>
      <c r="N515" s="11"/>
      <c r="O515" s="38"/>
      <c r="P515" s="38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>
      <c r="A516" s="186" t="s">
        <v>227</v>
      </c>
      <c r="B516" s="1"/>
      <c r="C516" s="182">
        <f>218+106+2548</f>
        <v>2872</v>
      </c>
      <c r="D516" s="182">
        <v>2907</v>
      </c>
      <c r="E516" s="161">
        <f>$E$482</f>
        <v>166</v>
      </c>
      <c r="F516" s="188"/>
      <c r="G516" s="184">
        <f>ROUND(E516*$C516,0)</f>
        <v>476752</v>
      </c>
      <c r="H516" s="184">
        <f>ROUND(E516*$D516,0)</f>
        <v>482562</v>
      </c>
      <c r="I516" s="161">
        <f>$I$482</f>
        <v>180</v>
      </c>
      <c r="J516" s="188"/>
      <c r="K516" s="184">
        <f>ROUND(I516*$C516,0)</f>
        <v>516960</v>
      </c>
      <c r="M516" s="11"/>
      <c r="N516" s="11"/>
      <c r="O516" s="38"/>
      <c r="P516" s="38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>
      <c r="A517" s="186" t="s">
        <v>198</v>
      </c>
      <c r="B517" s="1"/>
      <c r="C517" s="182">
        <f>SUM(C514:C516)</f>
        <v>10814</v>
      </c>
      <c r="D517" s="182">
        <f>SUM(D514:D516)</f>
        <v>10947</v>
      </c>
      <c r="E517" s="161"/>
      <c r="F517" s="186"/>
      <c r="G517" s="184"/>
      <c r="H517" s="184"/>
      <c r="I517" s="161"/>
      <c r="J517" s="186"/>
      <c r="K517" s="184"/>
      <c r="M517" s="11"/>
      <c r="N517" s="11"/>
      <c r="O517" s="38"/>
      <c r="P517" s="38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>
      <c r="A518" s="186" t="s">
        <v>226</v>
      </c>
      <c r="B518" s="1"/>
      <c r="C518" s="182">
        <f>161511+4370+1155196</f>
        <v>1321077</v>
      </c>
      <c r="D518" s="182" t="e">
        <f>ROUND(($D$540/'Billing Determinants (2)'!$C$540)*C518,0)</f>
        <v>#REF!</v>
      </c>
      <c r="E518" s="161">
        <f>$E$484</f>
        <v>1.47</v>
      </c>
      <c r="F518" s="186" t="s">
        <v>13</v>
      </c>
      <c r="G518" s="184">
        <f>ROUND(E518*$C518,0)</f>
        <v>1941983</v>
      </c>
      <c r="H518" s="184" t="e">
        <f>ROUND(E518*$D518,0)</f>
        <v>#REF!</v>
      </c>
      <c r="I518" s="161">
        <f>$I$484</f>
        <v>1.6</v>
      </c>
      <c r="J518" s="186" t="s">
        <v>13</v>
      </c>
      <c r="K518" s="184">
        <f>ROUND(I518*$C518,0)</f>
        <v>2113723</v>
      </c>
      <c r="M518" s="11"/>
      <c r="N518" s="11"/>
      <c r="O518" s="38"/>
      <c r="P518" s="38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>
      <c r="A519" s="186" t="s">
        <v>227</v>
      </c>
      <c r="B519" s="1"/>
      <c r="C519" s="182">
        <f>119211+61985+1218712</f>
        <v>1399908</v>
      </c>
      <c r="D519" s="182" t="e">
        <f>ROUND(($D$540/'Billing Determinants (2)'!$C$540)*C519,0)</f>
        <v>#REF!</v>
      </c>
      <c r="E519" s="161">
        <f>$E$485</f>
        <v>1.2</v>
      </c>
      <c r="F519" s="186" t="s">
        <v>13</v>
      </c>
      <c r="G519" s="184">
        <f>ROUND(E519*$C519,0)</f>
        <v>1679890</v>
      </c>
      <c r="H519" s="184" t="e">
        <f>ROUND(E519*$D519,0)</f>
        <v>#REF!</v>
      </c>
      <c r="I519" s="161">
        <f>$I$485</f>
        <v>1.3</v>
      </c>
      <c r="J519" s="186" t="s">
        <v>13</v>
      </c>
      <c r="K519" s="184">
        <f>ROUND(I519*$C519,0)</f>
        <v>1819880</v>
      </c>
      <c r="M519" s="11"/>
      <c r="N519" s="11"/>
      <c r="O519" s="38"/>
      <c r="P519" s="38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>
      <c r="A520" s="172" t="s">
        <v>228</v>
      </c>
      <c r="B520" s="1"/>
      <c r="C520" s="182"/>
      <c r="D520" s="182"/>
      <c r="E520" s="218"/>
      <c r="F520" s="186"/>
      <c r="G520" s="184"/>
      <c r="H520" s="184"/>
      <c r="I520" s="218"/>
      <c r="J520" s="186"/>
      <c r="K520" s="184"/>
      <c r="M520" s="11"/>
      <c r="N520" s="11"/>
      <c r="O520" s="38"/>
      <c r="P520" s="38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>
      <c r="A521" s="172" t="s">
        <v>229</v>
      </c>
      <c r="B521" s="1"/>
      <c r="C521" s="182">
        <f>1068+119254+79096+150+3376+49943+17200+887264+924289</f>
        <v>2081640</v>
      </c>
      <c r="D521" s="182" t="e">
        <f>ROUND(($D$540/'Billing Determinants (2)'!$C$540)*C521,0)</f>
        <v>#REF!</v>
      </c>
      <c r="E521" s="161">
        <f>$E$487</f>
        <v>3.75</v>
      </c>
      <c r="F521" s="186"/>
      <c r="G521" s="184">
        <f>ROUND(E521*$C521,0)</f>
        <v>7806150</v>
      </c>
      <c r="H521" s="184" t="e">
        <f>ROUND(E521*$D521,0)</f>
        <v>#REF!</v>
      </c>
      <c r="I521" s="161">
        <f>$I$487</f>
        <v>3.95</v>
      </c>
      <c r="J521" s="186"/>
      <c r="K521" s="184">
        <f>ROUND(I521*$C521,0)</f>
        <v>8222478</v>
      </c>
      <c r="M521" s="11"/>
      <c r="N521" s="11"/>
      <c r="O521" s="38"/>
      <c r="P521" s="38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>
      <c r="A522" s="172" t="s">
        <v>245</v>
      </c>
      <c r="B522" s="1"/>
      <c r="C522" s="182">
        <v>0</v>
      </c>
      <c r="D522" s="182" t="e">
        <f>ROUND(($D$540/'Billing Determinants (2)'!$C$540)*C522,0)</f>
        <v>#REF!</v>
      </c>
      <c r="E522" s="232">
        <f>E521</f>
        <v>3.75</v>
      </c>
      <c r="F522" s="186"/>
      <c r="G522" s="184">
        <f>ROUND(E522*$C522,0)</f>
        <v>0</v>
      </c>
      <c r="H522" s="184" t="e">
        <f>ROUND(E522*$D522,0)</f>
        <v>#REF!</v>
      </c>
      <c r="I522" s="232">
        <f>I521</f>
        <v>3.95</v>
      </c>
      <c r="J522" s="186"/>
      <c r="K522" s="184">
        <f>ROUND(I522*$C522,0)</f>
        <v>0</v>
      </c>
      <c r="M522" s="11"/>
      <c r="N522" s="11"/>
      <c r="O522" s="38"/>
      <c r="P522" s="38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>
      <c r="A523" s="186" t="s">
        <v>230</v>
      </c>
      <c r="B523" s="1"/>
      <c r="C523" s="182"/>
      <c r="D523" s="182"/>
      <c r="E523" s="161"/>
      <c r="F523" s="186"/>
      <c r="G523" s="184"/>
      <c r="H523" s="184"/>
      <c r="I523" s="161"/>
      <c r="J523" s="186"/>
      <c r="K523" s="184"/>
      <c r="M523" s="11"/>
      <c r="N523" s="11"/>
      <c r="O523" s="38"/>
      <c r="P523" s="38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>
      <c r="A524" s="186" t="s">
        <v>231</v>
      </c>
      <c r="B524" s="182"/>
      <c r="C524" s="182" t="e">
        <f>251081+26399950+8327667+8480+907600+4146400+4006185+206696529+96381069+#REF!*1000</f>
        <v>#REF!</v>
      </c>
      <c r="D524" s="182" t="e">
        <f>ROUND(($D$540/'Billing Determinants (2)'!$C$540)*C524,0)</f>
        <v>#REF!</v>
      </c>
      <c r="E524" s="233">
        <f>$E$490</f>
        <v>4.3570000000000002</v>
      </c>
      <c r="F524" s="186" t="s">
        <v>178</v>
      </c>
      <c r="G524" s="184" t="e">
        <f>ROUND(E524*$C524/100,0)</f>
        <v>#REF!</v>
      </c>
      <c r="H524" s="184" t="e">
        <f>ROUND(E524*$D524/100,0)</f>
        <v>#REF!</v>
      </c>
      <c r="I524" s="190">
        <f>$I$490</f>
        <v>4.8559999999999999</v>
      </c>
      <c r="J524" s="186" t="s">
        <v>178</v>
      </c>
      <c r="K524" s="184" t="e">
        <f>ROUND(I524*$C524/100,0)</f>
        <v>#REF!</v>
      </c>
      <c r="M524" s="11"/>
      <c r="N524" s="11"/>
      <c r="O524" s="38"/>
      <c r="P524" s="38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>
      <c r="A525" s="186" t="s">
        <v>203</v>
      </c>
      <c r="B525" s="182"/>
      <c r="C525" s="182" t="e">
        <f>251081+44206075+35863656+8480+1348200+18841920+4093885+288814372+368801759-C524+#REF!*1000+#REF!*1000</f>
        <v>#REF!</v>
      </c>
      <c r="D525" s="182" t="e">
        <f>ROUND(($D$540/'Billing Determinants (2)'!$C$540)*C525,0)</f>
        <v>#REF!</v>
      </c>
      <c r="E525" s="233">
        <f>$E$491</f>
        <v>3.9930000000000003</v>
      </c>
      <c r="F525" s="186" t="s">
        <v>178</v>
      </c>
      <c r="G525" s="184" t="e">
        <f>ROUND(E525*$C525/100,0)</f>
        <v>#REF!</v>
      </c>
      <c r="H525" s="184" t="e">
        <f>ROUND(E525*$D525/100,0)</f>
        <v>#REF!</v>
      </c>
      <c r="I525" s="190">
        <f>$I$491</f>
        <v>4.4550000000000001</v>
      </c>
      <c r="J525" s="186" t="s">
        <v>178</v>
      </c>
      <c r="K525" s="184" t="e">
        <f>ROUND(I525*$C525/100,0)</f>
        <v>#REF!</v>
      </c>
      <c r="M525" s="11"/>
      <c r="N525" s="11"/>
      <c r="O525" s="38"/>
      <c r="P525" s="38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>
      <c r="A526" s="186" t="s">
        <v>204</v>
      </c>
      <c r="B526" s="1"/>
      <c r="C526" s="182">
        <f>25+26086+19444+27+10311+1383+154262+167734</f>
        <v>379272</v>
      </c>
      <c r="D526" s="182" t="e">
        <f>ROUND(($D$540/'Billing Determinants (2)'!$C$540)*C526,0)</f>
        <v>#REF!</v>
      </c>
      <c r="E526" s="202">
        <f>$E$492</f>
        <v>45</v>
      </c>
      <c r="F526" s="186" t="s">
        <v>178</v>
      </c>
      <c r="G526" s="184">
        <f>ROUND(E526*$C526/100,0)</f>
        <v>170672</v>
      </c>
      <c r="H526" s="184" t="e">
        <f>ROUND(E526*$D526/100,0)</f>
        <v>#REF!</v>
      </c>
      <c r="I526" s="338">
        <f>$I$492</f>
        <v>50</v>
      </c>
      <c r="J526" s="186" t="s">
        <v>178</v>
      </c>
      <c r="K526" s="184">
        <f>ROUND(I526*$C526/100,0)</f>
        <v>189636</v>
      </c>
      <c r="M526" s="11"/>
      <c r="N526" s="11"/>
      <c r="O526" s="38"/>
      <c r="P526" s="38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>
      <c r="A527" s="223" t="s">
        <v>205</v>
      </c>
      <c r="B527" s="1"/>
      <c r="C527" s="182"/>
      <c r="D527" s="182"/>
      <c r="E527" s="195">
        <v>-0.01</v>
      </c>
      <c r="F527" s="2"/>
      <c r="G527" s="184"/>
      <c r="H527" s="184"/>
      <c r="I527" s="195">
        <v>-0.01</v>
      </c>
      <c r="J527" s="1"/>
      <c r="K527" s="184"/>
      <c r="M527" s="11"/>
      <c r="N527" s="11"/>
      <c r="O527" s="38"/>
      <c r="P527" s="38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>
      <c r="A528" s="186" t="s">
        <v>225</v>
      </c>
      <c r="B528" s="12"/>
      <c r="C528" s="182">
        <v>3</v>
      </c>
      <c r="D528" s="182">
        <v>3</v>
      </c>
      <c r="E528" s="167">
        <f>E514</f>
        <v>225</v>
      </c>
      <c r="F528" s="227"/>
      <c r="G528" s="184">
        <f>ROUND(E528*$C528*E527,0)</f>
        <v>-7</v>
      </c>
      <c r="H528" s="184">
        <f>ROUND(E528*$D528*E527,0)</f>
        <v>-7</v>
      </c>
      <c r="I528" s="167">
        <f>I514</f>
        <v>245</v>
      </c>
      <c r="J528" s="156"/>
      <c r="K528" s="184">
        <f>ROUND(I528*$C528*I527,0)</f>
        <v>-7</v>
      </c>
      <c r="M528" s="11"/>
      <c r="N528" s="11"/>
      <c r="O528" s="38"/>
      <c r="P528" s="38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>
      <c r="A529" s="186" t="s">
        <v>226</v>
      </c>
      <c r="B529" s="1"/>
      <c r="C529" s="182">
        <f>24</f>
        <v>24</v>
      </c>
      <c r="D529" s="182">
        <v>24</v>
      </c>
      <c r="E529" s="167">
        <f>E515</f>
        <v>83</v>
      </c>
      <c r="F529" s="227"/>
      <c r="G529" s="184">
        <f>ROUND(E529*$C529*E527,0)</f>
        <v>-20</v>
      </c>
      <c r="H529" s="184">
        <f>ROUND(E529*$D529*E527,0)</f>
        <v>-20</v>
      </c>
      <c r="I529" s="167">
        <f>I515</f>
        <v>90</v>
      </c>
      <c r="J529" s="156"/>
      <c r="K529" s="184">
        <f>ROUND(I529*$C529*I527,0)</f>
        <v>-22</v>
      </c>
      <c r="M529" s="11"/>
      <c r="N529" s="11"/>
      <c r="O529" s="38"/>
      <c r="P529" s="38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>
      <c r="A530" s="186" t="s">
        <v>227</v>
      </c>
      <c r="B530" s="1"/>
      <c r="C530" s="182">
        <f>106</f>
        <v>106</v>
      </c>
      <c r="D530" s="182">
        <v>107</v>
      </c>
      <c r="E530" s="167">
        <f>E516</f>
        <v>166</v>
      </c>
      <c r="F530" s="235"/>
      <c r="G530" s="184">
        <f>ROUND(E530*$C530*E527,0)</f>
        <v>-176</v>
      </c>
      <c r="H530" s="184">
        <f>ROUND(E530*$D530*E527,0)</f>
        <v>-178</v>
      </c>
      <c r="I530" s="167">
        <f>I516</f>
        <v>180</v>
      </c>
      <c r="J530" s="236"/>
      <c r="K530" s="184">
        <f>ROUND(I530*$C530*I527,0)</f>
        <v>-191</v>
      </c>
      <c r="M530" s="11"/>
      <c r="N530" s="11"/>
      <c r="O530" s="38"/>
      <c r="P530" s="38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>
      <c r="A531" s="186" t="s">
        <v>226</v>
      </c>
      <c r="B531" s="1"/>
      <c r="C531" s="182">
        <f>4585</f>
        <v>4585</v>
      </c>
      <c r="D531" s="182" t="e">
        <f>ROUND(($D$540/'Billing Determinants (2)'!$C$540)*C531,0)</f>
        <v>#REF!</v>
      </c>
      <c r="E531" s="167">
        <f>E518</f>
        <v>1.47</v>
      </c>
      <c r="F531" s="227"/>
      <c r="G531" s="184">
        <f>ROUND(E531*$C531*E527,0)</f>
        <v>-67</v>
      </c>
      <c r="H531" s="184" t="e">
        <f>ROUND(E531*$D531*E527,0)</f>
        <v>#REF!</v>
      </c>
      <c r="I531" s="167">
        <f>I518</f>
        <v>1.6</v>
      </c>
      <c r="J531" s="156"/>
      <c r="K531" s="184">
        <f>ROUND(I531*$C531*I527,0)</f>
        <v>-73</v>
      </c>
      <c r="M531" s="11"/>
      <c r="N531" s="11"/>
      <c r="O531" s="339"/>
      <c r="P531" s="38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>
      <c r="A532" s="186" t="s">
        <v>227</v>
      </c>
      <c r="B532" s="1"/>
      <c r="C532" s="182">
        <v>65891</v>
      </c>
      <c r="D532" s="182" t="e">
        <f>ROUND(($D$540/'Billing Determinants (2)'!$C$540)*C532,0)</f>
        <v>#REF!</v>
      </c>
      <c r="E532" s="167">
        <f>E519</f>
        <v>1.2</v>
      </c>
      <c r="F532" s="227" t="s">
        <v>13</v>
      </c>
      <c r="G532" s="184">
        <f>ROUND(E532*$C532*E527,0)</f>
        <v>-791</v>
      </c>
      <c r="H532" s="184" t="e">
        <f>ROUND(E532*$D532*E527,0)</f>
        <v>#REF!</v>
      </c>
      <c r="I532" s="167">
        <f>I519</f>
        <v>1.3</v>
      </c>
      <c r="J532" s="156"/>
      <c r="K532" s="184">
        <f>ROUND(I532*$C532*I527,0)</f>
        <v>-857</v>
      </c>
      <c r="M532" s="11"/>
      <c r="N532" s="11"/>
      <c r="O532" s="38"/>
      <c r="P532" s="38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>
      <c r="A533" s="172" t="s">
        <v>229</v>
      </c>
      <c r="B533" s="1"/>
      <c r="C533" s="182">
        <f>150+3376+49943</f>
        <v>53469</v>
      </c>
      <c r="D533" s="182" t="e">
        <f>ROUND(($D$540/'Billing Determinants (2)'!$C$540)*C533,0)</f>
        <v>#REF!</v>
      </c>
      <c r="E533" s="167">
        <f>E521</f>
        <v>3.75</v>
      </c>
      <c r="F533" s="227" t="s">
        <v>13</v>
      </c>
      <c r="G533" s="184">
        <f>ROUND(E533*$C533*E527,0)</f>
        <v>-2005</v>
      </c>
      <c r="H533" s="184" t="e">
        <f>ROUND(E533*$D533*E527,0)</f>
        <v>#REF!</v>
      </c>
      <c r="I533" s="167">
        <f>I521</f>
        <v>3.95</v>
      </c>
      <c r="J533" s="156"/>
      <c r="K533" s="184">
        <f>ROUND(I533*$C533*I527,0)</f>
        <v>-2112</v>
      </c>
      <c r="M533" s="11"/>
      <c r="N533" s="11"/>
      <c r="O533" s="38"/>
      <c r="P533" s="38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>
      <c r="A534" s="172" t="s">
        <v>245</v>
      </c>
      <c r="B534" s="1"/>
      <c r="C534" s="182">
        <v>0</v>
      </c>
      <c r="D534" s="182" t="e">
        <f>ROUND(($D$540/'Billing Determinants (2)'!$C$540)*C534,0)</f>
        <v>#REF!</v>
      </c>
      <c r="E534" s="167">
        <f>E522</f>
        <v>3.75</v>
      </c>
      <c r="F534" s="227" t="s">
        <v>13</v>
      </c>
      <c r="G534" s="184">
        <f>ROUND(E534*$C534*E527,0)</f>
        <v>0</v>
      </c>
      <c r="H534" s="184" t="e">
        <f>ROUND(E534*$D534*E527,0)</f>
        <v>#REF!</v>
      </c>
      <c r="I534" s="167">
        <f>I522</f>
        <v>3.95</v>
      </c>
      <c r="J534" s="156"/>
      <c r="K534" s="184">
        <f>ROUND(I534*$C534*I527,0)</f>
        <v>0</v>
      </c>
      <c r="M534" s="11"/>
      <c r="N534" s="11"/>
      <c r="O534" s="38"/>
      <c r="P534" s="38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>
      <c r="A535" s="186" t="s">
        <v>231</v>
      </c>
      <c r="B535" s="1"/>
      <c r="C535" s="182">
        <f>8480+907600+4146400</f>
        <v>5062480</v>
      </c>
      <c r="D535" s="182" t="e">
        <f>ROUND(($D$540/'Billing Determinants (2)'!$C$540)*C535,0)</f>
        <v>#REF!</v>
      </c>
      <c r="E535" s="237">
        <f>E524</f>
        <v>4.3570000000000002</v>
      </c>
      <c r="F535" s="184" t="s">
        <v>178</v>
      </c>
      <c r="G535" s="184">
        <f>ROUND(E535*$C535/100*E527,0)</f>
        <v>-2206</v>
      </c>
      <c r="H535" s="184" t="e">
        <f>ROUND(E535*$D535/100*E527,0)</f>
        <v>#REF!</v>
      </c>
      <c r="I535" s="237">
        <f>I524</f>
        <v>4.8559999999999999</v>
      </c>
      <c r="J535" s="186" t="s">
        <v>178</v>
      </c>
      <c r="K535" s="184">
        <f>ROUND(I535*$C535/100*I527,0)</f>
        <v>-2458</v>
      </c>
      <c r="M535" s="279"/>
      <c r="N535" s="279"/>
      <c r="O535" s="38"/>
      <c r="P535" s="38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>
      <c r="A536" s="186" t="s">
        <v>203</v>
      </c>
      <c r="B536" s="1"/>
      <c r="C536" s="182">
        <f>8480+1348200+18841920-C535</f>
        <v>15136120</v>
      </c>
      <c r="D536" s="182" t="e">
        <f>ROUND(($D$540/'Billing Determinants (2)'!$C$540)*C536,0)</f>
        <v>#REF!</v>
      </c>
      <c r="E536" s="237">
        <f>E525</f>
        <v>3.9930000000000003</v>
      </c>
      <c r="F536" s="184" t="s">
        <v>178</v>
      </c>
      <c r="G536" s="184">
        <f>ROUND(E536*$C536/100*E527,0)</f>
        <v>-6044</v>
      </c>
      <c r="H536" s="184" t="e">
        <f>ROUND(E536*$D536/100*E527,0)</f>
        <v>#REF!</v>
      </c>
      <c r="I536" s="237">
        <f>I525</f>
        <v>4.4550000000000001</v>
      </c>
      <c r="J536" s="186" t="s">
        <v>178</v>
      </c>
      <c r="K536" s="184">
        <f>ROUND(I536*$C536/100*I527,0)</f>
        <v>-6743</v>
      </c>
      <c r="M536" s="11"/>
      <c r="N536" s="11"/>
      <c r="O536" s="38"/>
      <c r="P536" s="38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>
      <c r="A537" s="186" t="s">
        <v>204</v>
      </c>
      <c r="B537" s="1"/>
      <c r="C537" s="182">
        <f>27+10311</f>
        <v>10338</v>
      </c>
      <c r="D537" s="182" t="e">
        <f>ROUND(($D$540/'Billing Determinants (2)'!$C$540)*C537,0)</f>
        <v>#REF!</v>
      </c>
      <c r="E537" s="238">
        <f>E526</f>
        <v>45</v>
      </c>
      <c r="F537" s="184" t="s">
        <v>178</v>
      </c>
      <c r="G537" s="184">
        <f>ROUND(E537*$C537/100*E527,0)</f>
        <v>-47</v>
      </c>
      <c r="H537" s="184" t="e">
        <f>ROUND(E537*$D537/100*E527,0)</f>
        <v>#REF!</v>
      </c>
      <c r="I537" s="238">
        <f>I526</f>
        <v>50</v>
      </c>
      <c r="J537" s="186" t="s">
        <v>178</v>
      </c>
      <c r="K537" s="184">
        <f>ROUND(I537*$C537/100*I527,0)</f>
        <v>-52</v>
      </c>
      <c r="M537" s="11"/>
      <c r="N537" s="11"/>
      <c r="O537" s="38"/>
      <c r="P537" s="38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>
      <c r="A538" s="186" t="s">
        <v>247</v>
      </c>
      <c r="B538" s="1"/>
      <c r="C538" s="182">
        <f>3+24+106</f>
        <v>133</v>
      </c>
      <c r="D538" s="182">
        <v>135</v>
      </c>
      <c r="E538" s="161">
        <f>$E$504</f>
        <v>60</v>
      </c>
      <c r="F538" s="227" t="s">
        <v>13</v>
      </c>
      <c r="G538" s="184">
        <f>ROUND(E538*$C538,0)</f>
        <v>7980</v>
      </c>
      <c r="H538" s="184">
        <f>ROUND(E538*$D538,0)</f>
        <v>8100</v>
      </c>
      <c r="I538" s="161">
        <f>$I$504</f>
        <v>60</v>
      </c>
      <c r="J538" s="1"/>
      <c r="K538" s="184">
        <f>ROUND(I538*$C538,0)</f>
        <v>7980</v>
      </c>
      <c r="M538" s="11"/>
      <c r="N538" s="11"/>
      <c r="O538" s="38"/>
      <c r="P538" s="340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>
      <c r="A539" s="186" t="s">
        <v>248</v>
      </c>
      <c r="B539" s="168"/>
      <c r="C539" s="182">
        <f>4370+61985</f>
        <v>66355</v>
      </c>
      <c r="D539" s="182" t="e">
        <f>ROUND(($D$540/'Billing Determinants (2)'!$C$540)*C539,0)</f>
        <v>#REF!</v>
      </c>
      <c r="E539" s="202">
        <f>$E$505</f>
        <v>-30</v>
      </c>
      <c r="F539" s="184" t="s">
        <v>178</v>
      </c>
      <c r="G539" s="184">
        <f>ROUND(E539*$C539/100,0)</f>
        <v>-19907</v>
      </c>
      <c r="H539" s="184" t="e">
        <f>ROUND(E539*$D539/100,0)</f>
        <v>#REF!</v>
      </c>
      <c r="I539" s="202">
        <f>$I$505</f>
        <v>-30</v>
      </c>
      <c r="J539" s="184" t="s">
        <v>178</v>
      </c>
      <c r="K539" s="184">
        <f>ROUND(I539*$C539/100,0)</f>
        <v>-19907</v>
      </c>
      <c r="M539" s="11"/>
      <c r="N539" s="11"/>
      <c r="O539" s="38"/>
      <c r="P539" s="38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>
      <c r="A540" s="1" t="s">
        <v>185</v>
      </c>
      <c r="B540" s="170"/>
      <c r="C540" s="182" t="e">
        <f>SUM(C524:C525)</f>
        <v>#REF!</v>
      </c>
      <c r="D540" s="182">
        <v>762801321.03140867</v>
      </c>
      <c r="E540" s="193"/>
      <c r="F540" s="2"/>
      <c r="G540" s="2" t="e">
        <f>SUM(G514:G539)</f>
        <v>#REF!</v>
      </c>
      <c r="H540" s="2" t="e">
        <f>SUM(H514:H539)</f>
        <v>#REF!</v>
      </c>
      <c r="I540" s="193"/>
      <c r="J540" s="1"/>
      <c r="K540" s="2" t="e">
        <f>SUM(K514:K539)</f>
        <v>#REF!</v>
      </c>
      <c r="M540" s="11"/>
      <c r="N540" s="11"/>
      <c r="O540" s="38"/>
      <c r="P540" s="38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>
      <c r="A541" s="1" t="s">
        <v>167</v>
      </c>
      <c r="B541" s="1"/>
      <c r="C541" s="212" t="e">
        <f>#REF!</f>
        <v>#REF!</v>
      </c>
      <c r="D541" s="203">
        <v>0</v>
      </c>
      <c r="E541" s="172"/>
      <c r="F541" s="172"/>
      <c r="G541" s="173" t="e">
        <f>#REF!</f>
        <v>#REF!</v>
      </c>
      <c r="H541" s="173">
        <v>0</v>
      </c>
      <c r="I541" s="172"/>
      <c r="J541" s="172"/>
      <c r="K541" s="173" t="e">
        <f>G541</f>
        <v>#REF!</v>
      </c>
      <c r="M541" s="307"/>
      <c r="N541" s="307"/>
      <c r="O541" s="150"/>
      <c r="P541" s="38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6.5" thickBot="1">
      <c r="A542" s="1" t="s">
        <v>186</v>
      </c>
      <c r="B542" s="1"/>
      <c r="C542" s="229" t="e">
        <f>SUM(C540)+C541</f>
        <v>#REF!</v>
      </c>
      <c r="D542" s="229" t="e">
        <f>SUM(D524:D525)+D541</f>
        <v>#REF!</v>
      </c>
      <c r="E542" s="205"/>
      <c r="F542" s="206"/>
      <c r="G542" s="207" t="e">
        <f>G540+G541</f>
        <v>#REF!</v>
      </c>
      <c r="H542" s="207" t="e">
        <f>H540+H541</f>
        <v>#REF!</v>
      </c>
      <c r="I542" s="205"/>
      <c r="J542" s="208"/>
      <c r="K542" s="207" t="e">
        <f>K540+K541</f>
        <v>#REF!</v>
      </c>
      <c r="M542" s="274"/>
      <c r="N542" s="274"/>
      <c r="O542" s="333"/>
      <c r="P542" s="38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6.5" thickTop="1">
      <c r="A543" s="1"/>
      <c r="B543" s="1"/>
      <c r="C543" s="12"/>
      <c r="D543" s="12"/>
      <c r="E543" s="200"/>
      <c r="F543" s="2"/>
      <c r="G543" s="2"/>
      <c r="H543" s="2"/>
      <c r="I543" s="216" t="s">
        <v>13</v>
      </c>
      <c r="J543" s="1"/>
      <c r="K543" s="2" t="s">
        <v>13</v>
      </c>
      <c r="M543" s="11"/>
      <c r="N543" s="11"/>
      <c r="O543" s="38"/>
      <c r="P543" s="38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>
      <c r="A544" s="156" t="s">
        <v>240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  <c r="M544" s="11"/>
      <c r="N544" s="11"/>
      <c r="O544" s="38"/>
      <c r="P544" s="38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>
      <c r="A545" s="172" t="s">
        <v>250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11"/>
      <c r="N545" s="11"/>
      <c r="O545" s="38"/>
      <c r="P545" s="38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>
      <c r="A546" s="186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11"/>
      <c r="N546" s="11"/>
      <c r="O546" s="38"/>
      <c r="P546" s="38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>
      <c r="A547" s="186" t="s">
        <v>197</v>
      </c>
      <c r="B547" s="12"/>
      <c r="C547" s="182"/>
      <c r="D547" s="182"/>
      <c r="E547" s="2"/>
      <c r="F547" s="2"/>
      <c r="G547" s="1"/>
      <c r="H547" s="1"/>
      <c r="I547" s="2"/>
      <c r="J547" s="1"/>
      <c r="K547" s="1"/>
      <c r="M547" s="11"/>
      <c r="N547" s="11"/>
      <c r="O547" s="38"/>
      <c r="P547" s="38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>
      <c r="A548" s="186" t="s">
        <v>225</v>
      </c>
      <c r="B548" s="1"/>
      <c r="C548" s="182">
        <f>6+4+42</f>
        <v>52</v>
      </c>
      <c r="D548" s="182">
        <v>51</v>
      </c>
      <c r="E548" s="161">
        <f>$E$480</f>
        <v>225</v>
      </c>
      <c r="F548" s="186"/>
      <c r="G548" s="184">
        <f>ROUND(E548*$C548,0)</f>
        <v>11700</v>
      </c>
      <c r="H548" s="184">
        <f>ROUND(E548*$D548,0)</f>
        <v>11475</v>
      </c>
      <c r="I548" s="161">
        <f>$I$480</f>
        <v>245</v>
      </c>
      <c r="J548" s="186"/>
      <c r="K548" s="184">
        <f>ROUND(I548*$C548,0)</f>
        <v>12740</v>
      </c>
      <c r="M548" s="11"/>
      <c r="N548" s="11"/>
      <c r="O548" s="38"/>
      <c r="P548" s="38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>
      <c r="A549" s="186" t="s">
        <v>226</v>
      </c>
      <c r="B549" s="1"/>
      <c r="C549" s="182">
        <f>320+13+848</f>
        <v>1181</v>
      </c>
      <c r="D549" s="182">
        <v>1150</v>
      </c>
      <c r="E549" s="161">
        <f>$E$481</f>
        <v>83</v>
      </c>
      <c r="F549" s="186"/>
      <c r="G549" s="184">
        <f>ROUND(E549*$C549,0)</f>
        <v>98023</v>
      </c>
      <c r="H549" s="184">
        <f>ROUND(E549*$D549,0)</f>
        <v>95450</v>
      </c>
      <c r="I549" s="161">
        <f>$I$481</f>
        <v>90</v>
      </c>
      <c r="J549" s="186"/>
      <c r="K549" s="184">
        <f>ROUND(I549*$C549,0)</f>
        <v>106290</v>
      </c>
      <c r="M549" s="11"/>
      <c r="N549" s="11"/>
      <c r="O549" s="38"/>
      <c r="P549" s="38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>
      <c r="A550" s="186" t="s">
        <v>227</v>
      </c>
      <c r="B550" s="1"/>
      <c r="C550" s="182">
        <f>20+15+624</f>
        <v>659</v>
      </c>
      <c r="D550" s="182">
        <v>642</v>
      </c>
      <c r="E550" s="161">
        <f>$E$482</f>
        <v>166</v>
      </c>
      <c r="F550" s="188"/>
      <c r="G550" s="184">
        <f>ROUND(E550*$C550,0)</f>
        <v>109394</v>
      </c>
      <c r="H550" s="184">
        <f>ROUND(E550*$D550,0)</f>
        <v>106572</v>
      </c>
      <c r="I550" s="161">
        <f>$I$482</f>
        <v>180</v>
      </c>
      <c r="J550" s="188"/>
      <c r="K550" s="184">
        <f>ROUND(I550*$C550,0)</f>
        <v>118620</v>
      </c>
      <c r="M550" s="11"/>
      <c r="N550" s="11"/>
      <c r="O550" s="38"/>
      <c r="P550" s="38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>
      <c r="A551" s="186" t="s">
        <v>198</v>
      </c>
      <c r="B551" s="1"/>
      <c r="C551" s="182">
        <f>SUM(C548:C550)</f>
        <v>1892</v>
      </c>
      <c r="D551" s="182">
        <f>SUM(D548:D550)</f>
        <v>1843</v>
      </c>
      <c r="E551" s="161"/>
      <c r="F551" s="186"/>
      <c r="G551" s="184"/>
      <c r="H551" s="184"/>
      <c r="I551" s="161"/>
      <c r="J551" s="186"/>
      <c r="K551" s="184"/>
      <c r="M551" s="11"/>
      <c r="N551" s="11"/>
      <c r="O551" s="38"/>
      <c r="P551" s="38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>
      <c r="A552" s="186" t="s">
        <v>226</v>
      </c>
      <c r="B552" s="1"/>
      <c r="C552" s="182">
        <f>54864+1867+144667</f>
        <v>201398</v>
      </c>
      <c r="D552" s="182">
        <f>ROUND(($D$574/'Billing Determinants (2)'!$C$574)*C552,0)</f>
        <v>209360</v>
      </c>
      <c r="E552" s="161">
        <f>$E$484</f>
        <v>1.47</v>
      </c>
      <c r="F552" s="186" t="s">
        <v>13</v>
      </c>
      <c r="G552" s="184">
        <f>ROUND(E552*$C552,0)</f>
        <v>296055</v>
      </c>
      <c r="H552" s="184">
        <f>ROUND(E552*$D552,0)</f>
        <v>307759</v>
      </c>
      <c r="I552" s="161">
        <f>$I$484</f>
        <v>1.6</v>
      </c>
      <c r="J552" s="186" t="s">
        <v>13</v>
      </c>
      <c r="K552" s="184">
        <f>ROUND(I552*$C552,0)</f>
        <v>322237</v>
      </c>
      <c r="M552" s="11"/>
      <c r="N552" s="11"/>
      <c r="O552" s="38"/>
      <c r="P552" s="38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>
      <c r="A553" s="186" t="s">
        <v>227</v>
      </c>
      <c r="B553" s="1"/>
      <c r="C553" s="182">
        <f>6093+10153+350559</f>
        <v>366805</v>
      </c>
      <c r="D553" s="182">
        <f>ROUND(($D$574/'Billing Determinants (2)'!$C$574)*C553,0)</f>
        <v>381307</v>
      </c>
      <c r="E553" s="161">
        <f>$E$485</f>
        <v>1.2</v>
      </c>
      <c r="F553" s="186" t="s">
        <v>13</v>
      </c>
      <c r="G553" s="184">
        <f>ROUND(E553*$C553,0)</f>
        <v>440166</v>
      </c>
      <c r="H553" s="184">
        <f>ROUND(E553*$D553,0)</f>
        <v>457568</v>
      </c>
      <c r="I553" s="161">
        <f>$I$485</f>
        <v>1.3</v>
      </c>
      <c r="J553" s="186" t="s">
        <v>13</v>
      </c>
      <c r="K553" s="184">
        <f>ROUND(I553*$C553,0)</f>
        <v>476847</v>
      </c>
      <c r="M553" s="11"/>
      <c r="N553" s="11"/>
      <c r="O553" s="38"/>
      <c r="P553" s="38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>
      <c r="A554" s="172" t="s">
        <v>228</v>
      </c>
      <c r="B554" s="1"/>
      <c r="C554" s="182"/>
      <c r="D554" s="182"/>
      <c r="E554" s="218"/>
      <c r="F554" s="186"/>
      <c r="G554" s="184"/>
      <c r="H554" s="184"/>
      <c r="I554" s="218"/>
      <c r="J554" s="186"/>
      <c r="K554" s="184"/>
      <c r="M554" s="11"/>
      <c r="N554" s="11"/>
      <c r="O554" s="38"/>
      <c r="P554" s="38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>
      <c r="A555" s="172" t="s">
        <v>229</v>
      </c>
      <c r="B555" s="1"/>
      <c r="C555" s="182">
        <f>300+25155+1985+244+1804+9245+2788+120834+284508</f>
        <v>446863</v>
      </c>
      <c r="D555" s="182">
        <f>ROUND(($D$574/'Billing Determinants (2)'!$C$574)*C555,0)</f>
        <v>464530</v>
      </c>
      <c r="E555" s="161">
        <f>$E$487</f>
        <v>3.75</v>
      </c>
      <c r="F555" s="186"/>
      <c r="G555" s="184">
        <f>ROUND(E555*$C555,0)</f>
        <v>1675736</v>
      </c>
      <c r="H555" s="184">
        <f>ROUND(E555*$D555,0)</f>
        <v>1741988</v>
      </c>
      <c r="I555" s="161">
        <f>$I$487</f>
        <v>3.95</v>
      </c>
      <c r="J555" s="186"/>
      <c r="K555" s="184">
        <f>ROUND(I555*$C555,0)</f>
        <v>1765109</v>
      </c>
      <c r="M555" s="11"/>
      <c r="N555" s="11"/>
      <c r="O555" s="38"/>
      <c r="P555" s="38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>
      <c r="A556" s="172" t="s">
        <v>245</v>
      </c>
      <c r="B556" s="1"/>
      <c r="C556" s="182">
        <v>0</v>
      </c>
      <c r="D556" s="182">
        <f>ROUND(($D$574/'Billing Determinants (2)'!$C$574)*C556,0)</f>
        <v>0</v>
      </c>
      <c r="E556" s="232">
        <f>E555</f>
        <v>3.75</v>
      </c>
      <c r="F556" s="186"/>
      <c r="G556" s="184">
        <f>ROUND(E556*$C556,0)</f>
        <v>0</v>
      </c>
      <c r="H556" s="184">
        <f>ROUND(E556*$D556,0)</f>
        <v>0</v>
      </c>
      <c r="I556" s="232">
        <f>I555</f>
        <v>3.95</v>
      </c>
      <c r="J556" s="186"/>
      <c r="K556" s="184">
        <f>ROUND(I556*$C556,0)</f>
        <v>0</v>
      </c>
      <c r="M556" s="11"/>
      <c r="N556" s="11"/>
      <c r="O556" s="38"/>
      <c r="P556" s="38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>
      <c r="A557" s="186" t="s">
        <v>230</v>
      </c>
      <c r="B557" s="1"/>
      <c r="C557" s="182"/>
      <c r="D557" s="182"/>
      <c r="E557" s="161"/>
      <c r="F557" s="186"/>
      <c r="G557" s="184"/>
      <c r="H557" s="184"/>
      <c r="I557" s="161"/>
      <c r="J557" s="186"/>
      <c r="K557" s="184"/>
      <c r="M557" s="11"/>
      <c r="N557" s="11"/>
      <c r="O557" s="38"/>
      <c r="P557" s="38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>
      <c r="A558" s="186" t="s">
        <v>231</v>
      </c>
      <c r="B558" s="1"/>
      <c r="C558" s="182">
        <f>29360+2957989+147440+73200+518400+602667+369500+25799011+24094693</f>
        <v>54592260</v>
      </c>
      <c r="D558" s="182">
        <f>ROUND(($D$574/'Billing Determinants (2)'!$C$574)*C558,0)</f>
        <v>56750605</v>
      </c>
      <c r="E558" s="233">
        <f>$E$490</f>
        <v>4.3570000000000002</v>
      </c>
      <c r="F558" s="186" t="s">
        <v>178</v>
      </c>
      <c r="G558" s="184">
        <f>ROUND(E558*$C558/100,0)</f>
        <v>2378585</v>
      </c>
      <c r="H558" s="184">
        <f>ROUND(E558*$D558/100,0)</f>
        <v>2472624</v>
      </c>
      <c r="I558" s="190">
        <f>$I$490</f>
        <v>4.8559999999999999</v>
      </c>
      <c r="J558" s="186" t="s">
        <v>178</v>
      </c>
      <c r="K558" s="184">
        <f>ROUND(I558*$C558/100,0)</f>
        <v>2651000</v>
      </c>
      <c r="M558" s="11"/>
      <c r="N558" s="11"/>
      <c r="O558" s="38"/>
      <c r="P558" s="38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>
      <c r="A559" s="186" t="s">
        <v>203</v>
      </c>
      <c r="B559" s="1"/>
      <c r="C559" s="182">
        <f>29360+3798842+224080+73200+1075199+4549199+369500+35089176+95992349-C558</f>
        <v>86608645</v>
      </c>
      <c r="D559" s="182">
        <f>ROUND(($D$574/'Billing Determinants (2)'!$C$574)*C559,0)</f>
        <v>90032782</v>
      </c>
      <c r="E559" s="233">
        <f>$E$491</f>
        <v>3.9930000000000003</v>
      </c>
      <c r="F559" s="186" t="s">
        <v>178</v>
      </c>
      <c r="G559" s="184">
        <f>ROUND(E559*$C559/100,0)</f>
        <v>3458283</v>
      </c>
      <c r="H559" s="184">
        <f>ROUND(E559*$D559/100,0)</f>
        <v>3595009</v>
      </c>
      <c r="I559" s="190">
        <f>$I$491</f>
        <v>4.4550000000000001</v>
      </c>
      <c r="J559" s="186" t="s">
        <v>178</v>
      </c>
      <c r="K559" s="184">
        <f>ROUND(I559*$C559/100,0)</f>
        <v>3858415</v>
      </c>
      <c r="M559" s="11"/>
      <c r="N559" s="11"/>
      <c r="O559" s="38"/>
      <c r="P559" s="38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>
      <c r="A560" s="186" t="s">
        <v>204</v>
      </c>
      <c r="B560" s="1"/>
      <c r="C560" s="182">
        <f>32+6144+487+15+1044+3294+435+35034+100127</f>
        <v>146612</v>
      </c>
      <c r="D560" s="182">
        <f>ROUND(($D$574/'Billing Determinants (2)'!$C$574)*C560,0)</f>
        <v>152408</v>
      </c>
      <c r="E560" s="202">
        <f>$E$492</f>
        <v>45</v>
      </c>
      <c r="F560" s="186" t="s">
        <v>178</v>
      </c>
      <c r="G560" s="184">
        <f>ROUND(E560*$C560/100,0)</f>
        <v>65975</v>
      </c>
      <c r="H560" s="184">
        <f>ROUND(E560*$D560/100,0)</f>
        <v>68584</v>
      </c>
      <c r="I560" s="338">
        <f>$I$492</f>
        <v>50</v>
      </c>
      <c r="J560" s="186" t="s">
        <v>178</v>
      </c>
      <c r="K560" s="184">
        <f>ROUND(I560*$C560/100,0)</f>
        <v>73306</v>
      </c>
      <c r="M560" s="11"/>
      <c r="N560" s="11"/>
      <c r="O560" s="38"/>
      <c r="P560" s="38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>
      <c r="A561" s="223" t="s">
        <v>205</v>
      </c>
      <c r="B561" s="1"/>
      <c r="C561" s="182"/>
      <c r="D561" s="182"/>
      <c r="E561" s="195">
        <v>-0.01</v>
      </c>
      <c r="F561" s="2"/>
      <c r="G561" s="184"/>
      <c r="H561" s="184"/>
      <c r="I561" s="195">
        <v>-0.01</v>
      </c>
      <c r="J561" s="1"/>
      <c r="K561" s="184"/>
      <c r="M561" s="11"/>
      <c r="N561" s="11"/>
      <c r="O561" s="38"/>
      <c r="P561" s="38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>
      <c r="A562" s="186" t="s">
        <v>225</v>
      </c>
      <c r="B562" s="1"/>
      <c r="C562" s="182">
        <v>4</v>
      </c>
      <c r="D562" s="182">
        <v>4</v>
      </c>
      <c r="E562" s="167">
        <f>E548</f>
        <v>225</v>
      </c>
      <c r="F562" s="227"/>
      <c r="G562" s="184">
        <f>ROUND(E562*$C562*E561,0)</f>
        <v>-9</v>
      </c>
      <c r="H562" s="184">
        <f>ROUND(E562*$D562*E561,0)</f>
        <v>-9</v>
      </c>
      <c r="I562" s="167">
        <f>I548</f>
        <v>245</v>
      </c>
      <c r="J562" s="156"/>
      <c r="K562" s="184">
        <f>ROUND(I562*$C562*I561,0)</f>
        <v>-10</v>
      </c>
      <c r="M562" s="11"/>
      <c r="N562" s="11"/>
      <c r="O562" s="38"/>
      <c r="P562" s="38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>
      <c r="A563" s="186" t="s">
        <v>226</v>
      </c>
      <c r="B563" s="1"/>
      <c r="C563" s="182">
        <v>13</v>
      </c>
      <c r="D563" s="182">
        <v>13</v>
      </c>
      <c r="E563" s="167">
        <f>E549</f>
        <v>83</v>
      </c>
      <c r="F563" s="227"/>
      <c r="G563" s="184">
        <f>ROUND(E563*$C563*E561,0)</f>
        <v>-11</v>
      </c>
      <c r="H563" s="184">
        <f>ROUND(E563*$D563*E561,0)</f>
        <v>-11</v>
      </c>
      <c r="I563" s="167">
        <f>I549</f>
        <v>90</v>
      </c>
      <c r="J563" s="156"/>
      <c r="K563" s="184">
        <f>ROUND(I563*$C563*I561,0)</f>
        <v>-12</v>
      </c>
      <c r="M563" s="11"/>
      <c r="N563" s="11"/>
      <c r="O563" s="38"/>
      <c r="P563" s="38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>
      <c r="A564" s="186" t="s">
        <v>227</v>
      </c>
      <c r="B564" s="1"/>
      <c r="C564" s="182">
        <v>15</v>
      </c>
      <c r="D564" s="182">
        <v>15</v>
      </c>
      <c r="E564" s="167">
        <f>E550</f>
        <v>166</v>
      </c>
      <c r="F564" s="235"/>
      <c r="G564" s="184">
        <f>ROUND(E564*$C564*E561,0)</f>
        <v>-25</v>
      </c>
      <c r="H564" s="184">
        <f>ROUND(E564*$D564*E561,0)</f>
        <v>-25</v>
      </c>
      <c r="I564" s="167">
        <f>I550</f>
        <v>180</v>
      </c>
      <c r="J564" s="236"/>
      <c r="K564" s="184">
        <f>ROUND(I564*$C564*I561,0)</f>
        <v>-27</v>
      </c>
      <c r="M564" s="11"/>
      <c r="N564" s="11"/>
      <c r="O564" s="38"/>
      <c r="P564" s="38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>
      <c r="A565" s="186" t="s">
        <v>226</v>
      </c>
      <c r="B565" s="1"/>
      <c r="C565" s="182">
        <v>1867</v>
      </c>
      <c r="D565" s="182">
        <f>ROUND(($D$574/'Billing Determinants (2)'!$C$574)*C565,0)</f>
        <v>1941</v>
      </c>
      <c r="E565" s="167">
        <f>E552</f>
        <v>1.47</v>
      </c>
      <c r="F565" s="227"/>
      <c r="G565" s="184">
        <f>ROUND(E565*$C565*E561,0)</f>
        <v>-27</v>
      </c>
      <c r="H565" s="184">
        <f>ROUND(E565*$D565*E561,0)</f>
        <v>-29</v>
      </c>
      <c r="I565" s="167">
        <f>I552</f>
        <v>1.6</v>
      </c>
      <c r="J565" s="156"/>
      <c r="K565" s="184">
        <f>ROUND(I565*$C565*I561,0)</f>
        <v>-30</v>
      </c>
      <c r="M565" s="11"/>
      <c r="N565" s="11"/>
      <c r="O565" s="38"/>
      <c r="P565" s="38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>
      <c r="A566" s="186" t="s">
        <v>227</v>
      </c>
      <c r="B566" s="1"/>
      <c r="C566" s="182">
        <v>10153</v>
      </c>
      <c r="D566" s="182">
        <f>ROUND(($D$574/'Billing Determinants (2)'!$C$574)*C566,0)</f>
        <v>10554</v>
      </c>
      <c r="E566" s="167">
        <f>E553</f>
        <v>1.2</v>
      </c>
      <c r="F566" s="227" t="s">
        <v>13</v>
      </c>
      <c r="G566" s="184">
        <f>ROUND(E566*$C566*E561,0)</f>
        <v>-122</v>
      </c>
      <c r="H566" s="184">
        <f>ROUND(E566*$D566*E561,0)</f>
        <v>-127</v>
      </c>
      <c r="I566" s="167">
        <f>I553</f>
        <v>1.3</v>
      </c>
      <c r="J566" s="156"/>
      <c r="K566" s="184">
        <f>ROUND(I566*$C566*I561,0)</f>
        <v>-132</v>
      </c>
      <c r="M566" s="11"/>
      <c r="N566" s="11"/>
      <c r="O566" s="38"/>
      <c r="P566" s="38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>
      <c r="A567" s="172" t="s">
        <v>229</v>
      </c>
      <c r="B567" s="1"/>
      <c r="C567" s="182">
        <f>244+1804+9245</f>
        <v>11293</v>
      </c>
      <c r="D567" s="182">
        <f>ROUND(($D$574/'Billing Determinants (2)'!$C$574)*C567,0)</f>
        <v>11739</v>
      </c>
      <c r="E567" s="167">
        <f>E555</f>
        <v>3.75</v>
      </c>
      <c r="F567" s="227" t="s">
        <v>13</v>
      </c>
      <c r="G567" s="184">
        <f>ROUND(E567*$C567*E561,0)</f>
        <v>-423</v>
      </c>
      <c r="H567" s="184">
        <f>ROUND(E567*$D567*E561,0)</f>
        <v>-440</v>
      </c>
      <c r="I567" s="167">
        <f>I555</f>
        <v>3.95</v>
      </c>
      <c r="J567" s="156"/>
      <c r="K567" s="184">
        <f>ROUND(I567*$C567*I561,0)</f>
        <v>-446</v>
      </c>
      <c r="M567" s="11"/>
      <c r="N567" s="11"/>
      <c r="O567" s="38"/>
      <c r="P567" s="38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>
      <c r="A568" s="172" t="s">
        <v>245</v>
      </c>
      <c r="B568" s="1"/>
      <c r="C568" s="182">
        <v>0</v>
      </c>
      <c r="D568" s="182">
        <f>ROUND(($D$574/'Billing Determinants (2)'!$C$574)*C568,0)</f>
        <v>0</v>
      </c>
      <c r="E568" s="167">
        <f>E556</f>
        <v>3.75</v>
      </c>
      <c r="F568" s="227" t="s">
        <v>13</v>
      </c>
      <c r="G568" s="184">
        <f>ROUND(E568*$C568*E561,0)</f>
        <v>0</v>
      </c>
      <c r="H568" s="184">
        <f>ROUND(E568*$D568*E561,0)</f>
        <v>0</v>
      </c>
      <c r="I568" s="167">
        <f>I556</f>
        <v>3.95</v>
      </c>
      <c r="J568" s="156"/>
      <c r="K568" s="184">
        <f>ROUND(I568*$C568*I561,0)</f>
        <v>0</v>
      </c>
      <c r="M568" s="11"/>
      <c r="N568" s="11"/>
      <c r="O568" s="38"/>
      <c r="P568" s="38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>
      <c r="A569" s="186" t="s">
        <v>231</v>
      </c>
      <c r="B569" s="1"/>
      <c r="C569" s="182">
        <f>73200+518400+602667</f>
        <v>1194267</v>
      </c>
      <c r="D569" s="182">
        <f>ROUND(($D$574/'Billing Determinants (2)'!$C$574)*C569,0)</f>
        <v>1241483</v>
      </c>
      <c r="E569" s="237">
        <f>E558</f>
        <v>4.3570000000000002</v>
      </c>
      <c r="F569" s="184" t="s">
        <v>178</v>
      </c>
      <c r="G569" s="184">
        <f>ROUND(E569*$C569/100*E561,0)</f>
        <v>-520</v>
      </c>
      <c r="H569" s="184">
        <f>ROUND(E569*$D569/100*E561,0)</f>
        <v>-541</v>
      </c>
      <c r="I569" s="237">
        <f>I558</f>
        <v>4.8559999999999999</v>
      </c>
      <c r="J569" s="186" t="s">
        <v>178</v>
      </c>
      <c r="K569" s="184">
        <f>ROUND(I569*$C569/100*I561,0)</f>
        <v>-580</v>
      </c>
      <c r="M569" s="11"/>
      <c r="N569" s="11"/>
      <c r="O569" s="38"/>
      <c r="P569" s="38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>
      <c r="A570" s="186" t="s">
        <v>203</v>
      </c>
      <c r="B570" s="1"/>
      <c r="C570" s="182">
        <f>73200+1075199+4549199-C569</f>
        <v>4503331</v>
      </c>
      <c r="D570" s="182">
        <f>ROUND(($D$574/'Billing Determinants (2)'!$C$574)*C570,0)</f>
        <v>4681374</v>
      </c>
      <c r="E570" s="237">
        <f>E559</f>
        <v>3.9930000000000003</v>
      </c>
      <c r="F570" s="184" t="s">
        <v>178</v>
      </c>
      <c r="G570" s="184">
        <f>ROUND(E570*$C570/100*E561,0)</f>
        <v>-1798</v>
      </c>
      <c r="H570" s="184">
        <f>ROUND(E570*$D570/100*E561,0)</f>
        <v>-1869</v>
      </c>
      <c r="I570" s="237">
        <f>I559</f>
        <v>4.4550000000000001</v>
      </c>
      <c r="J570" s="186" t="s">
        <v>178</v>
      </c>
      <c r="K570" s="184">
        <f>ROUND(I570*$C570/100*I561,0)</f>
        <v>-2006</v>
      </c>
      <c r="M570" s="11"/>
      <c r="N570" s="11"/>
      <c r="O570" s="38"/>
      <c r="P570" s="38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>
      <c r="A571" s="186" t="s">
        <v>204</v>
      </c>
      <c r="B571" s="1"/>
      <c r="C571" s="182">
        <f>15+1044+3294</f>
        <v>4353</v>
      </c>
      <c r="D571" s="182">
        <f>ROUND(($D$574/'Billing Determinants (2)'!$C$574)*C571,0)</f>
        <v>4525</v>
      </c>
      <c r="E571" s="238">
        <f>E560</f>
        <v>45</v>
      </c>
      <c r="F571" s="184" t="s">
        <v>178</v>
      </c>
      <c r="G571" s="184">
        <f>ROUND(E571*$C571/100*E561,0)</f>
        <v>-20</v>
      </c>
      <c r="H571" s="184">
        <f>ROUND(E571*$D571/100*E561,0)</f>
        <v>-20</v>
      </c>
      <c r="I571" s="238">
        <f>I560</f>
        <v>50</v>
      </c>
      <c r="J571" s="186" t="s">
        <v>178</v>
      </c>
      <c r="K571" s="184">
        <f>ROUND(I571*$C571/100*I561,0)</f>
        <v>-22</v>
      </c>
      <c r="M571" s="11"/>
      <c r="N571" s="11"/>
      <c r="O571" s="38"/>
      <c r="P571" s="38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>
      <c r="A572" s="186" t="s">
        <v>247</v>
      </c>
      <c r="B572" s="1"/>
      <c r="C572" s="182">
        <f>C562+C563+C564</f>
        <v>32</v>
      </c>
      <c r="D572" s="182">
        <v>31</v>
      </c>
      <c r="E572" s="161">
        <f>$E$504</f>
        <v>60</v>
      </c>
      <c r="F572" s="227" t="s">
        <v>13</v>
      </c>
      <c r="G572" s="184">
        <f>ROUND(E572*$C572,0)</f>
        <v>1920</v>
      </c>
      <c r="H572" s="184">
        <f>ROUND(E572*$D572,0)</f>
        <v>1860</v>
      </c>
      <c r="I572" s="161">
        <f>$I$504</f>
        <v>60</v>
      </c>
      <c r="J572" s="1"/>
      <c r="K572" s="184">
        <f>ROUND(I572*$C572,0)</f>
        <v>1920</v>
      </c>
      <c r="M572" s="11"/>
      <c r="N572" s="11"/>
      <c r="O572" s="38"/>
      <c r="P572" s="38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>
      <c r="A573" s="186" t="s">
        <v>248</v>
      </c>
      <c r="B573" s="1"/>
      <c r="C573" s="182">
        <f>C565+C566</f>
        <v>12020</v>
      </c>
      <c r="D573" s="182">
        <f>ROUND(($D$574/'Billing Determinants (2)'!$C$574)*C573,0)</f>
        <v>12495</v>
      </c>
      <c r="E573" s="202">
        <f>$E$505</f>
        <v>-30</v>
      </c>
      <c r="F573" s="184" t="s">
        <v>178</v>
      </c>
      <c r="G573" s="184">
        <f>ROUND(E573*$C573/100,0)</f>
        <v>-3606</v>
      </c>
      <c r="H573" s="184">
        <f>ROUND(E573*$D573/100,0)</f>
        <v>-3749</v>
      </c>
      <c r="I573" s="202">
        <f>$I$505</f>
        <v>-30</v>
      </c>
      <c r="J573" s="184" t="s">
        <v>178</v>
      </c>
      <c r="K573" s="184">
        <f>ROUND(I573*$C573/100,0)</f>
        <v>-3606</v>
      </c>
      <c r="M573" s="11"/>
      <c r="N573" s="11"/>
      <c r="O573" s="38"/>
      <c r="P573" s="38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>
      <c r="A574" s="1" t="s">
        <v>185</v>
      </c>
      <c r="B574" s="1"/>
      <c r="C574" s="182">
        <f>SUM(C558:C559)</f>
        <v>141200905</v>
      </c>
      <c r="D574" s="182">
        <v>146783387.35514688</v>
      </c>
      <c r="E574" s="193"/>
      <c r="F574" s="2"/>
      <c r="G574" s="2">
        <f>SUM(G548:G573)</f>
        <v>8529276</v>
      </c>
      <c r="H574" s="2">
        <f>SUM(H548:H573)</f>
        <v>8852069</v>
      </c>
      <c r="I574" s="193"/>
      <c r="J574" s="1"/>
      <c r="K574" s="2">
        <f>SUM(K548:K573)</f>
        <v>9379613</v>
      </c>
      <c r="M574" s="11"/>
      <c r="N574" s="11"/>
      <c r="O574" s="38"/>
      <c r="P574" s="38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>
      <c r="A575" s="1" t="s">
        <v>167</v>
      </c>
      <c r="B575" s="1"/>
      <c r="C575" s="212" t="e">
        <f>#REF!</f>
        <v>#REF!</v>
      </c>
      <c r="D575" s="203">
        <v>0</v>
      </c>
      <c r="E575" s="172"/>
      <c r="F575" s="172"/>
      <c r="G575" s="173" t="e">
        <f>#REF!</f>
        <v>#REF!</v>
      </c>
      <c r="H575" s="173">
        <v>0</v>
      </c>
      <c r="I575" s="172"/>
      <c r="J575" s="172"/>
      <c r="K575" s="173" t="e">
        <f>G575</f>
        <v>#REF!</v>
      </c>
      <c r="M575" s="307"/>
      <c r="N575" s="307"/>
      <c r="O575" s="150"/>
      <c r="P575" s="38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6.5" thickBot="1">
      <c r="A576" s="1" t="s">
        <v>186</v>
      </c>
      <c r="B576" s="1"/>
      <c r="C576" s="229" t="e">
        <f>SUM(C574)+C575</f>
        <v>#REF!</v>
      </c>
      <c r="D576" s="229">
        <f>SUM(D558:D559)+D575</f>
        <v>146783387</v>
      </c>
      <c r="E576" s="205"/>
      <c r="F576" s="206"/>
      <c r="G576" s="207" t="e">
        <f>G574+G575</f>
        <v>#REF!</v>
      </c>
      <c r="H576" s="207">
        <f>H574+H575</f>
        <v>8852069</v>
      </c>
      <c r="I576" s="205"/>
      <c r="J576" s="208"/>
      <c r="K576" s="207" t="e">
        <f>K574+K575</f>
        <v>#REF!</v>
      </c>
      <c r="M576" s="274"/>
      <c r="N576" s="274"/>
      <c r="O576" s="333"/>
      <c r="P576" s="38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6.5" thickTop="1">
      <c r="A577" s="166"/>
      <c r="B577" s="241"/>
      <c r="C577" s="166"/>
      <c r="D577" s="166"/>
      <c r="E577" s="12"/>
      <c r="F577" s="12"/>
      <c r="G577" s="242"/>
      <c r="H577" s="242"/>
      <c r="I577" s="166"/>
      <c r="J577" s="166"/>
      <c r="K577" s="166"/>
      <c r="M577" s="11"/>
      <c r="N577" s="11"/>
      <c r="O577" s="38"/>
      <c r="P577" s="38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>
      <c r="A578" s="156" t="s">
        <v>251</v>
      </c>
      <c r="B578" s="1"/>
      <c r="C578" s="12"/>
      <c r="D578" s="12"/>
      <c r="E578" s="200"/>
      <c r="F578" s="2"/>
      <c r="G578" s="2"/>
      <c r="H578" s="2"/>
      <c r="I578" s="200"/>
      <c r="J578" s="1"/>
      <c r="K578" s="2"/>
      <c r="M578" s="11"/>
      <c r="N578" s="11"/>
      <c r="O578" s="38"/>
      <c r="P578" s="38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>
      <c r="A579" s="172" t="s">
        <v>252</v>
      </c>
      <c r="B579" s="1"/>
      <c r="C579" s="12"/>
      <c r="D579" s="12"/>
      <c r="E579" s="200"/>
      <c r="F579" s="2"/>
      <c r="G579" s="2"/>
      <c r="H579" s="2"/>
      <c r="I579" s="200"/>
      <c r="J579" s="1"/>
      <c r="K579" s="2"/>
      <c r="M579" s="11"/>
      <c r="N579" s="11"/>
      <c r="O579" s="38"/>
      <c r="P579" s="38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>
      <c r="A580" s="186"/>
      <c r="B580" s="1"/>
      <c r="C580" s="12"/>
      <c r="D580" s="12"/>
      <c r="E580" s="200"/>
      <c r="F580" s="2"/>
      <c r="G580" s="243"/>
      <c r="H580" s="243"/>
      <c r="I580" s="200"/>
      <c r="J580" s="1"/>
      <c r="K580" s="244"/>
      <c r="M580" s="11"/>
      <c r="N580" s="11"/>
      <c r="O580" s="38"/>
      <c r="P580" s="38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>
      <c r="A581" s="172" t="s">
        <v>253</v>
      </c>
      <c r="B581" s="1"/>
      <c r="C581" s="182"/>
      <c r="D581" s="182"/>
      <c r="E581" s="2" t="s">
        <v>13</v>
      </c>
      <c r="F581" s="2"/>
      <c r="G581" s="1"/>
      <c r="H581" s="1"/>
      <c r="I581" s="2" t="s">
        <v>13</v>
      </c>
      <c r="J581" s="1"/>
      <c r="K581" s="1"/>
      <c r="M581" s="11"/>
      <c r="N581" s="11"/>
      <c r="O581" s="38"/>
      <c r="P581" s="38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>
      <c r="A582" s="172" t="s">
        <v>254</v>
      </c>
      <c r="B582" s="1"/>
      <c r="C582" s="182">
        <f>C633+C684</f>
        <v>1048</v>
      </c>
      <c r="D582" s="182">
        <f>D633+D684</f>
        <v>1059</v>
      </c>
      <c r="E582" s="200">
        <v>0</v>
      </c>
      <c r="F582" s="187"/>
      <c r="G582" s="184">
        <f>G633+G684</f>
        <v>0</v>
      </c>
      <c r="H582" s="184">
        <f>H633+H684</f>
        <v>0</v>
      </c>
      <c r="I582" s="200">
        <f>'Blocking - detail'!I582</f>
        <v>0</v>
      </c>
      <c r="J582" s="187"/>
      <c r="K582" s="184">
        <f>K633+K684</f>
        <v>0</v>
      </c>
      <c r="M582" s="42">
        <f>I582*D582</f>
        <v>0</v>
      </c>
      <c r="O582" s="8"/>
      <c r="P582" s="33" t="s">
        <v>13</v>
      </c>
      <c r="R582" s="192"/>
      <c r="T582" s="3" t="s">
        <v>175</v>
      </c>
      <c r="U582" s="3" t="s">
        <v>120</v>
      </c>
      <c r="V582" s="3" t="s">
        <v>176</v>
      </c>
      <c r="W582" s="3" t="s">
        <v>126</v>
      </c>
      <c r="X582" s="11"/>
      <c r="Y582" s="11"/>
      <c r="Z582" s="11"/>
      <c r="AA582" s="11"/>
      <c r="AB582" s="11"/>
      <c r="AC582" s="11"/>
    </row>
    <row r="583" spans="1:29">
      <c r="A583" s="172" t="s">
        <v>255</v>
      </c>
      <c r="B583" s="1"/>
      <c r="C583" s="182"/>
      <c r="D583" s="182"/>
      <c r="E583" s="200"/>
      <c r="F583" s="187"/>
      <c r="G583" s="184"/>
      <c r="H583" s="184"/>
      <c r="I583" s="200"/>
      <c r="J583" s="187"/>
      <c r="K583" s="184"/>
      <c r="R583" s="192"/>
      <c r="S583" s="3" t="s">
        <v>246</v>
      </c>
      <c r="T583" s="42">
        <f>SUM(H582:H597)</f>
        <v>1968384</v>
      </c>
      <c r="U583" s="42">
        <f>SUM(K582:K597)</f>
        <v>2343533.4900000002</v>
      </c>
      <c r="V583" s="49">
        <v>2708270.4985879958</v>
      </c>
      <c r="W583" s="101">
        <f>U583/V583</f>
        <v>0.86532474921609281</v>
      </c>
      <c r="X583" s="11"/>
      <c r="Y583" s="11"/>
      <c r="Z583" s="11"/>
      <c r="AA583" s="11"/>
      <c r="AB583" s="11"/>
      <c r="AC583" s="11"/>
    </row>
    <row r="584" spans="1:29">
      <c r="A584" s="172" t="s">
        <v>256</v>
      </c>
      <c r="B584" s="1"/>
      <c r="C584" s="182">
        <f t="shared" ref="C584:D589" si="51">C635+C686</f>
        <v>3799</v>
      </c>
      <c r="D584" s="182">
        <f t="shared" si="51"/>
        <v>3832</v>
      </c>
      <c r="E584" s="200">
        <v>0</v>
      </c>
      <c r="F584" s="187"/>
      <c r="G584" s="184">
        <f t="shared" ref="G584:H586" si="52">G635+G686</f>
        <v>0</v>
      </c>
      <c r="H584" s="184">
        <f t="shared" si="52"/>
        <v>0</v>
      </c>
      <c r="I584" s="200">
        <v>0</v>
      </c>
      <c r="J584" s="187"/>
      <c r="K584" s="184">
        <f>K635+K686</f>
        <v>0</v>
      </c>
      <c r="M584" s="42">
        <f>I584*D584</f>
        <v>0</v>
      </c>
      <c r="N584" s="22"/>
      <c r="S584" s="3" t="s">
        <v>263</v>
      </c>
      <c r="T584" s="42">
        <f>H602</f>
        <v>8116487</v>
      </c>
      <c r="U584" s="42">
        <f>K602</f>
        <v>9717128</v>
      </c>
      <c r="V584" s="49">
        <v>8051434.7234117109</v>
      </c>
      <c r="W584" s="101">
        <f>U584/V584</f>
        <v>1.2068815476755761</v>
      </c>
      <c r="X584" s="11"/>
      <c r="Y584" s="11"/>
      <c r="Z584" s="11"/>
      <c r="AA584" s="11"/>
      <c r="AB584" s="11"/>
      <c r="AC584" s="11"/>
    </row>
    <row r="585" spans="1:29">
      <c r="A585" s="172" t="s">
        <v>257</v>
      </c>
      <c r="B585" s="1"/>
      <c r="C585" s="182">
        <f t="shared" si="51"/>
        <v>387</v>
      </c>
      <c r="D585" s="182">
        <f t="shared" si="51"/>
        <v>390</v>
      </c>
      <c r="E585" s="200">
        <v>301</v>
      </c>
      <c r="F585" s="187"/>
      <c r="G585" s="184">
        <f t="shared" si="52"/>
        <v>116487</v>
      </c>
      <c r="H585" s="184">
        <f t="shared" si="52"/>
        <v>117390</v>
      </c>
      <c r="I585" s="200">
        <f>ROUND(E585+(E585*$P$627),0)+2</f>
        <v>333</v>
      </c>
      <c r="J585" s="187"/>
      <c r="K585" s="184">
        <f>K636+K687</f>
        <v>128871</v>
      </c>
      <c r="M585" s="42">
        <f>I585*D585</f>
        <v>129870</v>
      </c>
      <c r="N585" s="33"/>
      <c r="O585" s="8">
        <f>(I585-E585)/E585</f>
        <v>0.10631229235880399</v>
      </c>
      <c r="S585" s="192"/>
      <c r="U585" s="192"/>
      <c r="V585" s="11"/>
      <c r="W585" s="11"/>
      <c r="X585" s="11"/>
      <c r="Y585" s="11"/>
      <c r="Z585" s="11"/>
      <c r="AA585" s="11"/>
      <c r="AB585" s="11"/>
      <c r="AC585" s="11"/>
    </row>
    <row r="586" spans="1:29">
      <c r="A586" s="172" t="s">
        <v>258</v>
      </c>
      <c r="B586" s="1"/>
      <c r="C586" s="182">
        <f t="shared" si="51"/>
        <v>11</v>
      </c>
      <c r="D586" s="182">
        <f t="shared" si="51"/>
        <v>11</v>
      </c>
      <c r="E586" s="200">
        <v>1215</v>
      </c>
      <c r="F586" s="187"/>
      <c r="G586" s="184">
        <f t="shared" si="52"/>
        <v>13365</v>
      </c>
      <c r="H586" s="184">
        <f t="shared" si="52"/>
        <v>13365</v>
      </c>
      <c r="I586" s="200">
        <f>ROUND(E586+(E586*$P$627),0)</f>
        <v>1335</v>
      </c>
      <c r="J586" s="187"/>
      <c r="K586" s="184">
        <f>K637+K688</f>
        <v>14685</v>
      </c>
      <c r="M586" s="42">
        <f>I586*D586</f>
        <v>14685</v>
      </c>
      <c r="N586" s="33"/>
      <c r="O586" s="8">
        <f>(I586-E586)/E586</f>
        <v>9.8765432098765427E-2</v>
      </c>
      <c r="V586" s="11"/>
      <c r="W586" s="11"/>
      <c r="X586" s="11"/>
      <c r="Y586" s="11"/>
      <c r="Z586" s="11"/>
      <c r="AA586" s="11"/>
      <c r="AB586" s="11"/>
      <c r="AC586" s="11"/>
    </row>
    <row r="587" spans="1:29">
      <c r="A587" s="172" t="s">
        <v>166</v>
      </c>
      <c r="B587" s="1"/>
      <c r="C587" s="182">
        <f t="shared" si="51"/>
        <v>5245</v>
      </c>
      <c r="D587" s="182">
        <f t="shared" si="51"/>
        <v>5292.9166666666661</v>
      </c>
      <c r="E587" s="200"/>
      <c r="F587" s="187"/>
      <c r="G587" s="184"/>
      <c r="H587" s="184"/>
      <c r="I587" s="200"/>
      <c r="J587" s="187"/>
      <c r="K587" s="184"/>
      <c r="M587" s="33"/>
      <c r="N587" s="33"/>
      <c r="O587" s="183"/>
      <c r="S587" s="192"/>
      <c r="U587" s="192"/>
      <c r="V587" s="11"/>
      <c r="W587" s="11"/>
      <c r="X587" s="11"/>
      <c r="Y587" s="11"/>
      <c r="Z587" s="11"/>
      <c r="AA587" s="11"/>
      <c r="AB587" s="11"/>
      <c r="AC587" s="11"/>
    </row>
    <row r="588" spans="1:29">
      <c r="A588" s="172" t="s">
        <v>259</v>
      </c>
      <c r="B588" s="1"/>
      <c r="C588" s="182">
        <f t="shared" si="51"/>
        <v>34182</v>
      </c>
      <c r="D588" s="182">
        <f t="shared" si="51"/>
        <v>34504</v>
      </c>
      <c r="E588" s="200"/>
      <c r="F588" s="187"/>
      <c r="G588" s="184"/>
      <c r="H588" s="184"/>
      <c r="I588" s="200"/>
      <c r="J588" s="187"/>
      <c r="K588" s="184"/>
      <c r="M588" s="33"/>
      <c r="N588" s="33"/>
      <c r="V588" s="11"/>
      <c r="W588" s="11"/>
      <c r="X588" s="11"/>
      <c r="Y588" s="11"/>
      <c r="Z588" s="11"/>
      <c r="AA588" s="11"/>
      <c r="AB588" s="11"/>
      <c r="AC588" s="11"/>
    </row>
    <row r="589" spans="1:29">
      <c r="A589" s="172" t="s">
        <v>24</v>
      </c>
      <c r="B589" s="1"/>
      <c r="C589" s="182">
        <f t="shared" si="51"/>
        <v>5727</v>
      </c>
      <c r="D589" s="182">
        <f t="shared" si="51"/>
        <v>5781</v>
      </c>
      <c r="E589" s="200"/>
      <c r="F589" s="184"/>
      <c r="G589" s="184"/>
      <c r="H589" s="184"/>
      <c r="I589" s="200"/>
      <c r="J589" s="184"/>
      <c r="K589" s="197">
        <f>I591*3</f>
        <v>65.489999999999995</v>
      </c>
      <c r="M589" s="33"/>
      <c r="N589" s="33"/>
      <c r="O589" s="183"/>
      <c r="P589" s="157"/>
      <c r="V589" s="11"/>
      <c r="W589" s="11"/>
      <c r="X589" s="11"/>
      <c r="Y589" s="11"/>
      <c r="Z589" s="11"/>
      <c r="AA589" s="11"/>
      <c r="AB589" s="11"/>
      <c r="AC589" s="11"/>
    </row>
    <row r="590" spans="1:29">
      <c r="A590" s="172" t="s">
        <v>260</v>
      </c>
      <c r="B590" s="1"/>
      <c r="C590" s="182"/>
      <c r="D590" s="182"/>
      <c r="E590" s="200"/>
      <c r="F590" s="187"/>
      <c r="G590" s="184"/>
      <c r="H590" s="184"/>
      <c r="I590" s="200"/>
      <c r="J590" s="187"/>
      <c r="K590" s="184"/>
      <c r="M590" s="33"/>
      <c r="N590" s="33"/>
      <c r="O590" s="183"/>
      <c r="V590" s="11"/>
      <c r="W590" s="11"/>
      <c r="X590" s="11"/>
      <c r="Y590" s="11"/>
      <c r="Z590" s="11"/>
      <c r="AA590" s="11"/>
      <c r="AB590" s="11"/>
      <c r="AC590" s="11"/>
    </row>
    <row r="591" spans="1:29">
      <c r="A591" s="172" t="s">
        <v>261</v>
      </c>
      <c r="B591" s="1"/>
      <c r="C591" s="182">
        <f>C642+C693</f>
        <v>5248</v>
      </c>
      <c r="D591" s="182">
        <f>D642+D693</f>
        <v>4813</v>
      </c>
      <c r="E591" s="200">
        <v>19.87</v>
      </c>
      <c r="F591" s="187"/>
      <c r="G591" s="184">
        <f>G642+G693</f>
        <v>104277</v>
      </c>
      <c r="H591" s="184">
        <f>H642+H693</f>
        <v>95634</v>
      </c>
      <c r="I591" s="200">
        <f>ROUND(E591+(E591*$P$627),2)</f>
        <v>21.83</v>
      </c>
      <c r="J591" s="187"/>
      <c r="K591" s="184">
        <f>K642+K693</f>
        <v>114564</v>
      </c>
      <c r="M591" s="42">
        <f>I591*D591</f>
        <v>105067.79</v>
      </c>
      <c r="N591" s="239"/>
      <c r="O591" s="8">
        <f>(I591-E591)/E591</f>
        <v>9.8641167589330503E-2</v>
      </c>
      <c r="X591" s="11"/>
      <c r="Y591" s="11"/>
      <c r="Z591" s="11"/>
      <c r="AA591" s="11"/>
      <c r="AB591" s="11"/>
      <c r="AC591" s="11"/>
    </row>
    <row r="592" spans="1:29">
      <c r="A592" s="172" t="s">
        <v>262</v>
      </c>
      <c r="B592" s="1"/>
      <c r="C592" s="182"/>
      <c r="D592" s="182"/>
      <c r="E592" s="200"/>
      <c r="F592" s="187"/>
      <c r="G592" s="184"/>
      <c r="H592" s="184"/>
      <c r="I592" s="200"/>
      <c r="J592" s="187"/>
      <c r="K592" s="184"/>
      <c r="M592" s="239"/>
      <c r="N592" s="239"/>
      <c r="O592" s="183"/>
      <c r="X592" s="11"/>
      <c r="Y592" s="11"/>
      <c r="Z592" s="11"/>
      <c r="AA592" s="11"/>
      <c r="AB592" s="11"/>
      <c r="AC592" s="11"/>
    </row>
    <row r="593" spans="1:29">
      <c r="A593" s="172" t="s">
        <v>256</v>
      </c>
      <c r="B593" s="1"/>
      <c r="C593" s="182">
        <f t="shared" ref="C593:D597" si="53">C644+C695</f>
        <v>55399</v>
      </c>
      <c r="D593" s="182">
        <f t="shared" si="53"/>
        <v>50834</v>
      </c>
      <c r="E593" s="200">
        <v>19.87</v>
      </c>
      <c r="F593" s="187"/>
      <c r="G593" s="184">
        <f t="shared" ref="G593:H597" si="54">G644+G695</f>
        <v>1100778</v>
      </c>
      <c r="H593" s="184">
        <f t="shared" si="54"/>
        <v>1010072</v>
      </c>
      <c r="I593" s="200">
        <f>ROUND(E593+(E593*$P$627),2)</f>
        <v>21.83</v>
      </c>
      <c r="J593" s="187"/>
      <c r="K593" s="184">
        <f>K644+K695</f>
        <v>1209360</v>
      </c>
      <c r="M593" s="42">
        <f>I593*D593</f>
        <v>1109706.22</v>
      </c>
      <c r="N593" s="239"/>
      <c r="O593" s="8">
        <f>(I593-E593)/E593</f>
        <v>9.8641167589330503E-2</v>
      </c>
      <c r="X593" s="11"/>
      <c r="Y593" s="11"/>
      <c r="Z593" s="11"/>
      <c r="AA593" s="11"/>
      <c r="AB593" s="11"/>
      <c r="AC593" s="11"/>
    </row>
    <row r="594" spans="1:29">
      <c r="A594" s="172" t="s">
        <v>257</v>
      </c>
      <c r="B594" s="1"/>
      <c r="C594" s="182">
        <f t="shared" si="53"/>
        <v>37462</v>
      </c>
      <c r="D594" s="182">
        <f t="shared" si="53"/>
        <v>34379</v>
      </c>
      <c r="E594" s="200">
        <v>13.64</v>
      </c>
      <c r="F594" s="187"/>
      <c r="G594" s="184">
        <f t="shared" si="54"/>
        <v>510982</v>
      </c>
      <c r="H594" s="184">
        <f t="shared" si="54"/>
        <v>468929</v>
      </c>
      <c r="I594" s="200">
        <f>ROUND(E594+(E594*$P$627),2)</f>
        <v>14.98</v>
      </c>
      <c r="J594" s="187"/>
      <c r="K594" s="184">
        <f>K645+K696</f>
        <v>561181</v>
      </c>
      <c r="M594" s="42">
        <f>I594*D594</f>
        <v>514997.42000000004</v>
      </c>
      <c r="N594" s="239"/>
      <c r="O594" s="8">
        <f>(I594-E594)/E594</f>
        <v>9.8240469208211126E-2</v>
      </c>
      <c r="R594" s="42"/>
      <c r="S594" s="42"/>
      <c r="T594" s="49"/>
      <c r="U594" s="101"/>
      <c r="V594" s="11"/>
      <c r="W594" s="11"/>
      <c r="X594" s="11"/>
      <c r="Y594" s="11"/>
      <c r="Z594" s="11"/>
      <c r="AA594" s="11"/>
      <c r="AB594" s="11"/>
      <c r="AC594" s="11"/>
    </row>
    <row r="595" spans="1:29">
      <c r="A595" s="172" t="s">
        <v>258</v>
      </c>
      <c r="B595" s="1" t="s">
        <v>13</v>
      </c>
      <c r="C595" s="182">
        <f t="shared" si="53"/>
        <v>4358</v>
      </c>
      <c r="D595" s="182">
        <f t="shared" si="53"/>
        <v>3996</v>
      </c>
      <c r="E595" s="200">
        <v>10.62</v>
      </c>
      <c r="F595" s="187"/>
      <c r="G595" s="184">
        <f t="shared" si="54"/>
        <v>46282</v>
      </c>
      <c r="H595" s="184">
        <f t="shared" si="54"/>
        <v>42437</v>
      </c>
      <c r="I595" s="200">
        <f>ROUND(E595+(E595*$P$627),2)</f>
        <v>11.67</v>
      </c>
      <c r="J595" s="187"/>
      <c r="K595" s="184">
        <f>K646+K697</f>
        <v>50858</v>
      </c>
      <c r="M595" s="42">
        <f>I595*D595</f>
        <v>46633.32</v>
      </c>
      <c r="N595" s="239"/>
      <c r="O595" s="8">
        <f>(I595-E595)/E595</f>
        <v>9.8870056497175215E-2</v>
      </c>
      <c r="V595" s="11"/>
      <c r="W595" s="11"/>
      <c r="X595" s="11"/>
      <c r="Y595" s="11"/>
      <c r="Z595" s="11"/>
      <c r="AA595" s="11"/>
      <c r="AB595" s="11"/>
      <c r="AC595" s="11"/>
    </row>
    <row r="596" spans="1:29">
      <c r="A596" s="172" t="s">
        <v>264</v>
      </c>
      <c r="B596" s="1"/>
      <c r="C596" s="182">
        <f t="shared" si="53"/>
        <v>157</v>
      </c>
      <c r="D596" s="182">
        <f t="shared" si="53"/>
        <v>144</v>
      </c>
      <c r="E596" s="200">
        <v>59.61</v>
      </c>
      <c r="F596" s="187"/>
      <c r="G596" s="184">
        <f t="shared" si="54"/>
        <v>9359</v>
      </c>
      <c r="H596" s="184">
        <f t="shared" si="54"/>
        <v>8584</v>
      </c>
      <c r="I596" s="200">
        <f>ROUND(E596+(E596*$P$627),2)</f>
        <v>65.48</v>
      </c>
      <c r="J596" s="187"/>
      <c r="K596" s="184">
        <f>K647+K698</f>
        <v>10280</v>
      </c>
      <c r="M596" s="42">
        <f>I596*D596</f>
        <v>9429.1200000000008</v>
      </c>
      <c r="N596" s="33"/>
      <c r="O596" s="8">
        <f>(I596-E596)/E596</f>
        <v>9.8473410501593764E-2</v>
      </c>
      <c r="V596" s="11"/>
      <c r="W596" s="11"/>
      <c r="X596" s="11"/>
      <c r="Y596" s="11"/>
      <c r="Z596" s="11"/>
      <c r="AA596" s="11"/>
      <c r="AB596" s="11"/>
      <c r="AC596" s="11"/>
    </row>
    <row r="597" spans="1:29">
      <c r="A597" s="172" t="s">
        <v>265</v>
      </c>
      <c r="B597" s="1"/>
      <c r="C597" s="182">
        <f t="shared" si="53"/>
        <v>1937</v>
      </c>
      <c r="D597" s="182">
        <f t="shared" si="53"/>
        <v>1778</v>
      </c>
      <c r="E597" s="200">
        <v>119.22</v>
      </c>
      <c r="F597" s="187"/>
      <c r="G597" s="184">
        <f t="shared" si="54"/>
        <v>230930</v>
      </c>
      <c r="H597" s="184">
        <f t="shared" si="54"/>
        <v>211973</v>
      </c>
      <c r="I597" s="200">
        <f>ROUND(E597+(E597*$P$627),2)</f>
        <v>130.96</v>
      </c>
      <c r="J597" s="187"/>
      <c r="K597" s="184">
        <f>K648+K699</f>
        <v>253669</v>
      </c>
      <c r="M597" s="42">
        <f>I597*D597</f>
        <v>232846.88</v>
      </c>
      <c r="N597" s="33"/>
      <c r="O597" s="8">
        <f>(I597-E597)/E597</f>
        <v>9.8473410501593764E-2</v>
      </c>
      <c r="V597" s="11"/>
      <c r="W597" s="11"/>
      <c r="X597" s="11"/>
      <c r="Y597" s="11"/>
      <c r="Z597" s="11"/>
      <c r="AA597" s="11"/>
      <c r="AB597" s="11"/>
      <c r="AC597" s="11"/>
    </row>
    <row r="598" spans="1:29">
      <c r="A598" s="172" t="s">
        <v>266</v>
      </c>
      <c r="B598" s="1"/>
      <c r="C598" s="182"/>
      <c r="D598" s="182"/>
      <c r="E598" s="200"/>
      <c r="F598" s="187"/>
      <c r="G598" s="184"/>
      <c r="H598" s="184"/>
      <c r="I598" s="200"/>
      <c r="J598" s="187"/>
      <c r="K598" s="184"/>
      <c r="M598" s="33"/>
      <c r="N598" s="33"/>
      <c r="O598" s="3"/>
      <c r="V598" s="11"/>
      <c r="W598" s="11"/>
      <c r="X598" s="11"/>
      <c r="Y598" s="11"/>
      <c r="Z598" s="11"/>
      <c r="AA598" s="11"/>
      <c r="AB598" s="11"/>
      <c r="AC598" s="11"/>
    </row>
    <row r="599" spans="1:29">
      <c r="A599" s="172" t="s">
        <v>261</v>
      </c>
      <c r="B599" s="1"/>
      <c r="C599" s="182">
        <f>C650+C701</f>
        <v>96</v>
      </c>
      <c r="D599" s="182">
        <f>D650+D701</f>
        <v>88</v>
      </c>
      <c r="E599" s="226">
        <f>-E591</f>
        <v>-19.87</v>
      </c>
      <c r="F599" s="187"/>
      <c r="G599" s="184">
        <f>G650+G701</f>
        <v>-1908</v>
      </c>
      <c r="H599" s="184">
        <f>H650+H701</f>
        <v>-1748</v>
      </c>
      <c r="I599" s="226">
        <f>-I591</f>
        <v>-21.83</v>
      </c>
      <c r="J599" s="187"/>
      <c r="K599" s="184">
        <f>K650+K701</f>
        <v>-2096</v>
      </c>
      <c r="M599" s="42">
        <f>I599*D599</f>
        <v>-1921.04</v>
      </c>
      <c r="N599" s="33"/>
      <c r="O599" s="3"/>
      <c r="V599" s="11"/>
      <c r="W599" s="11"/>
      <c r="X599" s="11"/>
      <c r="Y599" s="11"/>
      <c r="Z599" s="11"/>
      <c r="AA599" s="11"/>
      <c r="AB599" s="11"/>
      <c r="AC599" s="11"/>
    </row>
    <row r="600" spans="1:29">
      <c r="A600" s="172" t="s">
        <v>267</v>
      </c>
      <c r="B600" s="1"/>
      <c r="C600" s="182">
        <f>C651+C702</f>
        <v>12387</v>
      </c>
      <c r="D600" s="182">
        <f>D651+D702</f>
        <v>11369</v>
      </c>
      <c r="E600" s="226">
        <f>-E593</f>
        <v>-19.87</v>
      </c>
      <c r="F600" s="187"/>
      <c r="G600" s="184">
        <f>G651+G702</f>
        <v>-246129</v>
      </c>
      <c r="H600" s="184">
        <f>H651+H702</f>
        <v>-225902</v>
      </c>
      <c r="I600" s="226">
        <f>-I593</f>
        <v>-21.83</v>
      </c>
      <c r="J600" s="187"/>
      <c r="K600" s="184">
        <f>K651+K702</f>
        <v>-270408</v>
      </c>
      <c r="M600" s="42">
        <f>I600*D600</f>
        <v>-248185.27</v>
      </c>
      <c r="N600" s="33"/>
      <c r="O600" s="3"/>
      <c r="V600" s="11"/>
      <c r="W600" s="11"/>
      <c r="X600" s="11"/>
      <c r="Y600" s="11"/>
      <c r="Z600" s="11"/>
      <c r="AA600" s="11"/>
      <c r="AB600" s="11"/>
      <c r="AC600" s="11"/>
    </row>
    <row r="601" spans="1:29">
      <c r="A601" s="186" t="s">
        <v>230</v>
      </c>
      <c r="B601" s="1"/>
      <c r="C601" s="182"/>
      <c r="D601" s="182"/>
      <c r="E601" s="200"/>
      <c r="F601" s="184"/>
      <c r="G601" s="184"/>
      <c r="H601" s="184"/>
      <c r="I601" s="200"/>
      <c r="J601" s="184"/>
      <c r="K601" s="184"/>
      <c r="M601" s="33"/>
      <c r="N601" s="33"/>
      <c r="O601" s="3"/>
      <c r="Q601" s="3" t="s">
        <v>13</v>
      </c>
      <c r="V601" s="11"/>
      <c r="W601" s="11"/>
      <c r="X601" s="11"/>
      <c r="Y601" s="11"/>
      <c r="Z601" s="11"/>
      <c r="AA601" s="11"/>
      <c r="AB601" s="11"/>
      <c r="AC601" s="11"/>
    </row>
    <row r="602" spans="1:29">
      <c r="A602" s="172" t="s">
        <v>268</v>
      </c>
      <c r="B602" s="1"/>
      <c r="C602" s="182">
        <f>C653+C704</f>
        <v>164697090</v>
      </c>
      <c r="D602" s="182">
        <f>D653+D704</f>
        <v>151116862</v>
      </c>
      <c r="E602" s="246">
        <v>5.3710000000000004</v>
      </c>
      <c r="F602" s="184" t="s">
        <v>178</v>
      </c>
      <c r="G602" s="184">
        <f>G653+G704</f>
        <v>8845880</v>
      </c>
      <c r="H602" s="184">
        <f>H653+H704</f>
        <v>8116487</v>
      </c>
      <c r="I602" s="246">
        <f>ROUND(E602+(E602*$P$627),3)</f>
        <v>5.9</v>
      </c>
      <c r="J602" s="184" t="s">
        <v>178</v>
      </c>
      <c r="K602" s="184">
        <f>K653+K704</f>
        <v>9717128</v>
      </c>
      <c r="M602" s="42">
        <f>(I602/100)*D602</f>
        <v>8915894.8580000009</v>
      </c>
      <c r="N602" s="201"/>
      <c r="O602" s="8">
        <f>(I602-E602)/E602</f>
        <v>9.8491900949543826E-2</v>
      </c>
      <c r="V602" s="11"/>
      <c r="W602" s="11"/>
      <c r="X602" s="11"/>
      <c r="Y602" s="11"/>
      <c r="Z602" s="11"/>
      <c r="AA602" s="11"/>
      <c r="AB602" s="11"/>
      <c r="AC602" s="11"/>
    </row>
    <row r="603" spans="1:29">
      <c r="A603" s="186" t="s">
        <v>204</v>
      </c>
      <c r="B603" s="1"/>
      <c r="C603" s="182">
        <f>C654+C705</f>
        <v>28883</v>
      </c>
      <c r="D603" s="182">
        <f>D654+D705</f>
        <v>26506</v>
      </c>
      <c r="E603" s="474">
        <v>45</v>
      </c>
      <c r="F603" s="186" t="s">
        <v>178</v>
      </c>
      <c r="G603" s="184">
        <f>G654+G705</f>
        <v>12997</v>
      </c>
      <c r="H603" s="184">
        <f>H654+H705</f>
        <v>11928</v>
      </c>
      <c r="I603" s="341">
        <v>50</v>
      </c>
      <c r="J603" s="186" t="s">
        <v>178</v>
      </c>
      <c r="K603" s="184">
        <f>K654+K705</f>
        <v>14442</v>
      </c>
      <c r="M603" s="42">
        <f>(I603/100)*D603</f>
        <v>13253</v>
      </c>
      <c r="O603" s="8">
        <f>(I603-E603)/E603</f>
        <v>0.1111111111111111</v>
      </c>
      <c r="V603" s="11"/>
      <c r="W603" s="11"/>
      <c r="X603" s="11"/>
      <c r="Y603" s="11"/>
      <c r="Z603" s="11"/>
      <c r="AA603" s="11"/>
      <c r="AB603" s="11"/>
      <c r="AC603" s="11"/>
    </row>
    <row r="604" spans="1:29">
      <c r="A604" s="223" t="s">
        <v>205</v>
      </c>
      <c r="B604" s="1"/>
      <c r="C604" s="182"/>
      <c r="D604" s="182"/>
      <c r="E604" s="195">
        <v>-0.01</v>
      </c>
      <c r="F604" s="2"/>
      <c r="G604" s="184"/>
      <c r="H604" s="184"/>
      <c r="I604" s="195">
        <v>-0.01</v>
      </c>
      <c r="J604" s="1"/>
      <c r="K604" s="184"/>
      <c r="V604" s="11"/>
      <c r="W604" s="11"/>
      <c r="X604" s="11"/>
      <c r="Y604" s="11"/>
      <c r="Z604" s="11"/>
      <c r="AA604" s="11"/>
      <c r="AB604" s="11"/>
      <c r="AC604" s="11"/>
    </row>
    <row r="605" spans="1:29">
      <c r="A605" s="172" t="s">
        <v>194</v>
      </c>
      <c r="B605" s="1"/>
      <c r="C605" s="182">
        <f>C656+C707</f>
        <v>0</v>
      </c>
      <c r="D605" s="182">
        <f>D656+D707</f>
        <v>0</v>
      </c>
      <c r="E605" s="247">
        <f>E582</f>
        <v>0</v>
      </c>
      <c r="F605" s="187"/>
      <c r="G605" s="184">
        <f>G656+G707</f>
        <v>0</v>
      </c>
      <c r="H605" s="184">
        <f>H656+H707</f>
        <v>0</v>
      </c>
      <c r="I605" s="247">
        <f>I582</f>
        <v>0</v>
      </c>
      <c r="J605" s="187"/>
      <c r="K605" s="184">
        <f>K656+K707</f>
        <v>0</v>
      </c>
      <c r="M605" s="42">
        <f>-(I605/100)*D605</f>
        <v>0</v>
      </c>
      <c r="V605" s="11"/>
      <c r="W605" s="11"/>
      <c r="X605" s="11"/>
      <c r="Y605" s="11"/>
      <c r="Z605" s="11"/>
      <c r="AA605" s="11"/>
      <c r="AB605" s="11"/>
      <c r="AC605" s="11"/>
    </row>
    <row r="606" spans="1:29">
      <c r="A606" s="172" t="s">
        <v>195</v>
      </c>
      <c r="B606" s="1"/>
      <c r="C606" s="182"/>
      <c r="D606" s="182"/>
      <c r="E606" s="247"/>
      <c r="F606" s="187"/>
      <c r="G606" s="184"/>
      <c r="H606" s="184"/>
      <c r="I606" s="247"/>
      <c r="J606" s="187"/>
      <c r="K606" s="184"/>
      <c r="V606" s="11"/>
      <c r="W606" s="11"/>
      <c r="X606" s="11"/>
      <c r="Y606" s="11"/>
      <c r="Z606" s="11"/>
      <c r="AA606" s="11"/>
      <c r="AB606" s="11"/>
      <c r="AC606" s="11"/>
    </row>
    <row r="607" spans="1:29">
      <c r="A607" s="172" t="s">
        <v>256</v>
      </c>
      <c r="B607" s="1"/>
      <c r="C607" s="182">
        <f t="shared" ref="C607:D610" si="55">C658+C709</f>
        <v>1</v>
      </c>
      <c r="D607" s="182">
        <f t="shared" si="55"/>
        <v>1</v>
      </c>
      <c r="E607" s="247">
        <f>E584</f>
        <v>0</v>
      </c>
      <c r="F607" s="187"/>
      <c r="G607" s="184">
        <f t="shared" ref="G607:H610" si="56">G658+G709</f>
        <v>0</v>
      </c>
      <c r="H607" s="184">
        <f t="shared" si="56"/>
        <v>0</v>
      </c>
      <c r="I607" s="247">
        <f>I584</f>
        <v>0</v>
      </c>
      <c r="J607" s="187"/>
      <c r="K607" s="184">
        <f>K658+K709</f>
        <v>0</v>
      </c>
      <c r="M607" s="42">
        <f>-(I607/100)*D607</f>
        <v>0</v>
      </c>
      <c r="V607" s="11"/>
      <c r="W607" s="11"/>
      <c r="X607" s="11"/>
      <c r="Y607" s="11"/>
      <c r="Z607" s="11"/>
      <c r="AA607" s="11"/>
      <c r="AB607" s="11"/>
      <c r="AC607" s="11"/>
    </row>
    <row r="608" spans="1:29">
      <c r="A608" s="172" t="s">
        <v>257</v>
      </c>
      <c r="B608" s="1"/>
      <c r="C608" s="182">
        <f t="shared" si="55"/>
        <v>0</v>
      </c>
      <c r="D608" s="182">
        <f t="shared" si="55"/>
        <v>0</v>
      </c>
      <c r="E608" s="247">
        <f>E585</f>
        <v>301</v>
      </c>
      <c r="F608" s="187"/>
      <c r="G608" s="184">
        <f t="shared" si="56"/>
        <v>0</v>
      </c>
      <c r="H608" s="184">
        <f t="shared" si="56"/>
        <v>0</v>
      </c>
      <c r="I608" s="247">
        <f>I585</f>
        <v>333</v>
      </c>
      <c r="J608" s="187"/>
      <c r="K608" s="184">
        <f>K659+K710</f>
        <v>0</v>
      </c>
      <c r="M608" s="42">
        <f>-(I608/100)*D608</f>
        <v>0</v>
      </c>
      <c r="V608" s="11"/>
      <c r="W608" s="11"/>
      <c r="X608" s="11"/>
      <c r="Y608" s="11"/>
      <c r="Z608" s="11"/>
      <c r="AA608" s="11"/>
      <c r="AB608" s="11"/>
      <c r="AC608" s="11"/>
    </row>
    <row r="609" spans="1:29">
      <c r="A609" s="172" t="s">
        <v>258</v>
      </c>
      <c r="B609" s="1"/>
      <c r="C609" s="182">
        <f t="shared" si="55"/>
        <v>0</v>
      </c>
      <c r="D609" s="182">
        <f t="shared" si="55"/>
        <v>0</v>
      </c>
      <c r="E609" s="247">
        <f>E586</f>
        <v>1215</v>
      </c>
      <c r="F609" s="187"/>
      <c r="G609" s="184">
        <f t="shared" si="56"/>
        <v>0</v>
      </c>
      <c r="H609" s="184">
        <f t="shared" si="56"/>
        <v>0</v>
      </c>
      <c r="I609" s="247">
        <f>I586</f>
        <v>1335</v>
      </c>
      <c r="J609" s="187"/>
      <c r="K609" s="184">
        <f>K660+K711</f>
        <v>0</v>
      </c>
      <c r="M609" s="42">
        <f>-(I609/100)*D609</f>
        <v>0</v>
      </c>
      <c r="V609" s="11"/>
      <c r="W609" s="11"/>
      <c r="X609" s="11"/>
      <c r="Y609" s="11"/>
      <c r="Z609" s="11"/>
      <c r="AA609" s="11"/>
      <c r="AB609" s="11"/>
      <c r="AC609" s="11"/>
    </row>
    <row r="610" spans="1:29">
      <c r="A610" s="172" t="s">
        <v>194</v>
      </c>
      <c r="B610" s="1"/>
      <c r="C610" s="182">
        <f t="shared" si="55"/>
        <v>0</v>
      </c>
      <c r="D610" s="182">
        <f t="shared" si="55"/>
        <v>0</v>
      </c>
      <c r="E610" s="247">
        <f>E591</f>
        <v>19.87</v>
      </c>
      <c r="F610" s="187"/>
      <c r="G610" s="184">
        <f t="shared" si="56"/>
        <v>0</v>
      </c>
      <c r="H610" s="184">
        <f t="shared" si="56"/>
        <v>0</v>
      </c>
      <c r="I610" s="247">
        <f>I591</f>
        <v>21.83</v>
      </c>
      <c r="J610" s="187"/>
      <c r="K610" s="184">
        <f>K661+K712</f>
        <v>0</v>
      </c>
      <c r="M610" s="42">
        <f>-(I610/100)*D610</f>
        <v>0</v>
      </c>
      <c r="V610" s="11"/>
      <c r="W610" s="11"/>
      <c r="X610" s="11"/>
      <c r="Y610" s="11"/>
      <c r="Z610" s="11"/>
      <c r="AA610" s="11"/>
      <c r="AB610" s="11"/>
      <c r="AC610" s="11"/>
    </row>
    <row r="611" spans="1:29">
      <c r="A611" s="172" t="s">
        <v>195</v>
      </c>
      <c r="B611" s="1"/>
      <c r="C611" s="182"/>
      <c r="D611" s="182"/>
      <c r="E611" s="247"/>
      <c r="F611" s="187"/>
      <c r="G611" s="184"/>
      <c r="H611" s="184"/>
      <c r="I611" s="247"/>
      <c r="J611" s="187"/>
      <c r="K611" s="184"/>
      <c r="V611" s="11"/>
      <c r="W611" s="11"/>
      <c r="X611" s="11"/>
      <c r="Y611" s="11"/>
      <c r="Z611" s="11"/>
      <c r="AA611" s="11"/>
      <c r="AB611" s="11"/>
      <c r="AC611" s="11"/>
    </row>
    <row r="612" spans="1:29">
      <c r="A612" s="172" t="s">
        <v>256</v>
      </c>
      <c r="B612" s="1"/>
      <c r="C612" s="182">
        <f t="shared" ref="C612:D616" si="57">C663+C714</f>
        <v>40</v>
      </c>
      <c r="D612" s="182">
        <f t="shared" si="57"/>
        <v>36</v>
      </c>
      <c r="E612" s="247">
        <f>E593</f>
        <v>19.87</v>
      </c>
      <c r="F612" s="187"/>
      <c r="G612" s="184">
        <f t="shared" ref="G612:H616" si="58">G663+G714</f>
        <v>-8</v>
      </c>
      <c r="H612" s="184">
        <f t="shared" si="58"/>
        <v>-7</v>
      </c>
      <c r="I612" s="247">
        <f>I593</f>
        <v>21.83</v>
      </c>
      <c r="J612" s="187"/>
      <c r="K612" s="184">
        <f>K663+K714</f>
        <v>-9</v>
      </c>
      <c r="M612" s="42">
        <f>-(I612/100)*D612</f>
        <v>-7.8587999999999996</v>
      </c>
      <c r="V612" s="11"/>
      <c r="W612" s="11"/>
      <c r="X612" s="11"/>
      <c r="Y612" s="11"/>
      <c r="Z612" s="11"/>
      <c r="AA612" s="11"/>
      <c r="AB612" s="11"/>
      <c r="AC612" s="11"/>
    </row>
    <row r="613" spans="1:29">
      <c r="A613" s="172" t="s">
        <v>257</v>
      </c>
      <c r="B613" s="1"/>
      <c r="C613" s="182">
        <f t="shared" si="57"/>
        <v>0</v>
      </c>
      <c r="D613" s="182">
        <f t="shared" si="57"/>
        <v>0</v>
      </c>
      <c r="E613" s="247">
        <f>E594</f>
        <v>13.64</v>
      </c>
      <c r="F613" s="187"/>
      <c r="G613" s="184">
        <f t="shared" si="58"/>
        <v>0</v>
      </c>
      <c r="H613" s="184">
        <f t="shared" si="58"/>
        <v>0</v>
      </c>
      <c r="I613" s="247">
        <f>I594</f>
        <v>14.98</v>
      </c>
      <c r="J613" s="187"/>
      <c r="K613" s="184">
        <f>K664+K715</f>
        <v>0</v>
      </c>
      <c r="M613" s="42">
        <f>-(I613/100)*D613</f>
        <v>0</v>
      </c>
      <c r="V613" s="11"/>
      <c r="W613" s="11"/>
      <c r="X613" s="11"/>
      <c r="Y613" s="11"/>
      <c r="Z613" s="11"/>
      <c r="AA613" s="11"/>
      <c r="AB613" s="11"/>
      <c r="AC613" s="11"/>
    </row>
    <row r="614" spans="1:29">
      <c r="A614" s="172" t="s">
        <v>258</v>
      </c>
      <c r="B614" s="1"/>
      <c r="C614" s="182">
        <f t="shared" si="57"/>
        <v>0</v>
      </c>
      <c r="D614" s="182">
        <f t="shared" si="57"/>
        <v>0</v>
      </c>
      <c r="E614" s="247">
        <f>E595</f>
        <v>10.62</v>
      </c>
      <c r="F614" s="187"/>
      <c r="G614" s="184">
        <f t="shared" si="58"/>
        <v>0</v>
      </c>
      <c r="H614" s="184">
        <f t="shared" si="58"/>
        <v>0</v>
      </c>
      <c r="I614" s="247">
        <f>I595</f>
        <v>11.67</v>
      </c>
      <c r="J614" s="187"/>
      <c r="K614" s="184">
        <f>K665+K716</f>
        <v>0</v>
      </c>
      <c r="M614" s="42">
        <f>-(I614/100)*D614</f>
        <v>0</v>
      </c>
      <c r="V614" s="11"/>
      <c r="W614" s="11"/>
      <c r="X614" s="11"/>
      <c r="Y614" s="11"/>
      <c r="Z614" s="11"/>
      <c r="AA614" s="11"/>
      <c r="AB614" s="11"/>
      <c r="AC614" s="11"/>
    </row>
    <row r="615" spans="1:29">
      <c r="A615" s="172" t="s">
        <v>269</v>
      </c>
      <c r="B615" s="1"/>
      <c r="C615" s="182">
        <f t="shared" si="57"/>
        <v>0</v>
      </c>
      <c r="D615" s="182">
        <f t="shared" si="57"/>
        <v>0</v>
      </c>
      <c r="E615" s="216">
        <f>E596</f>
        <v>59.61</v>
      </c>
      <c r="F615" s="187"/>
      <c r="G615" s="184">
        <f t="shared" si="58"/>
        <v>0</v>
      </c>
      <c r="H615" s="184">
        <f t="shared" si="58"/>
        <v>0</v>
      </c>
      <c r="I615" s="216">
        <f>I596</f>
        <v>65.48</v>
      </c>
      <c r="J615" s="187"/>
      <c r="K615" s="184">
        <f>K666+K717</f>
        <v>0</v>
      </c>
      <c r="M615" s="42">
        <f>-(I615/100)*D615</f>
        <v>0</v>
      </c>
      <c r="V615" s="11"/>
      <c r="W615" s="11"/>
      <c r="X615" s="11"/>
      <c r="Y615" s="11"/>
      <c r="Z615" s="11"/>
      <c r="AA615" s="11"/>
      <c r="AB615" s="11"/>
      <c r="AC615" s="11"/>
    </row>
    <row r="616" spans="1:29">
      <c r="A616" s="172" t="s">
        <v>270</v>
      </c>
      <c r="B616" s="1"/>
      <c r="C616" s="182">
        <f t="shared" si="57"/>
        <v>0</v>
      </c>
      <c r="D616" s="182">
        <f t="shared" si="57"/>
        <v>0</v>
      </c>
      <c r="E616" s="216">
        <f>E597</f>
        <v>119.22</v>
      </c>
      <c r="F616" s="187"/>
      <c r="G616" s="184">
        <f t="shared" si="58"/>
        <v>0</v>
      </c>
      <c r="H616" s="184">
        <f t="shared" si="58"/>
        <v>0</v>
      </c>
      <c r="I616" s="216">
        <f>I597</f>
        <v>130.96</v>
      </c>
      <c r="J616" s="187"/>
      <c r="K616" s="184">
        <f>K667+K718</f>
        <v>0</v>
      </c>
      <c r="M616" s="42">
        <f>-(I616/100)*D616</f>
        <v>0</v>
      </c>
      <c r="V616" s="11"/>
      <c r="W616" s="11"/>
      <c r="X616" s="11"/>
      <c r="Y616" s="11"/>
      <c r="Z616" s="11"/>
      <c r="AA616" s="11"/>
      <c r="AB616" s="11"/>
      <c r="AC616" s="11"/>
    </row>
    <row r="617" spans="1:29">
      <c r="A617" s="172" t="s">
        <v>266</v>
      </c>
      <c r="B617" s="1"/>
      <c r="C617" s="182"/>
      <c r="D617" s="182"/>
      <c r="E617" s="200"/>
      <c r="F617" s="187"/>
      <c r="G617" s="184"/>
      <c r="H617" s="184"/>
      <c r="I617" s="200"/>
      <c r="J617" s="187"/>
      <c r="K617" s="184"/>
      <c r="V617" s="11"/>
      <c r="W617" s="11"/>
      <c r="X617" s="11"/>
      <c r="Y617" s="11"/>
      <c r="Z617" s="11"/>
      <c r="AA617" s="11"/>
      <c r="AB617" s="11"/>
      <c r="AC617" s="11"/>
    </row>
    <row r="618" spans="1:29">
      <c r="A618" s="172" t="s">
        <v>261</v>
      </c>
      <c r="B618" s="1"/>
      <c r="C618" s="182">
        <f>C669+C720</f>
        <v>0</v>
      </c>
      <c r="D618" s="182">
        <f>D669+D720</f>
        <v>0</v>
      </c>
      <c r="E618" s="226">
        <f>E599</f>
        <v>-19.87</v>
      </c>
      <c r="F618" s="187"/>
      <c r="G618" s="184">
        <f>G669+G720</f>
        <v>0</v>
      </c>
      <c r="H618" s="184">
        <f>H669+H720</f>
        <v>0</v>
      </c>
      <c r="I618" s="226">
        <f>I599</f>
        <v>-21.83</v>
      </c>
      <c r="J618" s="187"/>
      <c r="K618" s="184">
        <f>K669+K720</f>
        <v>0</v>
      </c>
      <c r="M618" s="42">
        <f>-(I618/100)*D618</f>
        <v>0</v>
      </c>
      <c r="V618" s="11"/>
      <c r="W618" s="11"/>
      <c r="X618" s="11"/>
      <c r="Y618" s="11"/>
      <c r="Z618" s="11"/>
      <c r="AA618" s="11"/>
      <c r="AB618" s="11"/>
      <c r="AC618" s="11"/>
    </row>
    <row r="619" spans="1:29">
      <c r="A619" s="172" t="s">
        <v>267</v>
      </c>
      <c r="B619" s="1"/>
      <c r="C619" s="182">
        <f>C670+C721</f>
        <v>0</v>
      </c>
      <c r="D619" s="182">
        <f>D670+D721</f>
        <v>0</v>
      </c>
      <c r="E619" s="226">
        <f>E600</f>
        <v>-19.87</v>
      </c>
      <c r="F619" s="187"/>
      <c r="G619" s="184">
        <f>G670+G721</f>
        <v>0</v>
      </c>
      <c r="H619" s="184">
        <f>H670+H721</f>
        <v>0</v>
      </c>
      <c r="I619" s="226">
        <f>I600</f>
        <v>-21.83</v>
      </c>
      <c r="J619" s="187"/>
      <c r="K619" s="184">
        <f>K670+K721</f>
        <v>0</v>
      </c>
      <c r="M619" s="42">
        <f>-(I619/100)*D619</f>
        <v>0</v>
      </c>
      <c r="V619" s="11"/>
      <c r="W619" s="11"/>
      <c r="X619" s="11"/>
      <c r="Y619" s="11"/>
      <c r="Z619" s="11"/>
      <c r="AA619" s="11"/>
      <c r="AB619" s="11"/>
      <c r="AC619" s="11"/>
    </row>
    <row r="620" spans="1:29">
      <c r="A620" s="186" t="s">
        <v>230</v>
      </c>
      <c r="B620" s="1"/>
      <c r="C620" s="182"/>
      <c r="D620" s="182"/>
      <c r="E620" s="247"/>
      <c r="F620" s="184"/>
      <c r="G620" s="184"/>
      <c r="H620" s="184"/>
      <c r="I620" s="247"/>
      <c r="J620" s="184"/>
      <c r="K620" s="184"/>
      <c r="V620" s="11"/>
      <c r="W620" s="11"/>
      <c r="X620" s="11"/>
      <c r="Y620" s="11"/>
      <c r="Z620" s="11"/>
      <c r="AA620" s="11"/>
      <c r="AB620" s="11"/>
      <c r="AC620" s="11"/>
    </row>
    <row r="621" spans="1:29">
      <c r="A621" s="172" t="s">
        <v>268</v>
      </c>
      <c r="B621" s="1"/>
      <c r="C621" s="182">
        <f t="shared" ref="C621:D626" si="59">C672+C723</f>
        <v>25216</v>
      </c>
      <c r="D621" s="182">
        <f t="shared" si="59"/>
        <v>22993</v>
      </c>
      <c r="E621" s="248">
        <f>E602</f>
        <v>5.3710000000000004</v>
      </c>
      <c r="F621" s="184" t="s">
        <v>178</v>
      </c>
      <c r="G621" s="184">
        <f t="shared" ref="G621:H626" si="60">G672+G723</f>
        <v>-14</v>
      </c>
      <c r="H621" s="184">
        <f t="shared" si="60"/>
        <v>-12</v>
      </c>
      <c r="I621" s="248">
        <f>I602</f>
        <v>5.9</v>
      </c>
      <c r="J621" s="184" t="s">
        <v>178</v>
      </c>
      <c r="K621" s="184">
        <f>K672+K723</f>
        <v>-15</v>
      </c>
      <c r="M621" s="42">
        <f>-((I621/100)*D621)/100</f>
        <v>-13.56587</v>
      </c>
      <c r="V621" s="11"/>
      <c r="W621" s="11"/>
      <c r="X621" s="11"/>
      <c r="Y621" s="11"/>
      <c r="Z621" s="11"/>
      <c r="AA621" s="11"/>
      <c r="AB621" s="11"/>
      <c r="AC621" s="11"/>
    </row>
    <row r="622" spans="1:29">
      <c r="A622" s="186" t="s">
        <v>204</v>
      </c>
      <c r="B622" s="1"/>
      <c r="C622" s="182">
        <f t="shared" si="59"/>
        <v>0</v>
      </c>
      <c r="D622" s="182">
        <f t="shared" si="59"/>
        <v>0</v>
      </c>
      <c r="E622" s="238">
        <f>E603</f>
        <v>45</v>
      </c>
      <c r="F622" s="184" t="s">
        <v>178</v>
      </c>
      <c r="G622" s="184">
        <f t="shared" si="60"/>
        <v>0</v>
      </c>
      <c r="H622" s="184">
        <f t="shared" si="60"/>
        <v>0</v>
      </c>
      <c r="I622" s="238">
        <f>I603</f>
        <v>50</v>
      </c>
      <c r="J622" s="186" t="s">
        <v>178</v>
      </c>
      <c r="K622" s="184">
        <f>K673+K724</f>
        <v>0</v>
      </c>
      <c r="M622" s="42">
        <f>-((I622/100)*D622)/100</f>
        <v>0</v>
      </c>
      <c r="V622" s="11"/>
      <c r="W622" s="11"/>
      <c r="X622" s="11"/>
      <c r="Y622" s="11"/>
      <c r="Z622" s="11"/>
      <c r="AA622" s="11"/>
      <c r="AB622" s="11"/>
      <c r="AC622" s="11"/>
    </row>
    <row r="623" spans="1:29">
      <c r="A623" s="186" t="s">
        <v>247</v>
      </c>
      <c r="B623" s="1"/>
      <c r="C623" s="182">
        <f t="shared" si="59"/>
        <v>12</v>
      </c>
      <c r="D623" s="182">
        <f t="shared" si="59"/>
        <v>12</v>
      </c>
      <c r="E623" s="200">
        <f>'Blocking - detail'!E623</f>
        <v>60</v>
      </c>
      <c r="F623" s="227" t="s">
        <v>13</v>
      </c>
      <c r="G623" s="184">
        <f t="shared" si="60"/>
        <v>720</v>
      </c>
      <c r="H623" s="184">
        <f t="shared" si="60"/>
        <v>720</v>
      </c>
      <c r="I623" s="200">
        <f>'Blocking - detail'!I623</f>
        <v>60</v>
      </c>
      <c r="J623" s="1"/>
      <c r="K623" s="184">
        <f>K674+K725</f>
        <v>720</v>
      </c>
      <c r="M623" s="42">
        <f>I623*D623</f>
        <v>720</v>
      </c>
      <c r="V623" s="11"/>
      <c r="W623" s="11"/>
      <c r="X623" s="11"/>
      <c r="Y623" s="11"/>
      <c r="Z623" s="11"/>
      <c r="AA623" s="11"/>
      <c r="AB623" s="11"/>
      <c r="AC623" s="11"/>
    </row>
    <row r="624" spans="1:29">
      <c r="A624" s="186" t="s">
        <v>248</v>
      </c>
      <c r="B624" s="1"/>
      <c r="C624" s="182">
        <f t="shared" si="59"/>
        <v>320</v>
      </c>
      <c r="D624" s="182">
        <f t="shared" si="59"/>
        <v>292</v>
      </c>
      <c r="E624" s="341">
        <f>'Blocking - detail'!E624</f>
        <v>-30</v>
      </c>
      <c r="F624" s="184" t="s">
        <v>178</v>
      </c>
      <c r="G624" s="184">
        <f t="shared" si="60"/>
        <v>-96</v>
      </c>
      <c r="H624" s="184">
        <f t="shared" si="60"/>
        <v>-88</v>
      </c>
      <c r="I624" s="341">
        <f>'Blocking - detail'!I624</f>
        <v>-30</v>
      </c>
      <c r="J624" s="184" t="s">
        <v>178</v>
      </c>
      <c r="K624" s="184">
        <f>K675+K726</f>
        <v>-96</v>
      </c>
      <c r="M624" s="42">
        <f>(I624/100)*D624</f>
        <v>-87.6</v>
      </c>
      <c r="V624" s="11"/>
      <c r="W624" s="11"/>
      <c r="X624" s="11"/>
      <c r="Y624" s="11"/>
      <c r="Z624" s="11"/>
      <c r="AA624" s="11"/>
      <c r="AB624" s="11"/>
      <c r="AC624" s="11"/>
    </row>
    <row r="625" spans="1:29">
      <c r="A625" s="1" t="s">
        <v>185</v>
      </c>
      <c r="B625" s="1"/>
      <c r="C625" s="182">
        <f t="shared" si="59"/>
        <v>164697090</v>
      </c>
      <c r="D625" s="182">
        <f t="shared" si="59"/>
        <v>151116862.53785235</v>
      </c>
      <c r="E625" s="193"/>
      <c r="F625" s="2"/>
      <c r="G625" s="2">
        <f t="shared" si="60"/>
        <v>10743902</v>
      </c>
      <c r="H625" s="2">
        <f t="shared" si="60"/>
        <v>9869762</v>
      </c>
      <c r="I625" s="2"/>
      <c r="J625" s="186"/>
      <c r="K625" s="2">
        <f>K676+K727</f>
        <v>11803134</v>
      </c>
      <c r="M625" s="42">
        <f>SUM(M582:M624)</f>
        <v>10842888.273330001</v>
      </c>
      <c r="P625" s="139"/>
      <c r="V625" s="11"/>
      <c r="W625" s="11"/>
      <c r="X625" s="11"/>
      <c r="Y625" s="11"/>
      <c r="Z625" s="11"/>
      <c r="AA625" s="11"/>
      <c r="AB625" s="11"/>
      <c r="AC625" s="11"/>
    </row>
    <row r="626" spans="1:29">
      <c r="A626" s="1" t="s">
        <v>167</v>
      </c>
      <c r="B626" s="1"/>
      <c r="C626" s="203" t="e">
        <f t="shared" si="59"/>
        <v>#REF!</v>
      </c>
      <c r="D626" s="203">
        <f t="shared" si="59"/>
        <v>0</v>
      </c>
      <c r="E626" s="172"/>
      <c r="F626" s="172"/>
      <c r="G626" s="173" t="e">
        <f t="shared" si="60"/>
        <v>#REF!</v>
      </c>
      <c r="H626" s="173">
        <f t="shared" si="60"/>
        <v>0</v>
      </c>
      <c r="I626" s="172"/>
      <c r="J626" s="172"/>
      <c r="K626" s="173" t="e">
        <f>G626</f>
        <v>#REF!</v>
      </c>
      <c r="V626" s="11"/>
      <c r="W626" s="11"/>
      <c r="X626" s="11"/>
      <c r="Y626" s="11"/>
      <c r="Z626" s="11"/>
      <c r="AA626" s="11"/>
      <c r="AB626" s="11"/>
      <c r="AC626" s="11"/>
    </row>
    <row r="627" spans="1:29" ht="17.25" customHeight="1" thickBot="1">
      <c r="A627" s="1" t="s">
        <v>186</v>
      </c>
      <c r="B627" s="1"/>
      <c r="C627" s="229" t="e">
        <f>SUM(C625:C626)</f>
        <v>#REF!</v>
      </c>
      <c r="D627" s="229">
        <f>SUM(D625:D626)</f>
        <v>151116862.53785235</v>
      </c>
      <c r="E627" s="205"/>
      <c r="F627" s="206"/>
      <c r="G627" s="207" t="e">
        <f>G625+G626</f>
        <v>#REF!</v>
      </c>
      <c r="H627" s="207">
        <f>H625+H626</f>
        <v>9869762</v>
      </c>
      <c r="I627" s="205"/>
      <c r="J627" s="208"/>
      <c r="K627" s="207" t="e">
        <f>K625+K626</f>
        <v>#REF!</v>
      </c>
      <c r="N627" s="3" t="s">
        <v>168</v>
      </c>
      <c r="O627" s="33" t="e">
        <f>#REF!*1000</f>
        <v>#REF!</v>
      </c>
      <c r="P627" s="101">
        <v>9.8500000000000004E-2</v>
      </c>
      <c r="V627" s="11"/>
      <c r="W627" s="11"/>
      <c r="X627" s="11"/>
      <c r="Y627" s="11"/>
      <c r="Z627" s="11"/>
      <c r="AA627" s="11"/>
      <c r="AB627" s="11"/>
      <c r="AC627" s="11"/>
    </row>
    <row r="628" spans="1:29" ht="16.5" thickTop="1">
      <c r="A628" s="1"/>
      <c r="B628" s="1"/>
      <c r="C628" s="16"/>
      <c r="D628" s="16"/>
      <c r="E628" s="214"/>
      <c r="F628" s="215"/>
      <c r="G628" s="185"/>
      <c r="H628" s="185"/>
      <c r="I628" s="249" t="s">
        <v>13</v>
      </c>
      <c r="J628" s="14"/>
      <c r="K628" s="135" t="s">
        <v>13</v>
      </c>
      <c r="N628" s="3" t="s">
        <v>114</v>
      </c>
      <c r="O628" s="33" t="e">
        <f>O627-K627</f>
        <v>#REF!</v>
      </c>
      <c r="P628" s="177" t="e">
        <f>(O627-K627)/(K627-K603-K623-K624)</f>
        <v>#REF!</v>
      </c>
      <c r="V628" s="11"/>
      <c r="W628" s="11"/>
      <c r="X628" s="11"/>
      <c r="Y628" s="11"/>
      <c r="Z628" s="11"/>
      <c r="AA628" s="11"/>
      <c r="AB628" s="11"/>
      <c r="AC628" s="11"/>
    </row>
    <row r="629" spans="1:29">
      <c r="A629" s="156" t="s">
        <v>251</v>
      </c>
      <c r="B629" s="1"/>
      <c r="C629" s="12"/>
      <c r="D629" s="12"/>
      <c r="E629" s="200"/>
      <c r="F629" s="2"/>
      <c r="G629" s="2"/>
      <c r="H629" s="2"/>
      <c r="I629" s="200"/>
      <c r="J629" s="1"/>
      <c r="K629" s="2"/>
      <c r="V629" s="11"/>
      <c r="W629" s="11"/>
      <c r="X629" s="11"/>
      <c r="Y629" s="11"/>
      <c r="Z629" s="11"/>
      <c r="AA629" s="11"/>
      <c r="AB629" s="11"/>
      <c r="AC629" s="11"/>
    </row>
    <row r="630" spans="1:29">
      <c r="A630" s="172" t="s">
        <v>84</v>
      </c>
      <c r="B630" s="1"/>
      <c r="C630" s="12"/>
      <c r="D630" s="12"/>
      <c r="E630" s="200"/>
      <c r="F630" s="2"/>
      <c r="G630" s="2"/>
      <c r="H630" s="2"/>
      <c r="I630" s="200"/>
      <c r="J630" s="1"/>
      <c r="K630" s="2"/>
      <c r="M630" s="42"/>
      <c r="N630" s="42"/>
      <c r="O630" s="209" t="e">
        <f>O628/(K585+K586+K591+K593+K594+K595+K596+K597+K599+K600)</f>
        <v>#REF!</v>
      </c>
      <c r="P630" s="101"/>
      <c r="V630" s="11"/>
      <c r="W630" s="11"/>
      <c r="X630" s="11"/>
      <c r="Y630" s="11"/>
      <c r="Z630" s="11"/>
      <c r="AA630" s="11"/>
      <c r="AB630" s="11"/>
      <c r="AC630" s="11"/>
    </row>
    <row r="631" spans="1:29">
      <c r="A631" s="186"/>
      <c r="B631" s="1"/>
      <c r="C631" s="12"/>
      <c r="D631" s="12"/>
      <c r="E631" s="200"/>
      <c r="F631" s="2"/>
      <c r="G631" s="243"/>
      <c r="H631" s="243"/>
      <c r="I631" s="200"/>
      <c r="J631" s="1"/>
      <c r="K631" s="244"/>
      <c r="M631" s="11"/>
      <c r="N631" s="11"/>
      <c r="O631" s="38"/>
      <c r="P631" s="38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>
      <c r="A632" s="172" t="s">
        <v>253</v>
      </c>
      <c r="B632" s="1"/>
      <c r="C632" s="182"/>
      <c r="D632" s="182"/>
      <c r="E632" s="2" t="s">
        <v>13</v>
      </c>
      <c r="F632" s="2"/>
      <c r="G632" s="1"/>
      <c r="H632" s="1"/>
      <c r="I632" s="2" t="s">
        <v>13</v>
      </c>
      <c r="J632" s="1"/>
      <c r="K632" s="1"/>
      <c r="M632" s="11"/>
      <c r="N632" s="11"/>
      <c r="O632" s="38"/>
      <c r="P632" s="38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>
      <c r="A633" s="172" t="s">
        <v>254</v>
      </c>
      <c r="B633" s="1"/>
      <c r="C633" s="182">
        <f>887</f>
        <v>887</v>
      </c>
      <c r="D633" s="182">
        <v>892</v>
      </c>
      <c r="E633" s="200">
        <f>$E$582</f>
        <v>0</v>
      </c>
      <c r="F633" s="187"/>
      <c r="G633" s="184">
        <f>ROUND(E633*$C633,0)</f>
        <v>0</v>
      </c>
      <c r="H633" s="184">
        <f>ROUND(E633*$D633,0)</f>
        <v>0</v>
      </c>
      <c r="I633" s="200">
        <f>$I$582</f>
        <v>0</v>
      </c>
      <c r="J633" s="187"/>
      <c r="K633" s="184">
        <f>ROUND(I633*$C633,0)</f>
        <v>0</v>
      </c>
      <c r="M633" s="11"/>
      <c r="N633" s="11"/>
      <c r="O633" s="38"/>
      <c r="P633" s="38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>
      <c r="A634" s="172" t="s">
        <v>255</v>
      </c>
      <c r="B634" s="1"/>
      <c r="C634" s="182"/>
      <c r="D634" s="182"/>
      <c r="E634" s="200"/>
      <c r="F634" s="187"/>
      <c r="G634" s="184"/>
      <c r="H634" s="184"/>
      <c r="I634" s="200"/>
      <c r="J634" s="187"/>
      <c r="K634" s="184"/>
      <c r="M634" s="11"/>
      <c r="N634" s="11"/>
      <c r="O634" s="38"/>
      <c r="P634" s="38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>
      <c r="A635" s="172" t="s">
        <v>256</v>
      </c>
      <c r="B635" s="1"/>
      <c r="C635" s="182">
        <f>3412</f>
        <v>3412</v>
      </c>
      <c r="D635" s="182">
        <v>3431</v>
      </c>
      <c r="E635" s="200">
        <f>$E$584</f>
        <v>0</v>
      </c>
      <c r="F635" s="187"/>
      <c r="G635" s="184">
        <f>ROUND(E635*$C635,0)</f>
        <v>0</v>
      </c>
      <c r="H635" s="184">
        <f>ROUND(E635*$D635,0)</f>
        <v>0</v>
      </c>
      <c r="I635" s="200">
        <f>$I$584</f>
        <v>0</v>
      </c>
      <c r="J635" s="187"/>
      <c r="K635" s="184">
        <f>ROUND(I635*$C635,0)</f>
        <v>0</v>
      </c>
      <c r="M635" s="11"/>
      <c r="N635" s="11"/>
      <c r="O635" s="38"/>
      <c r="P635" s="38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>
      <c r="A636" s="172" t="s">
        <v>257</v>
      </c>
      <c r="B636" s="1"/>
      <c r="C636" s="182">
        <f>350</f>
        <v>350</v>
      </c>
      <c r="D636" s="182">
        <v>352</v>
      </c>
      <c r="E636" s="200">
        <f>$E$585</f>
        <v>301</v>
      </c>
      <c r="F636" s="187"/>
      <c r="G636" s="184">
        <f>ROUND(E636*$C636,0)</f>
        <v>105350</v>
      </c>
      <c r="H636" s="184">
        <f>ROUND(E636*$D636,0)</f>
        <v>105952</v>
      </c>
      <c r="I636" s="200">
        <f>$I$585</f>
        <v>333</v>
      </c>
      <c r="J636" s="187"/>
      <c r="K636" s="184">
        <f>ROUND(I636*$C636,0)</f>
        <v>116550</v>
      </c>
      <c r="M636" s="11"/>
      <c r="N636" s="11"/>
      <c r="O636" s="38"/>
      <c r="P636" s="38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>
      <c r="A637" s="172" t="s">
        <v>258</v>
      </c>
      <c r="B637" s="1"/>
      <c r="C637" s="182">
        <f>9</f>
        <v>9</v>
      </c>
      <c r="D637" s="182">
        <v>9</v>
      </c>
      <c r="E637" s="200">
        <f>$E$586</f>
        <v>1215</v>
      </c>
      <c r="F637" s="187"/>
      <c r="G637" s="184">
        <f>ROUND(E637*$C637,0)</f>
        <v>10935</v>
      </c>
      <c r="H637" s="184">
        <f>ROUND(E637*$D637,0)</f>
        <v>10935</v>
      </c>
      <c r="I637" s="200">
        <f>$I$586</f>
        <v>1335</v>
      </c>
      <c r="J637" s="187"/>
      <c r="K637" s="184">
        <f>ROUND(I637*$C637,0)</f>
        <v>12015</v>
      </c>
      <c r="M637" s="11"/>
      <c r="N637" s="11"/>
      <c r="O637" s="38"/>
      <c r="P637" s="38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>
      <c r="A638" s="172" t="s">
        <v>166</v>
      </c>
      <c r="B638" s="1"/>
      <c r="C638" s="182">
        <f>SUM(C633:C637)</f>
        <v>4658</v>
      </c>
      <c r="D638" s="182">
        <v>4683.9852262627228</v>
      </c>
      <c r="E638" s="200"/>
      <c r="F638" s="187"/>
      <c r="G638" s="184"/>
      <c r="H638" s="184"/>
      <c r="I638" s="200"/>
      <c r="J638" s="187"/>
      <c r="K638" s="184"/>
      <c r="M638" s="11"/>
      <c r="N638" s="11"/>
      <c r="O638" s="38"/>
      <c r="P638" s="38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>
      <c r="A639" s="172" t="s">
        <v>259</v>
      </c>
      <c r="B639" s="1"/>
      <c r="C639" s="182">
        <f>5697+21813+2492+69</f>
        <v>30071</v>
      </c>
      <c r="D639" s="182">
        <v>30239</v>
      </c>
      <c r="E639" s="200"/>
      <c r="F639" s="184"/>
      <c r="G639" s="184"/>
      <c r="H639" s="184"/>
      <c r="I639" s="200"/>
      <c r="J639" s="184"/>
      <c r="K639" s="184"/>
      <c r="M639" s="11"/>
      <c r="N639" s="11"/>
      <c r="O639" s="38"/>
      <c r="P639" s="38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>
      <c r="A640" s="172" t="s">
        <v>24</v>
      </c>
      <c r="B640" s="1"/>
      <c r="C640" s="182">
        <f>960+3719+356+9</f>
        <v>5044</v>
      </c>
      <c r="D640" s="182">
        <v>5072</v>
      </c>
      <c r="E640" s="200"/>
      <c r="F640" s="184"/>
      <c r="G640" s="184"/>
      <c r="H640" s="184"/>
      <c r="I640" s="200"/>
      <c r="J640" s="184"/>
      <c r="K640" s="184"/>
      <c r="M640" s="11"/>
      <c r="N640" s="11"/>
      <c r="O640" s="38"/>
      <c r="P640" s="38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>
      <c r="A641" s="172" t="s">
        <v>260</v>
      </c>
      <c r="B641" s="1"/>
      <c r="C641" s="182"/>
      <c r="D641" s="182"/>
      <c r="E641" s="200"/>
      <c r="F641" s="187"/>
      <c r="G641" s="184"/>
      <c r="H641" s="184"/>
      <c r="I641" s="200"/>
      <c r="J641" s="187"/>
      <c r="K641" s="184"/>
      <c r="M641" s="11"/>
      <c r="N641" s="11"/>
      <c r="O641" s="38"/>
      <c r="P641" s="38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>
      <c r="A642" s="172" t="s">
        <v>261</v>
      </c>
      <c r="B642" s="1"/>
      <c r="C642" s="182">
        <f>4289</f>
        <v>4289</v>
      </c>
      <c r="D642" s="182">
        <v>3939</v>
      </c>
      <c r="E642" s="200">
        <f>$E$591</f>
        <v>19.87</v>
      </c>
      <c r="F642" s="187"/>
      <c r="G642" s="184">
        <f>ROUND(E642*$C642,0)</f>
        <v>85222</v>
      </c>
      <c r="H642" s="184">
        <f>ROUND(E642*$D642,0)</f>
        <v>78268</v>
      </c>
      <c r="I642" s="200">
        <f>$I$591</f>
        <v>21.83</v>
      </c>
      <c r="J642" s="187"/>
      <c r="K642" s="184">
        <f>ROUND(I642*$C642,0)</f>
        <v>93629</v>
      </c>
      <c r="M642" s="11"/>
      <c r="N642" s="11"/>
      <c r="O642" s="38"/>
      <c r="P642" s="38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>
      <c r="A643" s="172" t="s">
        <v>262</v>
      </c>
      <c r="B643" s="1"/>
      <c r="C643" s="182"/>
      <c r="D643" s="182"/>
      <c r="E643" s="200"/>
      <c r="F643" s="187"/>
      <c r="G643" s="184"/>
      <c r="H643" s="184"/>
      <c r="I643" s="200"/>
      <c r="J643" s="187"/>
      <c r="K643" s="184"/>
      <c r="M643" s="11"/>
      <c r="N643" s="11"/>
      <c r="O643" s="38"/>
      <c r="P643" s="38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>
      <c r="A644" s="172" t="s">
        <v>256</v>
      </c>
      <c r="B644" s="1"/>
      <c r="C644" s="182">
        <f>49028</f>
        <v>49028</v>
      </c>
      <c r="D644" s="182">
        <v>45025</v>
      </c>
      <c r="E644" s="200">
        <f>$E$593</f>
        <v>19.87</v>
      </c>
      <c r="F644" s="187"/>
      <c r="G644" s="184">
        <f>ROUND(E644*$C644,0)</f>
        <v>974186</v>
      </c>
      <c r="H644" s="184">
        <f>ROUND(E644*$D644,0)</f>
        <v>894647</v>
      </c>
      <c r="I644" s="200">
        <f>$I$593</f>
        <v>21.83</v>
      </c>
      <c r="J644" s="187"/>
      <c r="K644" s="184">
        <f>ROUND(I644*$C644,0)</f>
        <v>1070281</v>
      </c>
      <c r="M644" s="11"/>
      <c r="N644" s="11"/>
      <c r="O644" s="38"/>
      <c r="P644" s="38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>
      <c r="A645" s="172" t="s">
        <v>257</v>
      </c>
      <c r="B645" s="1"/>
      <c r="C645" s="182">
        <f>33712</f>
        <v>33712</v>
      </c>
      <c r="D645" s="182">
        <v>30960</v>
      </c>
      <c r="E645" s="200">
        <f>$E$594</f>
        <v>13.64</v>
      </c>
      <c r="F645" s="187"/>
      <c r="G645" s="184">
        <f>ROUND(E645*$C645,0)</f>
        <v>459832</v>
      </c>
      <c r="H645" s="184">
        <f>ROUND(E645*$D645,0)</f>
        <v>422294</v>
      </c>
      <c r="I645" s="200">
        <f>$I$594</f>
        <v>14.98</v>
      </c>
      <c r="J645" s="187"/>
      <c r="K645" s="184">
        <f>ROUND(I645*$C645,0)</f>
        <v>505006</v>
      </c>
      <c r="M645" s="11"/>
      <c r="N645" s="11"/>
      <c r="O645" s="38"/>
      <c r="P645" s="38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>
      <c r="A646" s="172" t="s">
        <v>258</v>
      </c>
      <c r="B646" s="1"/>
      <c r="C646" s="182">
        <f>3389</f>
        <v>3389</v>
      </c>
      <c r="D646" s="182">
        <v>3112</v>
      </c>
      <c r="E646" s="200">
        <f>$E$595</f>
        <v>10.62</v>
      </c>
      <c r="F646" s="187"/>
      <c r="G646" s="184">
        <f>ROUND(E646*$C646,0)</f>
        <v>35991</v>
      </c>
      <c r="H646" s="184">
        <f>ROUND(E646*$D646,0)</f>
        <v>33049</v>
      </c>
      <c r="I646" s="200">
        <f>$I$595</f>
        <v>11.67</v>
      </c>
      <c r="J646" s="187"/>
      <c r="K646" s="184">
        <f>ROUND(I646*$C646,0)</f>
        <v>39550</v>
      </c>
      <c r="M646" s="11"/>
      <c r="N646" s="11"/>
      <c r="O646" s="38"/>
      <c r="P646" s="38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>
      <c r="A647" s="172" t="s">
        <v>264</v>
      </c>
      <c r="B647" s="1"/>
      <c r="C647" s="182">
        <v>126</v>
      </c>
      <c r="D647" s="182">
        <v>116</v>
      </c>
      <c r="E647" s="200">
        <f>$E$596</f>
        <v>59.61</v>
      </c>
      <c r="F647" s="187"/>
      <c r="G647" s="184">
        <f>ROUND(E647*$C647,0)</f>
        <v>7511</v>
      </c>
      <c r="H647" s="184">
        <f>ROUND(E647*$D647,0)</f>
        <v>6915</v>
      </c>
      <c r="I647" s="200">
        <f>$I$596</f>
        <v>65.48</v>
      </c>
      <c r="J647" s="187"/>
      <c r="K647" s="184">
        <f>ROUND(I647*$C647,0)</f>
        <v>8250</v>
      </c>
      <c r="M647" s="11"/>
      <c r="N647" s="11"/>
      <c r="O647" s="38"/>
      <c r="P647" s="38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>
      <c r="A648" s="172" t="s">
        <v>265</v>
      </c>
      <c r="B648" s="1"/>
      <c r="C648" s="182">
        <v>1789</v>
      </c>
      <c r="D648" s="182">
        <v>1643</v>
      </c>
      <c r="E648" s="200">
        <f>$E$597</f>
        <v>119.22</v>
      </c>
      <c r="F648" s="187"/>
      <c r="G648" s="184">
        <f>ROUND(E648*$C648,0)</f>
        <v>213285</v>
      </c>
      <c r="H648" s="184">
        <f>ROUND(E648*$D648,0)</f>
        <v>195878</v>
      </c>
      <c r="I648" s="200">
        <f>$I$597</f>
        <v>130.96</v>
      </c>
      <c r="J648" s="187"/>
      <c r="K648" s="184">
        <f>ROUND(I648*$C648,0)</f>
        <v>234287</v>
      </c>
      <c r="M648" s="11"/>
      <c r="N648" s="11"/>
      <c r="O648" s="38"/>
      <c r="P648" s="38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>
      <c r="A649" s="172" t="s">
        <v>266</v>
      </c>
      <c r="B649" s="1"/>
      <c r="C649" s="182"/>
      <c r="D649" s="182"/>
      <c r="E649" s="200"/>
      <c r="F649" s="187"/>
      <c r="G649" s="184"/>
      <c r="H649" s="184"/>
      <c r="I649" s="200"/>
      <c r="J649" s="187"/>
      <c r="K649" s="184"/>
      <c r="M649" s="11"/>
      <c r="N649" s="11"/>
      <c r="O649" s="38"/>
      <c r="P649" s="38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>
      <c r="A650" s="172" t="s">
        <v>261</v>
      </c>
      <c r="B650" s="1"/>
      <c r="C650" s="182">
        <v>73</v>
      </c>
      <c r="D650" s="182">
        <f>ROUND(($D$676/$C$676)*C650,0)</f>
        <v>67</v>
      </c>
      <c r="E650" s="226">
        <f>-E642</f>
        <v>-19.87</v>
      </c>
      <c r="F650" s="187"/>
      <c r="G650" s="184">
        <f>ROUND(E650*$C650,0)</f>
        <v>-1451</v>
      </c>
      <c r="H650" s="184">
        <f>ROUND(E650*$D650,0)</f>
        <v>-1331</v>
      </c>
      <c r="I650" s="226">
        <f>-I642</f>
        <v>-21.83</v>
      </c>
      <c r="J650" s="187"/>
      <c r="K650" s="184">
        <f>ROUND(I650*$C650,0)</f>
        <v>-1594</v>
      </c>
      <c r="M650" s="11"/>
      <c r="N650" s="11"/>
      <c r="O650" s="38"/>
      <c r="P650" s="38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>
      <c r="A651" s="172" t="s">
        <v>267</v>
      </c>
      <c r="B651" s="1"/>
      <c r="C651" s="182">
        <v>11428</v>
      </c>
      <c r="D651" s="182">
        <f>ROUND(($D$676/$C$676)*C651,0)</f>
        <v>10495</v>
      </c>
      <c r="E651" s="226">
        <f>-E644</f>
        <v>-19.87</v>
      </c>
      <c r="F651" s="187"/>
      <c r="G651" s="184">
        <f>ROUND(E651*$C651,0)</f>
        <v>-227074</v>
      </c>
      <c r="H651" s="184">
        <f>ROUND(E651*$D651,0)</f>
        <v>-208536</v>
      </c>
      <c r="I651" s="226">
        <f>-I644</f>
        <v>-21.83</v>
      </c>
      <c r="J651" s="187"/>
      <c r="K651" s="184">
        <f>ROUND(I651*$C651,0)</f>
        <v>-249473</v>
      </c>
      <c r="M651" s="11"/>
      <c r="N651" s="11"/>
      <c r="O651" s="38"/>
      <c r="P651" s="38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>
      <c r="A652" s="186" t="s">
        <v>230</v>
      </c>
      <c r="B652" s="1"/>
      <c r="C652" s="182"/>
      <c r="D652" s="182"/>
      <c r="E652" s="200"/>
      <c r="F652" s="184"/>
      <c r="G652" s="184"/>
      <c r="H652" s="184"/>
      <c r="I652" s="200"/>
      <c r="J652" s="184"/>
      <c r="K652" s="184"/>
      <c r="M652" s="11"/>
      <c r="N652" s="11"/>
      <c r="O652" s="38"/>
      <c r="P652" s="38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>
      <c r="A653" s="172" t="s">
        <v>268</v>
      </c>
      <c r="B653" s="1"/>
      <c r="C653" s="182">
        <f>5084272+75575644+56800989+6712400</f>
        <v>144173305</v>
      </c>
      <c r="D653" s="182">
        <f>ROUND(($D$676/$C$676)*C653,0)</f>
        <v>132402479</v>
      </c>
      <c r="E653" s="245">
        <f>$E$602</f>
        <v>5.3710000000000004</v>
      </c>
      <c r="F653" s="184" t="s">
        <v>178</v>
      </c>
      <c r="G653" s="184">
        <f>ROUND(E653/100*$C653,0)</f>
        <v>7743548</v>
      </c>
      <c r="H653" s="184">
        <f>ROUND(E653/100*$D653,0)</f>
        <v>7111337</v>
      </c>
      <c r="I653" s="245">
        <f>$I$602</f>
        <v>5.9</v>
      </c>
      <c r="J653" s="184" t="s">
        <v>178</v>
      </c>
      <c r="K653" s="184">
        <f>ROUND(I653/100*$C653,0)</f>
        <v>8506225</v>
      </c>
      <c r="M653" s="11"/>
      <c r="N653" s="11"/>
      <c r="O653" s="38"/>
      <c r="P653" s="38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>
      <c r="A654" s="186" t="s">
        <v>204</v>
      </c>
      <c r="B654" s="1"/>
      <c r="C654" s="138">
        <f>1923+20850+3348</f>
        <v>26121</v>
      </c>
      <c r="D654" s="182">
        <f>ROUND(($D$676/$C$676)*C654,0)</f>
        <v>23988</v>
      </c>
      <c r="E654" s="202">
        <f>$E$603</f>
        <v>45</v>
      </c>
      <c r="F654" s="186" t="s">
        <v>178</v>
      </c>
      <c r="G654" s="184">
        <f>ROUND(E654*$C654/100,0)</f>
        <v>11754</v>
      </c>
      <c r="H654" s="184">
        <f>ROUND(E654*$D654/100,0)</f>
        <v>10795</v>
      </c>
      <c r="I654" s="202">
        <f>$I$603</f>
        <v>50</v>
      </c>
      <c r="J654" s="186" t="s">
        <v>178</v>
      </c>
      <c r="K654" s="184">
        <f>ROUND(I654*$C654/100,0)</f>
        <v>13061</v>
      </c>
      <c r="M654" s="11"/>
      <c r="N654" s="11"/>
      <c r="O654" s="38"/>
      <c r="P654" s="38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>
      <c r="A655" s="223" t="s">
        <v>205</v>
      </c>
      <c r="B655" s="1"/>
      <c r="C655" s="182"/>
      <c r="D655" s="182"/>
      <c r="E655" s="195">
        <v>-0.01</v>
      </c>
      <c r="F655" s="2"/>
      <c r="G655" s="184"/>
      <c r="H655" s="184"/>
      <c r="I655" s="195">
        <v>-0.01</v>
      </c>
      <c r="J655" s="1"/>
      <c r="K655" s="184"/>
      <c r="M655" s="11"/>
      <c r="N655" s="11"/>
      <c r="O655" s="38"/>
      <c r="P655" s="38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>
      <c r="A656" s="172" t="s">
        <v>194</v>
      </c>
      <c r="B656" s="1"/>
      <c r="C656" s="182">
        <v>0</v>
      </c>
      <c r="D656" s="182">
        <v>0</v>
      </c>
      <c r="E656" s="247">
        <f>E633</f>
        <v>0</v>
      </c>
      <c r="F656" s="187"/>
      <c r="G656" s="184">
        <f>ROUND(E656*$C656*$E$604,0)</f>
        <v>0</v>
      </c>
      <c r="H656" s="184">
        <f>ROUND(E656*$D656*$E$604,0)</f>
        <v>0</v>
      </c>
      <c r="I656" s="247">
        <f>I633</f>
        <v>0</v>
      </c>
      <c r="J656" s="187"/>
      <c r="K656" s="184">
        <f>ROUND(I656*$C656*$E$604,0)</f>
        <v>0</v>
      </c>
      <c r="M656" s="11"/>
      <c r="N656" s="11"/>
      <c r="O656" s="38"/>
      <c r="P656" s="38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>
      <c r="A657" s="172" t="s">
        <v>195</v>
      </c>
      <c r="B657" s="1"/>
      <c r="C657" s="182"/>
      <c r="D657" s="182"/>
      <c r="E657" s="247"/>
      <c r="F657" s="187"/>
      <c r="G657" s="184"/>
      <c r="H657" s="184"/>
      <c r="I657" s="247"/>
      <c r="J657" s="187"/>
      <c r="K657" s="184"/>
      <c r="M657" s="11"/>
      <c r="N657" s="11"/>
      <c r="O657" s="38"/>
      <c r="P657" s="38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>
      <c r="A658" s="172" t="s">
        <v>256</v>
      </c>
      <c r="B658" s="1"/>
      <c r="C658" s="182">
        <v>0</v>
      </c>
      <c r="D658" s="182">
        <v>0</v>
      </c>
      <c r="E658" s="247">
        <f>E635</f>
        <v>0</v>
      </c>
      <c r="F658" s="187"/>
      <c r="G658" s="184">
        <f>ROUND(E658*$C658*$E$604,0)</f>
        <v>0</v>
      </c>
      <c r="H658" s="184">
        <f>ROUND(E658*$D658*$E$604,0)</f>
        <v>0</v>
      </c>
      <c r="I658" s="247">
        <f>I635</f>
        <v>0</v>
      </c>
      <c r="J658" s="187"/>
      <c r="K658" s="184">
        <f>ROUND(I658*$C658*$E$604,0)</f>
        <v>0</v>
      </c>
      <c r="M658" s="11"/>
      <c r="N658" s="11"/>
      <c r="O658" s="38"/>
      <c r="P658" s="38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>
      <c r="A659" s="172" t="s">
        <v>257</v>
      </c>
      <c r="B659" s="1"/>
      <c r="C659" s="182">
        <v>0</v>
      </c>
      <c r="D659" s="182">
        <v>0</v>
      </c>
      <c r="E659" s="247">
        <f>E636</f>
        <v>301</v>
      </c>
      <c r="F659" s="187"/>
      <c r="G659" s="184">
        <f>ROUND(E659*$C659*$E$604,0)</f>
        <v>0</v>
      </c>
      <c r="H659" s="184">
        <f>ROUND(E659*$D659*$E$604,0)</f>
        <v>0</v>
      </c>
      <c r="I659" s="247">
        <f>I636</f>
        <v>333</v>
      </c>
      <c r="J659" s="187"/>
      <c r="K659" s="184">
        <f>ROUND(I659*$C659*$E$604,0)</f>
        <v>0</v>
      </c>
      <c r="M659" s="11"/>
      <c r="N659" s="11"/>
      <c r="O659" s="38"/>
      <c r="P659" s="38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>
      <c r="A660" s="172" t="s">
        <v>258</v>
      </c>
      <c r="B660" s="1"/>
      <c r="C660" s="182">
        <v>0</v>
      </c>
      <c r="D660" s="182">
        <v>0</v>
      </c>
      <c r="E660" s="247">
        <f>E637</f>
        <v>1215</v>
      </c>
      <c r="F660" s="187"/>
      <c r="G660" s="184">
        <f>ROUND(E660*$C660*$E$604,0)</f>
        <v>0</v>
      </c>
      <c r="H660" s="184">
        <f>ROUND(E660*$D660*$E$604,0)</f>
        <v>0</v>
      </c>
      <c r="I660" s="247">
        <f>I637</f>
        <v>1335</v>
      </c>
      <c r="J660" s="187"/>
      <c r="K660" s="184">
        <f>ROUND(I660*$C660*$E$604,0)</f>
        <v>0</v>
      </c>
      <c r="M660" s="11"/>
      <c r="N660" s="11"/>
      <c r="O660" s="38"/>
      <c r="P660" s="38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>
      <c r="A661" s="172" t="s">
        <v>194</v>
      </c>
      <c r="B661" s="1"/>
      <c r="C661" s="182">
        <v>0</v>
      </c>
      <c r="D661" s="182">
        <v>0</v>
      </c>
      <c r="E661" s="247">
        <f>E642</f>
        <v>19.87</v>
      </c>
      <c r="F661" s="187"/>
      <c r="G661" s="184">
        <f>ROUND(E661*$C661*$E$604,0)</f>
        <v>0</v>
      </c>
      <c r="H661" s="184">
        <f>ROUND(E661*$D661*$E$604,0)</f>
        <v>0</v>
      </c>
      <c r="I661" s="247">
        <f>I642</f>
        <v>21.83</v>
      </c>
      <c r="J661" s="187"/>
      <c r="K661" s="184">
        <f>ROUND(I661*$C661*$E$604,0)</f>
        <v>0</v>
      </c>
      <c r="M661" s="11"/>
      <c r="N661" s="11"/>
      <c r="O661" s="38"/>
      <c r="P661" s="38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>
      <c r="A662" s="172" t="s">
        <v>195</v>
      </c>
      <c r="B662" s="1"/>
      <c r="C662" s="182"/>
      <c r="D662" s="182"/>
      <c r="E662" s="247"/>
      <c r="F662" s="187"/>
      <c r="G662" s="184"/>
      <c r="H662" s="184"/>
      <c r="I662" s="247"/>
      <c r="J662" s="187"/>
      <c r="K662" s="184"/>
      <c r="M662" s="11"/>
      <c r="N662" s="11"/>
      <c r="O662" s="38"/>
      <c r="P662" s="38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>
      <c r="A663" s="172" t="s">
        <v>256</v>
      </c>
      <c r="B663" s="1"/>
      <c r="C663" s="182">
        <v>0</v>
      </c>
      <c r="D663" s="182">
        <f>ROUND(($D$676/$C$676)*C663,0)</f>
        <v>0</v>
      </c>
      <c r="E663" s="247">
        <f>E644</f>
        <v>19.87</v>
      </c>
      <c r="F663" s="187"/>
      <c r="G663" s="184">
        <f>ROUND(E663*$C663*$E$604,0)</f>
        <v>0</v>
      </c>
      <c r="H663" s="184">
        <f>ROUND(E663*$D663*$E$604,0)</f>
        <v>0</v>
      </c>
      <c r="I663" s="247">
        <f>I644</f>
        <v>21.83</v>
      </c>
      <c r="J663" s="187"/>
      <c r="K663" s="184">
        <f>ROUND(I663*$C663*$E$604,0)</f>
        <v>0</v>
      </c>
      <c r="M663" s="11"/>
      <c r="N663" s="11"/>
      <c r="O663" s="38"/>
      <c r="P663" s="38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>
      <c r="A664" s="172" t="s">
        <v>257</v>
      </c>
      <c r="B664" s="1"/>
      <c r="C664" s="182">
        <v>0</v>
      </c>
      <c r="D664" s="182">
        <f>ROUND(($D$676/$C$676)*C664,0)</f>
        <v>0</v>
      </c>
      <c r="E664" s="247">
        <f>E645</f>
        <v>13.64</v>
      </c>
      <c r="F664" s="187"/>
      <c r="G664" s="184">
        <f>ROUND(E664*$C664*$E$604,0)</f>
        <v>0</v>
      </c>
      <c r="H664" s="184">
        <f>ROUND(E664*$D664*$E$604,0)</f>
        <v>0</v>
      </c>
      <c r="I664" s="247">
        <f>I645</f>
        <v>14.98</v>
      </c>
      <c r="J664" s="187"/>
      <c r="K664" s="184">
        <f>ROUND(I664*$C664*$E$604,0)</f>
        <v>0</v>
      </c>
      <c r="M664" s="11"/>
      <c r="N664" s="11"/>
      <c r="O664" s="38"/>
      <c r="P664" s="38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>
      <c r="A665" s="172" t="s">
        <v>258</v>
      </c>
      <c r="B665" s="1"/>
      <c r="C665" s="182">
        <v>0</v>
      </c>
      <c r="D665" s="182">
        <f>ROUND(($D$676/$C$676)*C665,0)</f>
        <v>0</v>
      </c>
      <c r="E665" s="247">
        <f>E646</f>
        <v>10.62</v>
      </c>
      <c r="F665" s="187"/>
      <c r="G665" s="184">
        <f>ROUND(E665*$C665*$E$604,0)</f>
        <v>0</v>
      </c>
      <c r="H665" s="184">
        <f>ROUND(E665*$D665*$E$604,0)</f>
        <v>0</v>
      </c>
      <c r="I665" s="247">
        <f>I646</f>
        <v>11.67</v>
      </c>
      <c r="J665" s="187"/>
      <c r="K665" s="184">
        <f>ROUND(I665*$C665*$E$604,0)</f>
        <v>0</v>
      </c>
      <c r="M665" s="11"/>
      <c r="N665" s="11"/>
      <c r="O665" s="38"/>
      <c r="P665" s="38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>
      <c r="A666" s="172" t="s">
        <v>269</v>
      </c>
      <c r="B666" s="1"/>
      <c r="C666" s="182">
        <v>0</v>
      </c>
      <c r="D666" s="182">
        <v>0</v>
      </c>
      <c r="E666" s="216">
        <f>E647</f>
        <v>59.61</v>
      </c>
      <c r="F666" s="187"/>
      <c r="G666" s="184">
        <f>ROUND(E666*$C666*$E$604,0)</f>
        <v>0</v>
      </c>
      <c r="H666" s="184">
        <f>ROUND(E666*$D666*$E$604,0)</f>
        <v>0</v>
      </c>
      <c r="I666" s="216">
        <f>I647</f>
        <v>65.48</v>
      </c>
      <c r="J666" s="187"/>
      <c r="K666" s="184">
        <f>ROUND(I666*$C666*$E$604,0)</f>
        <v>0</v>
      </c>
      <c r="M666" s="11"/>
      <c r="N666" s="11"/>
      <c r="O666" s="38"/>
      <c r="P666" s="38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>
      <c r="A667" s="172" t="s">
        <v>270</v>
      </c>
      <c r="B667" s="1"/>
      <c r="C667" s="182">
        <v>0</v>
      </c>
      <c r="D667" s="182">
        <v>0</v>
      </c>
      <c r="E667" s="216">
        <f>E648</f>
        <v>119.22</v>
      </c>
      <c r="F667" s="187"/>
      <c r="G667" s="184">
        <f>ROUND(E667*$C667*$E$604,0)</f>
        <v>0</v>
      </c>
      <c r="H667" s="184">
        <f>ROUND(E667*$D667*$E$604,0)</f>
        <v>0</v>
      </c>
      <c r="I667" s="216">
        <f>I648</f>
        <v>130.96</v>
      </c>
      <c r="J667" s="187"/>
      <c r="K667" s="184">
        <f>ROUND(I667*$C667*$E$604,0)</f>
        <v>0</v>
      </c>
      <c r="M667" s="11"/>
      <c r="N667" s="11"/>
      <c r="O667" s="38"/>
      <c r="P667" s="38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>
      <c r="A668" s="172" t="s">
        <v>266</v>
      </c>
      <c r="B668" s="1"/>
      <c r="C668" s="182"/>
      <c r="D668" s="182"/>
      <c r="E668" s="200"/>
      <c r="F668" s="187"/>
      <c r="G668" s="184"/>
      <c r="H668" s="184"/>
      <c r="I668" s="200"/>
      <c r="J668" s="187"/>
      <c r="K668" s="184"/>
      <c r="M668" s="11"/>
      <c r="N668" s="11"/>
      <c r="O668" s="38"/>
      <c r="P668" s="38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>
      <c r="A669" s="172" t="s">
        <v>261</v>
      </c>
      <c r="B669" s="1"/>
      <c r="C669" s="182">
        <v>0</v>
      </c>
      <c r="D669" s="182">
        <f>ROUND(($D$676/$C$676)*C669,0)</f>
        <v>0</v>
      </c>
      <c r="E669" s="226">
        <f>E650</f>
        <v>-19.87</v>
      </c>
      <c r="F669" s="187"/>
      <c r="G669" s="184">
        <f>ROUND(E669*$C669*$E$604,0)</f>
        <v>0</v>
      </c>
      <c r="H669" s="184">
        <f>ROUND(E669*$D669*$E$604,0)</f>
        <v>0</v>
      </c>
      <c r="I669" s="226">
        <f>I650</f>
        <v>-21.83</v>
      </c>
      <c r="J669" s="187"/>
      <c r="K669" s="184">
        <f>ROUND(I669*$C669*$E$604,0)</f>
        <v>0</v>
      </c>
      <c r="M669" s="11"/>
      <c r="N669" s="11"/>
      <c r="O669" s="38"/>
      <c r="P669" s="38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>
      <c r="A670" s="172" t="s">
        <v>267</v>
      </c>
      <c r="B670" s="1"/>
      <c r="C670" s="182">
        <v>0</v>
      </c>
      <c r="D670" s="182">
        <f>ROUND(($D$676/$C$676)*C670,0)</f>
        <v>0</v>
      </c>
      <c r="E670" s="226">
        <f>E651</f>
        <v>-19.87</v>
      </c>
      <c r="F670" s="187"/>
      <c r="G670" s="184">
        <f>ROUND(E670*$C670*$E$604,0)</f>
        <v>0</v>
      </c>
      <c r="H670" s="184">
        <f>ROUND(E670*$D670*$E$604,0)</f>
        <v>0</v>
      </c>
      <c r="I670" s="226">
        <f>I651</f>
        <v>-21.83</v>
      </c>
      <c r="J670" s="187"/>
      <c r="K670" s="184">
        <f>ROUND(I670*$C670*$E$604,0)</f>
        <v>0</v>
      </c>
      <c r="M670" s="11"/>
      <c r="N670" s="11"/>
      <c r="O670" s="38"/>
      <c r="P670" s="38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>
      <c r="A671" s="186" t="s">
        <v>230</v>
      </c>
      <c r="B671" s="1"/>
      <c r="C671" s="182"/>
      <c r="D671" s="182"/>
      <c r="E671" s="247"/>
      <c r="F671" s="184"/>
      <c r="G671" s="184"/>
      <c r="H671" s="184"/>
      <c r="I671" s="247"/>
      <c r="J671" s="184"/>
      <c r="K671" s="184"/>
      <c r="M671" s="11"/>
      <c r="N671" s="11"/>
      <c r="O671" s="38"/>
      <c r="P671" s="38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>
      <c r="A672" s="172" t="s">
        <v>268</v>
      </c>
      <c r="B672" s="1"/>
      <c r="C672" s="182">
        <v>0</v>
      </c>
      <c r="D672" s="182">
        <f>ROUND(($D$676/$C$676)*C672,0)</f>
        <v>0</v>
      </c>
      <c r="E672" s="248">
        <f>E653</f>
        <v>5.3710000000000004</v>
      </c>
      <c r="F672" s="184" t="s">
        <v>178</v>
      </c>
      <c r="G672" s="184">
        <f>ROUND(E672/100*$C672*$E$604,0)</f>
        <v>0</v>
      </c>
      <c r="H672" s="184">
        <f>ROUND(E672/100*$D672*$E$604,0)</f>
        <v>0</v>
      </c>
      <c r="I672" s="248">
        <f>I653</f>
        <v>5.9</v>
      </c>
      <c r="J672" s="184" t="s">
        <v>178</v>
      </c>
      <c r="K672" s="184">
        <f>ROUND(I672/100*$C672*$E$604,0)</f>
        <v>0</v>
      </c>
      <c r="M672" s="11"/>
      <c r="N672" s="11"/>
      <c r="O672" s="38"/>
      <c r="P672" s="38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>
      <c r="A673" s="186" t="s">
        <v>204</v>
      </c>
      <c r="B673" s="1"/>
      <c r="C673" s="182">
        <v>0</v>
      </c>
      <c r="D673" s="182">
        <f>ROUND(($D$676/$C$676)*C673,0)</f>
        <v>0</v>
      </c>
      <c r="E673" s="238">
        <f>E654</f>
        <v>45</v>
      </c>
      <c r="F673" s="184" t="s">
        <v>178</v>
      </c>
      <c r="G673" s="184">
        <f>ROUND(E673/100*$C673*$E$604,0)</f>
        <v>0</v>
      </c>
      <c r="H673" s="184">
        <f>ROUND(E673/100*$D673*$E$604,0)</f>
        <v>0</v>
      </c>
      <c r="I673" s="238">
        <f>I654</f>
        <v>50</v>
      </c>
      <c r="J673" s="186" t="s">
        <v>178</v>
      </c>
      <c r="K673" s="184">
        <f>ROUND(I673/100*$C673*$E$604,0)</f>
        <v>0</v>
      </c>
      <c r="M673" s="11"/>
      <c r="N673" s="11"/>
      <c r="O673" s="38"/>
      <c r="P673" s="38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>
      <c r="A674" s="186" t="s">
        <v>247</v>
      </c>
      <c r="B674" s="1"/>
      <c r="C674" s="182">
        <v>0</v>
      </c>
      <c r="D674" s="182">
        <v>0</v>
      </c>
      <c r="E674" s="161">
        <f>$E$623</f>
        <v>60</v>
      </c>
      <c r="F674" s="227" t="s">
        <v>13</v>
      </c>
      <c r="G674" s="184">
        <f>ROUND(E674*$C674,0)</f>
        <v>0</v>
      </c>
      <c r="H674" s="184">
        <f>ROUND(E674*$D674,0)</f>
        <v>0</v>
      </c>
      <c r="I674" s="161">
        <f>$I$623</f>
        <v>60</v>
      </c>
      <c r="J674" s="1"/>
      <c r="K674" s="184">
        <f>ROUND(I674*$C674,0)</f>
        <v>0</v>
      </c>
      <c r="M674" s="11"/>
      <c r="N674" s="11"/>
      <c r="O674" s="38"/>
      <c r="P674" s="38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>
      <c r="A675" s="186" t="s">
        <v>248</v>
      </c>
      <c r="B675" s="1"/>
      <c r="C675" s="182">
        <v>0</v>
      </c>
      <c r="D675" s="182">
        <f>ROUND(($D$676/$C$676)*C675,0)</f>
        <v>0</v>
      </c>
      <c r="E675" s="202">
        <f>$E$624</f>
        <v>-30</v>
      </c>
      <c r="F675" s="184" t="s">
        <v>178</v>
      </c>
      <c r="G675" s="184">
        <f>ROUND(E675*$C675,0)</f>
        <v>0</v>
      </c>
      <c r="H675" s="184">
        <f>ROUND(E675*$D675,0)</f>
        <v>0</v>
      </c>
      <c r="I675" s="202">
        <f>$I$624</f>
        <v>-30</v>
      </c>
      <c r="J675" s="184" t="s">
        <v>178</v>
      </c>
      <c r="K675" s="184">
        <f>ROUND(I675*$C675,0)</f>
        <v>0</v>
      </c>
      <c r="M675" s="11"/>
      <c r="N675" s="11"/>
      <c r="O675" s="38"/>
      <c r="P675" s="38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>
      <c r="A676" s="1" t="s">
        <v>185</v>
      </c>
      <c r="B676" s="1"/>
      <c r="C676" s="182">
        <f>SUM(C653:C653)</f>
        <v>144173305</v>
      </c>
      <c r="D676" s="182">
        <v>132402479.40697747</v>
      </c>
      <c r="E676" s="193"/>
      <c r="F676" s="2"/>
      <c r="G676" s="2">
        <f>SUM(G633:G675)</f>
        <v>9419089</v>
      </c>
      <c r="H676" s="2">
        <f>SUM(H633:H675)</f>
        <v>8660203</v>
      </c>
      <c r="I676" s="193"/>
      <c r="J676" s="186"/>
      <c r="K676" s="2">
        <f>SUM(K633:K675)</f>
        <v>10347787</v>
      </c>
      <c r="M676" s="11"/>
      <c r="N676" s="11"/>
      <c r="O676" s="38"/>
      <c r="P676" s="38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>
      <c r="A677" s="1" t="s">
        <v>167</v>
      </c>
      <c r="B677" s="1"/>
      <c r="C677" s="212" t="e">
        <f>#REF!</f>
        <v>#REF!</v>
      </c>
      <c r="D677" s="212">
        <v>0</v>
      </c>
      <c r="E677" s="172"/>
      <c r="F677" s="172"/>
      <c r="G677" s="173" t="e">
        <f>#REF!</f>
        <v>#REF!</v>
      </c>
      <c r="H677" s="173">
        <v>0</v>
      </c>
      <c r="I677" s="172"/>
      <c r="J677" s="172"/>
      <c r="K677" s="173" t="e">
        <f>G677</f>
        <v>#REF!</v>
      </c>
      <c r="M677" s="307"/>
      <c r="N677" s="307"/>
      <c r="O677" s="150"/>
      <c r="P677" s="38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6.5" thickBot="1">
      <c r="A678" s="1" t="s">
        <v>186</v>
      </c>
      <c r="B678" s="1"/>
      <c r="C678" s="229" t="e">
        <f>SUM(C676:C677)</f>
        <v>#REF!</v>
      </c>
      <c r="D678" s="229">
        <f>SUM(D676:D677)</f>
        <v>132402479.40697747</v>
      </c>
      <c r="E678" s="205"/>
      <c r="F678" s="206"/>
      <c r="G678" s="207" t="e">
        <f>G676+G677</f>
        <v>#REF!</v>
      </c>
      <c r="H678" s="207">
        <f>H676+H677</f>
        <v>8660203</v>
      </c>
      <c r="I678" s="205"/>
      <c r="J678" s="208"/>
      <c r="K678" s="207" t="e">
        <f>K676+K677</f>
        <v>#REF!</v>
      </c>
      <c r="M678" s="274"/>
      <c r="N678" s="274"/>
      <c r="O678" s="333"/>
      <c r="P678" s="38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6.5" thickTop="1">
      <c r="A679" s="1"/>
      <c r="B679" s="1"/>
      <c r="C679" s="16"/>
      <c r="D679" s="16"/>
      <c r="E679" s="214"/>
      <c r="F679" s="215"/>
      <c r="G679" s="185"/>
      <c r="H679" s="185"/>
      <c r="I679" s="249" t="s">
        <v>13</v>
      </c>
      <c r="J679" s="14"/>
      <c r="K679" s="135" t="s">
        <v>13</v>
      </c>
      <c r="M679" s="11"/>
      <c r="N679" s="11"/>
      <c r="O679" s="38"/>
      <c r="P679" s="38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>
      <c r="A680" s="156" t="s">
        <v>271</v>
      </c>
      <c r="B680" s="1"/>
      <c r="C680" s="12"/>
      <c r="D680" s="12"/>
      <c r="E680" s="200"/>
      <c r="F680" s="2"/>
      <c r="G680" s="2"/>
      <c r="H680" s="2"/>
      <c r="I680" s="200"/>
      <c r="J680" s="1"/>
      <c r="K680" s="2"/>
      <c r="M680" s="11"/>
      <c r="N680" s="11"/>
      <c r="O680" s="38"/>
      <c r="P680" s="38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>
      <c r="A681" s="172" t="s">
        <v>272</v>
      </c>
      <c r="B681" s="1"/>
      <c r="C681" s="12"/>
      <c r="D681" s="12"/>
      <c r="E681" s="200"/>
      <c r="F681" s="2"/>
      <c r="G681" s="2"/>
      <c r="H681" s="2"/>
      <c r="I681" s="200"/>
      <c r="J681" s="1"/>
      <c r="K681" s="2"/>
      <c r="M681" s="11"/>
      <c r="N681" s="11"/>
      <c r="O681" s="38"/>
      <c r="P681" s="38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>
      <c r="A682" s="186"/>
      <c r="B682" s="1"/>
      <c r="C682" s="12"/>
      <c r="D682" s="12"/>
      <c r="E682" s="200"/>
      <c r="F682" s="2"/>
      <c r="G682" s="243"/>
      <c r="H682" s="243"/>
      <c r="I682" s="200"/>
      <c r="J682" s="1"/>
      <c r="K682" s="244"/>
      <c r="M682" s="11"/>
      <c r="N682" s="11"/>
      <c r="O682" s="38"/>
      <c r="P682" s="38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>
      <c r="A683" s="172" t="s">
        <v>253</v>
      </c>
      <c r="B683" s="1"/>
      <c r="C683" s="182"/>
      <c r="D683" s="182"/>
      <c r="E683" s="2" t="s">
        <v>13</v>
      </c>
      <c r="F683" s="2"/>
      <c r="G683" s="1"/>
      <c r="H683" s="1"/>
      <c r="I683" s="2" t="s">
        <v>13</v>
      </c>
      <c r="J683" s="1"/>
      <c r="K683" s="1"/>
      <c r="M683" s="11"/>
      <c r="N683" s="11"/>
      <c r="O683" s="38"/>
      <c r="P683" s="38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>
      <c r="A684" s="172" t="s">
        <v>254</v>
      </c>
      <c r="B684" s="1"/>
      <c r="C684" s="182">
        <v>161</v>
      </c>
      <c r="D684" s="182">
        <v>167</v>
      </c>
      <c r="E684" s="200">
        <f>$E$582</f>
        <v>0</v>
      </c>
      <c r="F684" s="187"/>
      <c r="G684" s="184">
        <f>ROUND(E684*$C684,0)</f>
        <v>0</v>
      </c>
      <c r="H684" s="184">
        <f>ROUND(E684*$D684,0)</f>
        <v>0</v>
      </c>
      <c r="I684" s="200">
        <f>$I$582</f>
        <v>0</v>
      </c>
      <c r="J684" s="187"/>
      <c r="K684" s="184">
        <f>ROUND(I684*$C684,0)</f>
        <v>0</v>
      </c>
      <c r="M684" s="11"/>
      <c r="N684" s="11"/>
      <c r="O684" s="38"/>
      <c r="P684" s="38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>
      <c r="A685" s="172" t="s">
        <v>255</v>
      </c>
      <c r="B685" s="1"/>
      <c r="C685" s="182"/>
      <c r="D685" s="182"/>
      <c r="E685" s="200"/>
      <c r="F685" s="187"/>
      <c r="G685" s="184"/>
      <c r="H685" s="184"/>
      <c r="I685" s="200"/>
      <c r="J685" s="187"/>
      <c r="K685" s="184"/>
      <c r="M685" s="11"/>
      <c r="N685" s="11"/>
      <c r="O685" s="38"/>
      <c r="P685" s="38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>
      <c r="A686" s="172" t="s">
        <v>256</v>
      </c>
      <c r="B686" s="1"/>
      <c r="C686" s="182">
        <v>387</v>
      </c>
      <c r="D686" s="182">
        <v>401</v>
      </c>
      <c r="E686" s="200">
        <f>$E$584</f>
        <v>0</v>
      </c>
      <c r="F686" s="187"/>
      <c r="G686" s="184">
        <f>ROUND(E686*$C686,0)</f>
        <v>0</v>
      </c>
      <c r="H686" s="184">
        <f>ROUND(E686*$D686,0)</f>
        <v>0</v>
      </c>
      <c r="I686" s="200">
        <f>$I$584</f>
        <v>0</v>
      </c>
      <c r="J686" s="187"/>
      <c r="K686" s="184">
        <f>ROUND(I686*$C686,0)</f>
        <v>0</v>
      </c>
      <c r="M686" s="11"/>
      <c r="N686" s="11"/>
      <c r="O686" s="38"/>
      <c r="P686" s="38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>
      <c r="A687" s="172" t="s">
        <v>257</v>
      </c>
      <c r="B687" s="1"/>
      <c r="C687" s="182">
        <v>37</v>
      </c>
      <c r="D687" s="182">
        <v>38</v>
      </c>
      <c r="E687" s="200">
        <f>$E$585</f>
        <v>301</v>
      </c>
      <c r="F687" s="187"/>
      <c r="G687" s="184">
        <f>ROUND(E687*$C687,0)</f>
        <v>11137</v>
      </c>
      <c r="H687" s="184">
        <f>ROUND(E687*$D687,0)</f>
        <v>11438</v>
      </c>
      <c r="I687" s="200">
        <f>$I$585</f>
        <v>333</v>
      </c>
      <c r="J687" s="187"/>
      <c r="K687" s="184">
        <f>ROUND(I687*$C687,0)</f>
        <v>12321</v>
      </c>
      <c r="M687" s="11"/>
      <c r="N687" s="11"/>
      <c r="O687" s="38"/>
      <c r="P687" s="38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>
      <c r="A688" s="172" t="s">
        <v>258</v>
      </c>
      <c r="B688" s="1"/>
      <c r="C688" s="182">
        <v>2</v>
      </c>
      <c r="D688" s="182">
        <v>2</v>
      </c>
      <c r="E688" s="200">
        <f>$E$586</f>
        <v>1215</v>
      </c>
      <c r="F688" s="187"/>
      <c r="G688" s="184">
        <f>ROUND(E688*$C688,0)</f>
        <v>2430</v>
      </c>
      <c r="H688" s="184">
        <f>ROUND(E688*$D688,0)</f>
        <v>2430</v>
      </c>
      <c r="I688" s="200">
        <f>$I$586</f>
        <v>1335</v>
      </c>
      <c r="J688" s="187"/>
      <c r="K688" s="184">
        <f>ROUND(I688*$C688,0)</f>
        <v>2670</v>
      </c>
      <c r="M688" s="11"/>
      <c r="N688" s="11"/>
      <c r="O688" s="38"/>
      <c r="P688" s="38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>
      <c r="A689" s="172" t="s">
        <v>166</v>
      </c>
      <c r="B689" s="1"/>
      <c r="C689" s="182">
        <f>SUM(C684:C688)</f>
        <v>587</v>
      </c>
      <c r="D689" s="182">
        <v>608.93144040394361</v>
      </c>
      <c r="E689" s="200"/>
      <c r="F689" s="187"/>
      <c r="G689" s="184"/>
      <c r="H689" s="184"/>
      <c r="I689" s="200"/>
      <c r="J689" s="187"/>
      <c r="K689" s="184"/>
      <c r="M689" s="11"/>
      <c r="N689" s="11"/>
      <c r="O689" s="38"/>
      <c r="P689" s="38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>
      <c r="A690" s="172" t="s">
        <v>259</v>
      </c>
      <c r="B690" s="1"/>
      <c r="C690" s="182">
        <f>4+8+1033+2769+281+16</f>
        <v>4111</v>
      </c>
      <c r="D690" s="182">
        <v>4265</v>
      </c>
      <c r="E690" s="200"/>
      <c r="F690" s="184"/>
      <c r="G690" s="184"/>
      <c r="H690" s="184"/>
      <c r="I690" s="200"/>
      <c r="J690" s="184"/>
      <c r="K690" s="184"/>
      <c r="M690" s="11"/>
      <c r="N690" s="11"/>
      <c r="O690" s="38"/>
      <c r="P690" s="38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>
      <c r="A691" s="172" t="s">
        <v>24</v>
      </c>
      <c r="B691" s="1"/>
      <c r="C691" s="182">
        <f>1+1+181+460+38+2</f>
        <v>683</v>
      </c>
      <c r="D691" s="182">
        <v>709</v>
      </c>
      <c r="E691" s="200"/>
      <c r="F691" s="184"/>
      <c r="G691" s="184"/>
      <c r="H691" s="184"/>
      <c r="I691" s="200"/>
      <c r="J691" s="184"/>
      <c r="K691" s="184"/>
      <c r="M691" s="11"/>
      <c r="N691" s="11"/>
      <c r="O691" s="38"/>
      <c r="P691" s="38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>
      <c r="A692" s="172" t="s">
        <v>260</v>
      </c>
      <c r="B692" s="1"/>
      <c r="C692" s="182"/>
      <c r="D692" s="182"/>
      <c r="E692" s="200"/>
      <c r="F692" s="187"/>
      <c r="G692" s="184"/>
      <c r="H692" s="184"/>
      <c r="I692" s="200"/>
      <c r="J692" s="187"/>
      <c r="K692" s="184"/>
      <c r="M692" s="11"/>
      <c r="N692" s="11"/>
      <c r="O692" s="38"/>
      <c r="P692" s="38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>
      <c r="A693" s="172" t="s">
        <v>261</v>
      </c>
      <c r="B693" s="1"/>
      <c r="C693" s="182">
        <v>959</v>
      </c>
      <c r="D693" s="182">
        <f>ROUND(($D$727/$C$727)*C693,0)</f>
        <v>874</v>
      </c>
      <c r="E693" s="200">
        <f>$E$591</f>
        <v>19.87</v>
      </c>
      <c r="F693" s="187"/>
      <c r="G693" s="184">
        <f>ROUND(E693*$C693,0)</f>
        <v>19055</v>
      </c>
      <c r="H693" s="184">
        <f>ROUND(E693*$D693,0)</f>
        <v>17366</v>
      </c>
      <c r="I693" s="200">
        <f>$I$591</f>
        <v>21.83</v>
      </c>
      <c r="J693" s="187"/>
      <c r="K693" s="184">
        <f>ROUND(I693*$C693,0)</f>
        <v>20935</v>
      </c>
      <c r="M693" s="11"/>
      <c r="N693" s="11"/>
      <c r="O693" s="38"/>
      <c r="P693" s="38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>
      <c r="A694" s="172" t="s">
        <v>262</v>
      </c>
      <c r="B694" s="1"/>
      <c r="C694" s="182"/>
      <c r="D694" s="182"/>
      <c r="E694" s="200"/>
      <c r="F694" s="187"/>
      <c r="G694" s="184"/>
      <c r="H694" s="184"/>
      <c r="I694" s="200"/>
      <c r="J694" s="187"/>
      <c r="K694" s="184"/>
      <c r="M694" s="11"/>
      <c r="N694" s="11"/>
      <c r="O694" s="38"/>
      <c r="P694" s="38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>
      <c r="A695" s="172" t="s">
        <v>256</v>
      </c>
      <c r="B695" s="1"/>
      <c r="C695" s="182">
        <f>6331+40</f>
        <v>6371</v>
      </c>
      <c r="D695" s="182">
        <f>ROUND(($D$727/$C$727)*C695,0)</f>
        <v>5809</v>
      </c>
      <c r="E695" s="200">
        <f>$E$593</f>
        <v>19.87</v>
      </c>
      <c r="F695" s="187"/>
      <c r="G695" s="184">
        <f>ROUND(E695*$C695,0)</f>
        <v>126592</v>
      </c>
      <c r="H695" s="184">
        <f>ROUND(E695*$D695,0)</f>
        <v>115425</v>
      </c>
      <c r="I695" s="200">
        <f>$I$593</f>
        <v>21.83</v>
      </c>
      <c r="J695" s="187"/>
      <c r="K695" s="184">
        <f>ROUND(I695*$C695,0)</f>
        <v>139079</v>
      </c>
      <c r="M695" s="11"/>
      <c r="N695" s="11"/>
      <c r="O695" s="38"/>
      <c r="P695" s="38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>
      <c r="A696" s="172" t="s">
        <v>257</v>
      </c>
      <c r="B696" s="1"/>
      <c r="C696" s="182">
        <f>3750</f>
        <v>3750</v>
      </c>
      <c r="D696" s="182">
        <f>ROUND(($D$727/$C$727)*C696,0)</f>
        <v>3419</v>
      </c>
      <c r="E696" s="200">
        <f>$E$594</f>
        <v>13.64</v>
      </c>
      <c r="F696" s="187"/>
      <c r="G696" s="184">
        <f>ROUND(E696*$C696,0)</f>
        <v>51150</v>
      </c>
      <c r="H696" s="184">
        <f>ROUND(E696*$D696,0)</f>
        <v>46635</v>
      </c>
      <c r="I696" s="200">
        <f>$I$594</f>
        <v>14.98</v>
      </c>
      <c r="J696" s="187"/>
      <c r="K696" s="184">
        <f>ROUND(I696*$C696,0)</f>
        <v>56175</v>
      </c>
      <c r="M696" s="11"/>
      <c r="N696" s="11"/>
      <c r="O696" s="38"/>
      <c r="P696" s="38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>
      <c r="A697" s="172" t="s">
        <v>258</v>
      </c>
      <c r="B697" s="1"/>
      <c r="C697" s="182">
        <f>969</f>
        <v>969</v>
      </c>
      <c r="D697" s="182">
        <f>ROUND(($D$727/$C$727)*C697,0)</f>
        <v>884</v>
      </c>
      <c r="E697" s="200">
        <f>$E$595</f>
        <v>10.62</v>
      </c>
      <c r="F697" s="187"/>
      <c r="G697" s="184">
        <f>ROUND(E697*$C697,0)</f>
        <v>10291</v>
      </c>
      <c r="H697" s="184">
        <f>ROUND(E697*$D697,0)</f>
        <v>9388</v>
      </c>
      <c r="I697" s="200">
        <f>$I$595</f>
        <v>11.67</v>
      </c>
      <c r="J697" s="187"/>
      <c r="K697" s="184">
        <f>ROUND(I697*$C697,0)</f>
        <v>11308</v>
      </c>
      <c r="M697" s="11"/>
      <c r="N697" s="11"/>
      <c r="O697" s="38"/>
      <c r="P697" s="38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>
      <c r="A698" s="172" t="s">
        <v>264</v>
      </c>
      <c r="B698" s="1"/>
      <c r="C698" s="182">
        <v>31</v>
      </c>
      <c r="D698" s="182">
        <v>28</v>
      </c>
      <c r="E698" s="200">
        <f>$E$596</f>
        <v>59.61</v>
      </c>
      <c r="F698" s="187"/>
      <c r="G698" s="184">
        <f>ROUND(E698*$C698,0)</f>
        <v>1848</v>
      </c>
      <c r="H698" s="184">
        <f>ROUND(E698*$D698,0)</f>
        <v>1669</v>
      </c>
      <c r="I698" s="200">
        <f>$I$596</f>
        <v>65.48</v>
      </c>
      <c r="J698" s="187"/>
      <c r="K698" s="184">
        <f>ROUND(I698*$C698,0)</f>
        <v>2030</v>
      </c>
      <c r="M698" s="11"/>
      <c r="N698" s="11"/>
      <c r="O698" s="38"/>
      <c r="P698" s="38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>
      <c r="A699" s="172" t="s">
        <v>265</v>
      </c>
      <c r="B699" s="1"/>
      <c r="C699" s="182">
        <v>148</v>
      </c>
      <c r="D699" s="182">
        <v>135</v>
      </c>
      <c r="E699" s="200">
        <f>$E$597</f>
        <v>119.22</v>
      </c>
      <c r="F699" s="187"/>
      <c r="G699" s="184">
        <f>ROUND(E699*$C699,0)</f>
        <v>17645</v>
      </c>
      <c r="H699" s="184">
        <f>ROUND(E699*$D699,0)</f>
        <v>16095</v>
      </c>
      <c r="I699" s="200">
        <f>$I$597</f>
        <v>130.96</v>
      </c>
      <c r="J699" s="187"/>
      <c r="K699" s="184">
        <f>ROUND(I699*$C699,0)</f>
        <v>19382</v>
      </c>
      <c r="M699" s="11"/>
      <c r="N699" s="11"/>
      <c r="O699" s="38"/>
      <c r="P699" s="38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>
      <c r="A700" s="172" t="s">
        <v>266</v>
      </c>
      <c r="B700" s="1"/>
      <c r="C700" s="182"/>
      <c r="D700" s="182"/>
      <c r="E700" s="200"/>
      <c r="F700" s="187"/>
      <c r="G700" s="184"/>
      <c r="H700" s="184"/>
      <c r="I700" s="200"/>
      <c r="J700" s="187"/>
      <c r="K700" s="184"/>
      <c r="M700" s="11"/>
      <c r="N700" s="11"/>
      <c r="O700" s="38"/>
      <c r="P700" s="38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>
      <c r="A701" s="172" t="s">
        <v>261</v>
      </c>
      <c r="B701" s="1"/>
      <c r="C701" s="182">
        <v>23</v>
      </c>
      <c r="D701" s="182">
        <f>ROUND(($D$727/$C$727)*C701,0)</f>
        <v>21</v>
      </c>
      <c r="E701" s="226">
        <f>-E693</f>
        <v>-19.87</v>
      </c>
      <c r="F701" s="187"/>
      <c r="G701" s="184">
        <f>ROUND(E701*$C701,0)</f>
        <v>-457</v>
      </c>
      <c r="H701" s="184">
        <f>ROUND(E701*$D701,0)</f>
        <v>-417</v>
      </c>
      <c r="I701" s="226">
        <f>-I693</f>
        <v>-21.83</v>
      </c>
      <c r="J701" s="187"/>
      <c r="K701" s="184">
        <f>ROUND(I701*$C701,0)</f>
        <v>-502</v>
      </c>
      <c r="M701" s="11"/>
      <c r="N701" s="11"/>
      <c r="O701" s="38"/>
      <c r="P701" s="38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>
      <c r="A702" s="172" t="s">
        <v>267</v>
      </c>
      <c r="B702" s="1"/>
      <c r="C702" s="182">
        <v>959</v>
      </c>
      <c r="D702" s="182">
        <f>ROUND(($D$727/$C$727)*C702,0)</f>
        <v>874</v>
      </c>
      <c r="E702" s="226">
        <f>-E695</f>
        <v>-19.87</v>
      </c>
      <c r="F702" s="187"/>
      <c r="G702" s="184">
        <f>ROUND(E702*$C702,0)</f>
        <v>-19055</v>
      </c>
      <c r="H702" s="184">
        <f>ROUND(E702*$D702,0)</f>
        <v>-17366</v>
      </c>
      <c r="I702" s="226">
        <f>-I695</f>
        <v>-21.83</v>
      </c>
      <c r="J702" s="187"/>
      <c r="K702" s="184">
        <f>ROUND(I702*$C702,0)</f>
        <v>-20935</v>
      </c>
      <c r="M702" s="11"/>
      <c r="N702" s="11"/>
      <c r="O702" s="38"/>
      <c r="P702" s="38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>
      <c r="A703" s="186" t="s">
        <v>230</v>
      </c>
      <c r="B703" s="1"/>
      <c r="C703" s="182"/>
      <c r="D703" s="182"/>
      <c r="E703" s="200"/>
      <c r="F703" s="184"/>
      <c r="G703" s="184"/>
      <c r="H703" s="184"/>
      <c r="I703" s="200"/>
      <c r="J703" s="184"/>
      <c r="K703" s="184"/>
      <c r="M703" s="11"/>
      <c r="N703" s="11"/>
      <c r="O703" s="38"/>
      <c r="P703" s="38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>
      <c r="A704" s="172" t="s">
        <v>268</v>
      </c>
      <c r="B704" s="1"/>
      <c r="C704" s="182">
        <f>25216+1069389+10368352+7152668+1908160</f>
        <v>20523785</v>
      </c>
      <c r="D704" s="182">
        <f>ROUND(($D$727/$C$727)*C704,0)</f>
        <v>18714383</v>
      </c>
      <c r="E704" s="245">
        <f>$E$602</f>
        <v>5.3710000000000004</v>
      </c>
      <c r="F704" s="184" t="s">
        <v>178</v>
      </c>
      <c r="G704" s="184">
        <f>ROUND(E704/100*$C704,0)</f>
        <v>1102332</v>
      </c>
      <c r="H704" s="184">
        <f>ROUND(E704/100*$D704,0)</f>
        <v>1005150</v>
      </c>
      <c r="I704" s="245">
        <f>$I$602</f>
        <v>5.9</v>
      </c>
      <c r="J704" s="184" t="s">
        <v>178</v>
      </c>
      <c r="K704" s="184">
        <f>ROUND(I704/100*$C704,0)</f>
        <v>1210903</v>
      </c>
      <c r="M704" s="11"/>
      <c r="N704" s="11"/>
      <c r="O704" s="38"/>
      <c r="P704" s="38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>
      <c r="A705" s="186" t="s">
        <v>204</v>
      </c>
      <c r="B705" s="1"/>
      <c r="C705" s="182">
        <f>362+2244+156</f>
        <v>2762</v>
      </c>
      <c r="D705" s="182">
        <f>ROUND(($D$727/$C$727)*C705,0)</f>
        <v>2518</v>
      </c>
      <c r="E705" s="202">
        <f>$E$603</f>
        <v>45</v>
      </c>
      <c r="F705" s="186" t="s">
        <v>178</v>
      </c>
      <c r="G705" s="184">
        <f>ROUND(E705*$C705/100,0)</f>
        <v>1243</v>
      </c>
      <c r="H705" s="184">
        <f>ROUND(E705*$D705/100,0)</f>
        <v>1133</v>
      </c>
      <c r="I705" s="202">
        <f>$I$603</f>
        <v>50</v>
      </c>
      <c r="J705" s="186" t="s">
        <v>178</v>
      </c>
      <c r="K705" s="184">
        <f>ROUND(I705*$C705/100,0)</f>
        <v>1381</v>
      </c>
      <c r="M705" s="11"/>
      <c r="N705" s="11"/>
      <c r="O705" s="38"/>
      <c r="P705" s="38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>
      <c r="A706" s="223" t="s">
        <v>205</v>
      </c>
      <c r="B706" s="1"/>
      <c r="C706" s="182"/>
      <c r="D706" s="182"/>
      <c r="E706" s="195">
        <v>-0.01</v>
      </c>
      <c r="F706" s="2"/>
      <c r="G706" s="184"/>
      <c r="H706" s="184"/>
      <c r="I706" s="195">
        <v>-0.01</v>
      </c>
      <c r="J706" s="1"/>
      <c r="K706" s="184"/>
      <c r="M706" s="11"/>
      <c r="N706" s="11"/>
      <c r="O706" s="38"/>
      <c r="P706" s="38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>
      <c r="A707" s="172" t="s">
        <v>194</v>
      </c>
      <c r="B707" s="1"/>
      <c r="C707" s="182">
        <v>0</v>
      </c>
      <c r="D707" s="182">
        <v>0</v>
      </c>
      <c r="E707" s="247">
        <f>E684</f>
        <v>0</v>
      </c>
      <c r="F707" s="187"/>
      <c r="G707" s="184">
        <f>ROUND(E707*$C707*$E$604,0)</f>
        <v>0</v>
      </c>
      <c r="H707" s="184">
        <f>ROUND(E707*$D707*$E$604,0)</f>
        <v>0</v>
      </c>
      <c r="I707" s="247">
        <f>I684</f>
        <v>0</v>
      </c>
      <c r="J707" s="187"/>
      <c r="K707" s="184">
        <f>ROUND(I707*$C707*$E$604,0)</f>
        <v>0</v>
      </c>
      <c r="M707" s="11"/>
      <c r="N707" s="11"/>
      <c r="O707" s="38"/>
      <c r="P707" s="38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>
      <c r="A708" s="172" t="s">
        <v>195</v>
      </c>
      <c r="B708" s="1"/>
      <c r="C708" s="182"/>
      <c r="D708" s="182"/>
      <c r="E708" s="247"/>
      <c r="F708" s="187"/>
      <c r="G708" s="184"/>
      <c r="H708" s="184"/>
      <c r="I708" s="247"/>
      <c r="J708" s="187"/>
      <c r="K708" s="184"/>
      <c r="M708" s="11"/>
      <c r="N708" s="11"/>
      <c r="O708" s="38"/>
      <c r="P708" s="38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>
      <c r="A709" s="172" t="s">
        <v>256</v>
      </c>
      <c r="B709" s="1"/>
      <c r="C709" s="182">
        <v>1</v>
      </c>
      <c r="D709" s="182">
        <v>1</v>
      </c>
      <c r="E709" s="247">
        <f>E686</f>
        <v>0</v>
      </c>
      <c r="F709" s="187"/>
      <c r="G709" s="184">
        <f>ROUND(E709*$C709*$E$604,0)</f>
        <v>0</v>
      </c>
      <c r="H709" s="184">
        <f>ROUND(E709*$D709*$E$604,0)</f>
        <v>0</v>
      </c>
      <c r="I709" s="247">
        <f>I686</f>
        <v>0</v>
      </c>
      <c r="J709" s="187"/>
      <c r="K709" s="184">
        <f>ROUND(I709*$C709*$E$604,0)</f>
        <v>0</v>
      </c>
      <c r="M709" s="11"/>
      <c r="N709" s="11"/>
      <c r="O709" s="38"/>
      <c r="P709" s="38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>
      <c r="A710" s="172" t="s">
        <v>257</v>
      </c>
      <c r="B710" s="1"/>
      <c r="C710" s="182">
        <v>0</v>
      </c>
      <c r="D710" s="182">
        <v>0</v>
      </c>
      <c r="E710" s="247">
        <f>E687</f>
        <v>301</v>
      </c>
      <c r="F710" s="187"/>
      <c r="G710" s="184">
        <f>ROUND(E710*$C710*$E$604,0)</f>
        <v>0</v>
      </c>
      <c r="H710" s="184">
        <f>ROUND(E710*$D710*$E$604,0)</f>
        <v>0</v>
      </c>
      <c r="I710" s="247">
        <f>I687</f>
        <v>333</v>
      </c>
      <c r="J710" s="187"/>
      <c r="K710" s="184">
        <f>ROUND(I710*$C710*$E$604,0)</f>
        <v>0</v>
      </c>
      <c r="M710" s="11"/>
      <c r="N710" s="11"/>
      <c r="O710" s="38"/>
      <c r="P710" s="38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>
      <c r="A711" s="172" t="s">
        <v>258</v>
      </c>
      <c r="B711" s="1"/>
      <c r="C711" s="182">
        <v>0</v>
      </c>
      <c r="D711" s="182">
        <v>0</v>
      </c>
      <c r="E711" s="247">
        <f>E688</f>
        <v>1215</v>
      </c>
      <c r="F711" s="187"/>
      <c r="G711" s="184">
        <f>ROUND(E711*$C711*$E$604,0)</f>
        <v>0</v>
      </c>
      <c r="H711" s="184">
        <f>ROUND(E711*$D711*$E$604,0)</f>
        <v>0</v>
      </c>
      <c r="I711" s="247">
        <f>I688</f>
        <v>1335</v>
      </c>
      <c r="J711" s="187"/>
      <c r="K711" s="184">
        <f>ROUND(I711*$C711*$E$604,0)</f>
        <v>0</v>
      </c>
      <c r="M711" s="11"/>
      <c r="N711" s="11"/>
      <c r="O711" s="38"/>
      <c r="P711" s="38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>
      <c r="A712" s="172" t="s">
        <v>194</v>
      </c>
      <c r="B712" s="1"/>
      <c r="C712" s="182">
        <v>0</v>
      </c>
      <c r="D712" s="182">
        <f>ROUND(($D$727/$C$727)*C712,0)</f>
        <v>0</v>
      </c>
      <c r="E712" s="247">
        <f>E693</f>
        <v>19.87</v>
      </c>
      <c r="F712" s="187"/>
      <c r="G712" s="184">
        <f>ROUND(E712*$C712*$E$604,0)</f>
        <v>0</v>
      </c>
      <c r="H712" s="184">
        <f>ROUND(E712*$D712*$E$604,0)</f>
        <v>0</v>
      </c>
      <c r="I712" s="247">
        <f>I693</f>
        <v>21.83</v>
      </c>
      <c r="J712" s="187"/>
      <c r="K712" s="184">
        <f>ROUND(I712*$C712*$E$604,0)</f>
        <v>0</v>
      </c>
      <c r="M712" s="11"/>
      <c r="N712" s="11"/>
      <c r="O712" s="38"/>
      <c r="P712" s="38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>
      <c r="A713" s="172" t="s">
        <v>195</v>
      </c>
      <c r="B713" s="1"/>
      <c r="C713" s="182"/>
      <c r="D713" s="182"/>
      <c r="E713" s="247"/>
      <c r="F713" s="187"/>
      <c r="G713" s="184"/>
      <c r="H713" s="184"/>
      <c r="I713" s="247"/>
      <c r="J713" s="187"/>
      <c r="K713" s="184"/>
      <c r="M713" s="11"/>
      <c r="N713" s="11"/>
      <c r="O713" s="38"/>
      <c r="P713" s="38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>
      <c r="A714" s="172" t="s">
        <v>256</v>
      </c>
      <c r="B714" s="1"/>
      <c r="C714" s="182">
        <v>40</v>
      </c>
      <c r="D714" s="182">
        <f>ROUND(($D$727/$C$727)*C714,0)</f>
        <v>36</v>
      </c>
      <c r="E714" s="247">
        <f>E695</f>
        <v>19.87</v>
      </c>
      <c r="F714" s="187"/>
      <c r="G714" s="184">
        <f>ROUND(E714*$C714*$E$604,0)</f>
        <v>-8</v>
      </c>
      <c r="H714" s="184">
        <f>ROUND(E714*$D714*$E$604,0)</f>
        <v>-7</v>
      </c>
      <c r="I714" s="247">
        <f>I695</f>
        <v>21.83</v>
      </c>
      <c r="J714" s="187"/>
      <c r="K714" s="184">
        <f>ROUND(I714*$C714*$E$604,0)</f>
        <v>-9</v>
      </c>
      <c r="M714" s="11"/>
      <c r="N714" s="11"/>
      <c r="O714" s="38"/>
      <c r="P714" s="38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>
      <c r="A715" s="172" t="s">
        <v>257</v>
      </c>
      <c r="B715" s="1"/>
      <c r="C715" s="182">
        <v>0</v>
      </c>
      <c r="D715" s="182">
        <f>ROUND(($D$727/$C$727)*C715,0)</f>
        <v>0</v>
      </c>
      <c r="E715" s="247">
        <f>E696</f>
        <v>13.64</v>
      </c>
      <c r="F715" s="187"/>
      <c r="G715" s="184">
        <f>ROUND(E715*$C715*$E$604,0)</f>
        <v>0</v>
      </c>
      <c r="H715" s="184">
        <f>ROUND(E715*$D715*$E$604,0)</f>
        <v>0</v>
      </c>
      <c r="I715" s="247">
        <f>I696</f>
        <v>14.98</v>
      </c>
      <c r="J715" s="187"/>
      <c r="K715" s="184">
        <f>ROUND(I715*$C715*$E$604,0)</f>
        <v>0</v>
      </c>
      <c r="M715" s="11"/>
      <c r="N715" s="11"/>
      <c r="O715" s="38"/>
      <c r="P715" s="38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>
      <c r="A716" s="172" t="s">
        <v>258</v>
      </c>
      <c r="B716" s="1"/>
      <c r="C716" s="182">
        <v>0</v>
      </c>
      <c r="D716" s="182">
        <f>ROUND(($D$727/$C$727)*C716,0)</f>
        <v>0</v>
      </c>
      <c r="E716" s="247">
        <f>E697</f>
        <v>10.62</v>
      </c>
      <c r="F716" s="187"/>
      <c r="G716" s="184">
        <f>ROUND(E716*$C716*$E$604,0)</f>
        <v>0</v>
      </c>
      <c r="H716" s="184">
        <f>ROUND(E716*$D716*$E$604,0)</f>
        <v>0</v>
      </c>
      <c r="I716" s="247">
        <f>I697</f>
        <v>11.67</v>
      </c>
      <c r="J716" s="187"/>
      <c r="K716" s="184">
        <f>ROUND(I716*$C716*$E$604,0)</f>
        <v>0</v>
      </c>
      <c r="M716" s="11"/>
      <c r="N716" s="11"/>
      <c r="O716" s="38"/>
      <c r="P716" s="38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>
      <c r="A717" s="172" t="s">
        <v>269</v>
      </c>
      <c r="B717" s="1"/>
      <c r="C717" s="182">
        <v>0</v>
      </c>
      <c r="D717" s="182">
        <v>0</v>
      </c>
      <c r="E717" s="216">
        <f>E698</f>
        <v>59.61</v>
      </c>
      <c r="F717" s="187"/>
      <c r="G717" s="184">
        <f>ROUND(E717*$C717*$E$604,0)</f>
        <v>0</v>
      </c>
      <c r="H717" s="184">
        <f>ROUND(E717*$D717*$E$604,0)</f>
        <v>0</v>
      </c>
      <c r="I717" s="216">
        <f>I698</f>
        <v>65.48</v>
      </c>
      <c r="J717" s="187"/>
      <c r="K717" s="184">
        <f>ROUND(I717*$C717*$E$604,0)</f>
        <v>0</v>
      </c>
      <c r="M717" s="11"/>
      <c r="N717" s="11"/>
      <c r="O717" s="38"/>
      <c r="P717" s="38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>
      <c r="A718" s="172" t="s">
        <v>270</v>
      </c>
      <c r="B718" s="1"/>
      <c r="C718" s="182">
        <v>0</v>
      </c>
      <c r="D718" s="182">
        <v>0</v>
      </c>
      <c r="E718" s="216">
        <f>E699</f>
        <v>119.22</v>
      </c>
      <c r="F718" s="187"/>
      <c r="G718" s="184">
        <f>ROUND(E718*$C718*$E$604,0)</f>
        <v>0</v>
      </c>
      <c r="H718" s="184">
        <f>ROUND(E718*$D718*$E$604,0)</f>
        <v>0</v>
      </c>
      <c r="I718" s="216">
        <f>I699</f>
        <v>130.96</v>
      </c>
      <c r="J718" s="187"/>
      <c r="K718" s="184">
        <f>ROUND(I718*$C718*$E$604,0)</f>
        <v>0</v>
      </c>
      <c r="M718" s="11"/>
      <c r="N718" s="11"/>
      <c r="O718" s="38"/>
      <c r="P718" s="38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>
      <c r="A719" s="172" t="s">
        <v>266</v>
      </c>
      <c r="B719" s="1"/>
      <c r="C719" s="182"/>
      <c r="D719" s="182"/>
      <c r="E719" s="200"/>
      <c r="F719" s="187"/>
      <c r="G719" s="184"/>
      <c r="H719" s="184"/>
      <c r="I719" s="200"/>
      <c r="J719" s="187"/>
      <c r="K719" s="184"/>
      <c r="M719" s="11"/>
      <c r="N719" s="11"/>
      <c r="O719" s="38"/>
      <c r="P719" s="38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>
      <c r="A720" s="172" t="s">
        <v>261</v>
      </c>
      <c r="B720" s="1"/>
      <c r="C720" s="182">
        <v>0</v>
      </c>
      <c r="D720" s="182">
        <f>ROUND(($D$727/$C$727)*C720,0)</f>
        <v>0</v>
      </c>
      <c r="E720" s="226">
        <f>E701</f>
        <v>-19.87</v>
      </c>
      <c r="F720" s="187"/>
      <c r="G720" s="184">
        <f>ROUND(E720*$C720*$E$604,0)</f>
        <v>0</v>
      </c>
      <c r="H720" s="184">
        <f>ROUND(E720*$D720*$E$604,0)</f>
        <v>0</v>
      </c>
      <c r="I720" s="226">
        <f>I701</f>
        <v>-21.83</v>
      </c>
      <c r="J720" s="187"/>
      <c r="K720" s="184">
        <f>ROUND(I720*$C720*$E$604,0)</f>
        <v>0</v>
      </c>
      <c r="M720" s="11"/>
      <c r="N720" s="11"/>
      <c r="O720" s="38"/>
      <c r="P720" s="38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>
      <c r="A721" s="172" t="s">
        <v>267</v>
      </c>
      <c r="B721" s="1"/>
      <c r="C721" s="182">
        <v>0</v>
      </c>
      <c r="D721" s="182">
        <f>ROUND(($D$727/$C$727)*C721,0)</f>
        <v>0</v>
      </c>
      <c r="E721" s="226">
        <f>E702</f>
        <v>-19.87</v>
      </c>
      <c r="F721" s="187"/>
      <c r="G721" s="184">
        <f>ROUND(E721*$C721*$E$604,0)</f>
        <v>0</v>
      </c>
      <c r="H721" s="184">
        <f>ROUND(E721*$D721*$E$604,0)</f>
        <v>0</v>
      </c>
      <c r="I721" s="226">
        <f>I702</f>
        <v>-21.83</v>
      </c>
      <c r="J721" s="187"/>
      <c r="K721" s="184">
        <f>ROUND(I721*$C721*$E$604,0)</f>
        <v>0</v>
      </c>
      <c r="M721" s="11"/>
      <c r="N721" s="11"/>
      <c r="O721" s="38"/>
      <c r="P721" s="38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>
      <c r="A722" s="186" t="s">
        <v>230</v>
      </c>
      <c r="B722" s="1"/>
      <c r="C722" s="182"/>
      <c r="D722" s="182"/>
      <c r="E722" s="247"/>
      <c r="F722" s="184"/>
      <c r="G722" s="184"/>
      <c r="H722" s="184"/>
      <c r="I722" s="247"/>
      <c r="J722" s="184"/>
      <c r="K722" s="184"/>
      <c r="M722" s="11"/>
      <c r="N722" s="11"/>
      <c r="O722" s="38"/>
      <c r="P722" s="38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>
      <c r="A723" s="172" t="s">
        <v>268</v>
      </c>
      <c r="B723" s="1"/>
      <c r="C723" s="182">
        <f>25216</f>
        <v>25216</v>
      </c>
      <c r="D723" s="182">
        <f>ROUND(($D$727/$C$727)*C723,0)</f>
        <v>22993</v>
      </c>
      <c r="E723" s="248">
        <f>E704</f>
        <v>5.3710000000000004</v>
      </c>
      <c r="F723" s="184" t="s">
        <v>178</v>
      </c>
      <c r="G723" s="184">
        <f>ROUND(E723/100*$C723*$E$604,0)</f>
        <v>-14</v>
      </c>
      <c r="H723" s="184">
        <f>ROUND(E723/100*$D723*$E$604,0)</f>
        <v>-12</v>
      </c>
      <c r="I723" s="248">
        <f>I704</f>
        <v>5.9</v>
      </c>
      <c r="J723" s="184" t="s">
        <v>178</v>
      </c>
      <c r="K723" s="184">
        <f>ROUND(I723/100*$C723*$E$604,0)</f>
        <v>-15</v>
      </c>
      <c r="M723" s="11"/>
      <c r="N723" s="11"/>
      <c r="O723" s="38"/>
      <c r="P723" s="38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>
      <c r="A724" s="186" t="s">
        <v>204</v>
      </c>
      <c r="B724" s="1"/>
      <c r="C724" s="182">
        <v>0</v>
      </c>
      <c r="D724" s="182">
        <f>ROUND(($D$727/$C$727)*C724,0)</f>
        <v>0</v>
      </c>
      <c r="E724" s="238">
        <f>E705</f>
        <v>45</v>
      </c>
      <c r="F724" s="184" t="s">
        <v>178</v>
      </c>
      <c r="G724" s="184">
        <f>ROUND(E724/100*$C724*$E$604,0)</f>
        <v>0</v>
      </c>
      <c r="H724" s="184">
        <f>ROUND(E724/100*$D724*$E$604,0)</f>
        <v>0</v>
      </c>
      <c r="I724" s="238">
        <f>I705</f>
        <v>50</v>
      </c>
      <c r="J724" s="186" t="s">
        <v>178</v>
      </c>
      <c r="K724" s="184">
        <f>ROUND(I724/100*$C724*$E$604,0)</f>
        <v>0</v>
      </c>
      <c r="M724" s="11"/>
      <c r="N724" s="11"/>
      <c r="O724" s="38"/>
      <c r="P724" s="38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>
      <c r="A725" s="186" t="s">
        <v>247</v>
      </c>
      <c r="B725" s="1"/>
      <c r="C725" s="182">
        <f>5+7</f>
        <v>12</v>
      </c>
      <c r="D725" s="182">
        <v>12</v>
      </c>
      <c r="E725" s="161">
        <f>$E$623</f>
        <v>60</v>
      </c>
      <c r="F725" s="227" t="s">
        <v>13</v>
      </c>
      <c r="G725" s="184">
        <f>ROUND(E725*$C725,0)</f>
        <v>720</v>
      </c>
      <c r="H725" s="184">
        <f>ROUND(E725*$D725,0)</f>
        <v>720</v>
      </c>
      <c r="I725" s="161">
        <f>$I$623</f>
        <v>60</v>
      </c>
      <c r="J725" s="1"/>
      <c r="K725" s="184">
        <f>ROUND(I725*$C725,0)</f>
        <v>720</v>
      </c>
      <c r="M725" s="11"/>
      <c r="N725" s="11"/>
      <c r="O725" s="38"/>
      <c r="P725" s="38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>
      <c r="A726" s="186" t="s">
        <v>248</v>
      </c>
      <c r="B726" s="1"/>
      <c r="C726" s="182">
        <f>8*C714</f>
        <v>320</v>
      </c>
      <c r="D726" s="182">
        <f>ROUND(($D$727/$C$727)*C726,0)</f>
        <v>292</v>
      </c>
      <c r="E726" s="202">
        <f>$E$624</f>
        <v>-30</v>
      </c>
      <c r="F726" s="184" t="s">
        <v>178</v>
      </c>
      <c r="G726" s="184">
        <f>ROUND(E726*$C726/100,0)</f>
        <v>-96</v>
      </c>
      <c r="H726" s="184">
        <f>ROUND(E726*$D726/100,0)</f>
        <v>-88</v>
      </c>
      <c r="I726" s="202">
        <f>$I$624</f>
        <v>-30</v>
      </c>
      <c r="J726" s="184" t="s">
        <v>178</v>
      </c>
      <c r="K726" s="184">
        <f>ROUND(I726*$C726/100,0)</f>
        <v>-96</v>
      </c>
      <c r="M726" s="11"/>
      <c r="N726" s="11"/>
      <c r="O726" s="38"/>
      <c r="P726" s="38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>
      <c r="A727" s="1" t="s">
        <v>185</v>
      </c>
      <c r="B727" s="1"/>
      <c r="C727" s="182">
        <f>SUM(C704:C704)</f>
        <v>20523785</v>
      </c>
      <c r="D727" s="182">
        <v>18714383.130874861</v>
      </c>
      <c r="E727" s="193"/>
      <c r="F727" s="2"/>
      <c r="G727" s="2">
        <f>SUM(G684:G726)</f>
        <v>1324813</v>
      </c>
      <c r="H727" s="2">
        <f>SUM(H684:H726)</f>
        <v>1209559</v>
      </c>
      <c r="I727" s="193"/>
      <c r="J727" s="186"/>
      <c r="K727" s="2">
        <f>SUM(K684:K726)</f>
        <v>1455347</v>
      </c>
      <c r="M727" s="11"/>
      <c r="N727" s="11"/>
      <c r="O727" s="38"/>
      <c r="P727" s="38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>
      <c r="A728" s="1" t="s">
        <v>167</v>
      </c>
      <c r="B728" s="1"/>
      <c r="C728" s="212" t="e">
        <f>#REF!</f>
        <v>#REF!</v>
      </c>
      <c r="D728" s="212">
        <v>0</v>
      </c>
      <c r="E728" s="172"/>
      <c r="F728" s="172"/>
      <c r="G728" s="173" t="e">
        <f>#REF!</f>
        <v>#REF!</v>
      </c>
      <c r="H728" s="173">
        <v>0</v>
      </c>
      <c r="I728" s="172"/>
      <c r="J728" s="172"/>
      <c r="K728" s="173" t="e">
        <f>G728</f>
        <v>#REF!</v>
      </c>
      <c r="M728" s="307"/>
      <c r="N728" s="307"/>
      <c r="O728" s="150"/>
      <c r="P728" s="38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6.5" thickBot="1">
      <c r="A729" s="1" t="s">
        <v>186</v>
      </c>
      <c r="B729" s="1"/>
      <c r="C729" s="229" t="e">
        <f>SUM(C727:C728)</f>
        <v>#REF!</v>
      </c>
      <c r="D729" s="229">
        <f>SUM(D727:D728)</f>
        <v>18714383.130874861</v>
      </c>
      <c r="E729" s="205"/>
      <c r="F729" s="206"/>
      <c r="G729" s="207" t="e">
        <f>G727+G728</f>
        <v>#REF!</v>
      </c>
      <c r="H729" s="207">
        <f>H727+H728</f>
        <v>1209559</v>
      </c>
      <c r="I729" s="205"/>
      <c r="J729" s="208"/>
      <c r="K729" s="207" t="e">
        <f>K727+K728</f>
        <v>#REF!</v>
      </c>
      <c r="M729" s="274"/>
      <c r="N729" s="274"/>
      <c r="O729" s="333"/>
      <c r="P729" s="38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6.5" thickTop="1">
      <c r="A730" s="166"/>
      <c r="B730" s="241"/>
      <c r="C730" s="166"/>
      <c r="D730" s="166"/>
      <c r="E730" s="12"/>
      <c r="F730" s="12"/>
      <c r="G730" s="242"/>
      <c r="H730" s="242"/>
      <c r="I730" s="166"/>
      <c r="J730" s="166"/>
      <c r="K730" s="166"/>
      <c r="M730" s="11"/>
      <c r="N730" s="11"/>
      <c r="O730" s="38"/>
      <c r="P730" s="38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>
      <c r="A731" s="156" t="s">
        <v>273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11"/>
      <c r="N731" s="11"/>
      <c r="O731" s="38"/>
      <c r="P731" s="38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>
      <c r="A732" s="172" t="s">
        <v>274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11"/>
      <c r="N732" s="11"/>
      <c r="O732" s="38"/>
      <c r="P732" s="38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>
      <c r="A733" s="186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11"/>
      <c r="N733" s="11"/>
      <c r="O733" s="38"/>
      <c r="P733" s="38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>
      <c r="A734" s="186" t="s">
        <v>197</v>
      </c>
      <c r="B734" s="1"/>
      <c r="C734" s="182"/>
      <c r="D734" s="182"/>
      <c r="E734" s="2"/>
      <c r="F734" s="2"/>
      <c r="G734" s="1"/>
      <c r="H734" s="1"/>
      <c r="I734" s="2"/>
      <c r="J734" s="1"/>
      <c r="K734" s="1"/>
      <c r="M734" s="11"/>
      <c r="N734" s="11"/>
      <c r="O734" s="38"/>
      <c r="P734" s="38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>
      <c r="A735" s="186" t="s">
        <v>275</v>
      </c>
      <c r="B735" s="1"/>
      <c r="C735" s="182">
        <v>12</v>
      </c>
      <c r="D735" s="182">
        <v>12</v>
      </c>
      <c r="E735" s="247">
        <f t="shared" ref="E735:E740" si="61">E794</f>
        <v>1205</v>
      </c>
      <c r="F735" s="200"/>
      <c r="G735" s="2">
        <f>ROUND(E735*$C735,0)</f>
        <v>14460</v>
      </c>
      <c r="H735" s="2">
        <f>ROUND(E735*$D735,0)</f>
        <v>14460</v>
      </c>
      <c r="I735" s="247">
        <f t="shared" ref="I735:I740" si="62">I794</f>
        <v>1330</v>
      </c>
      <c r="J735" s="184"/>
      <c r="K735" s="2">
        <f>ROUND(I735*$C735,0)</f>
        <v>15960</v>
      </c>
      <c r="M735" s="42">
        <f>I735*D735</f>
        <v>15960</v>
      </c>
      <c r="O735" s="8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>
      <c r="A736" s="186" t="s">
        <v>276</v>
      </c>
      <c r="B736" s="1"/>
      <c r="C736" s="182">
        <v>0</v>
      </c>
      <c r="D736" s="182">
        <v>0</v>
      </c>
      <c r="E736" s="247">
        <f t="shared" si="61"/>
        <v>1450</v>
      </c>
      <c r="F736" s="200"/>
      <c r="G736" s="2">
        <f>ROUND(E736*$C736,0)</f>
        <v>0</v>
      </c>
      <c r="H736" s="2">
        <f>ROUND(E736*$D736,0)</f>
        <v>0</v>
      </c>
      <c r="I736" s="247">
        <f t="shared" si="62"/>
        <v>1600</v>
      </c>
      <c r="J736" s="187"/>
      <c r="K736" s="2">
        <f>ROUND(I736*$C736,0)</f>
        <v>0</v>
      </c>
      <c r="M736" s="42">
        <f>I736*D736</f>
        <v>0</v>
      </c>
      <c r="O736" s="8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>
      <c r="A737" s="186" t="s">
        <v>198</v>
      </c>
      <c r="B737" s="1"/>
      <c r="C737" s="182">
        <f>SUM(C735:C736)</f>
        <v>12</v>
      </c>
      <c r="D737" s="182">
        <f>SUM(D735:D736)</f>
        <v>12</v>
      </c>
      <c r="E737" s="247" t="str">
        <f t="shared" si="61"/>
        <v xml:space="preserve"> </v>
      </c>
      <c r="F737" s="200"/>
      <c r="G737" s="2" t="s">
        <v>13</v>
      </c>
      <c r="H737" s="2" t="s">
        <v>13</v>
      </c>
      <c r="I737" s="247" t="str">
        <f t="shared" si="62"/>
        <v xml:space="preserve"> </v>
      </c>
      <c r="J737" s="184"/>
      <c r="K737" s="2" t="s">
        <v>13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>
      <c r="A738" s="186" t="s">
        <v>277</v>
      </c>
      <c r="B738" s="1"/>
      <c r="C738" s="182">
        <f>14980</f>
        <v>14980</v>
      </c>
      <c r="D738" s="182">
        <f>ROUND(($D$758/$C$758)*C738,0)</f>
        <v>28971</v>
      </c>
      <c r="E738" s="247">
        <f t="shared" si="61"/>
        <v>0.91</v>
      </c>
      <c r="F738" s="200"/>
      <c r="G738" s="2">
        <f>ROUND(E738*$C738,0)</f>
        <v>13632</v>
      </c>
      <c r="H738" s="2">
        <f>ROUND(E738*$D738,0)</f>
        <v>26364</v>
      </c>
      <c r="I738" s="247">
        <f t="shared" si="62"/>
        <v>1.01</v>
      </c>
      <c r="J738" s="184"/>
      <c r="K738" s="2">
        <f>ROUND(I738*$C738,0)</f>
        <v>15130</v>
      </c>
      <c r="M738" s="42">
        <f>I738*D738</f>
        <v>29260.71</v>
      </c>
      <c r="O738" s="8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>
      <c r="A739" s="186" t="s">
        <v>278</v>
      </c>
      <c r="B739" s="1"/>
      <c r="C739" s="182">
        <v>0</v>
      </c>
      <c r="D739" s="182">
        <v>0</v>
      </c>
      <c r="E739" s="247">
        <f t="shared" si="61"/>
        <v>0.83</v>
      </c>
      <c r="F739" s="200"/>
      <c r="G739" s="2">
        <f>ROUND(E739*$C739,0)</f>
        <v>0</v>
      </c>
      <c r="H739" s="2">
        <f>ROUND(E739*$D739,0)</f>
        <v>0</v>
      </c>
      <c r="I739" s="247">
        <f t="shared" si="62"/>
        <v>0.92</v>
      </c>
      <c r="J739" s="184"/>
      <c r="K739" s="2">
        <f>ROUND(I739*$C739,0)</f>
        <v>0</v>
      </c>
      <c r="M739" s="42">
        <f>I739*D739</f>
        <v>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>
      <c r="A740" s="172" t="s">
        <v>207</v>
      </c>
      <c r="B740" s="1"/>
      <c r="C740" s="182">
        <f>10820</f>
        <v>10820</v>
      </c>
      <c r="D740" s="182">
        <f>ROUND(($D$758/$C$758)*C740,0)</f>
        <v>20926</v>
      </c>
      <c r="E740" s="247">
        <f t="shared" si="61"/>
        <v>6.03</v>
      </c>
      <c r="F740" s="200"/>
      <c r="G740" s="2">
        <f>ROUND(E740*$C740,0)</f>
        <v>65245</v>
      </c>
      <c r="H740" s="2">
        <f>ROUND(E740*$D740,0)</f>
        <v>126184</v>
      </c>
      <c r="I740" s="247">
        <f t="shared" si="62"/>
        <v>6.53</v>
      </c>
      <c r="J740" s="184"/>
      <c r="K740" s="2">
        <f>ROUND(I740*$C740,0)</f>
        <v>70655</v>
      </c>
      <c r="M740" s="42">
        <f>I740*D740</f>
        <v>136646.78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>
      <c r="A741" s="186" t="s">
        <v>230</v>
      </c>
      <c r="B741" s="1"/>
      <c r="C741" s="182"/>
      <c r="D741" s="182"/>
      <c r="E741" s="247"/>
      <c r="F741" s="200"/>
      <c r="G741" s="2"/>
      <c r="H741" s="2"/>
      <c r="I741" s="247"/>
      <c r="J741" s="184"/>
      <c r="K741" s="2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>
      <c r="A742" s="186" t="s">
        <v>268</v>
      </c>
      <c r="B742" s="1"/>
      <c r="C742" s="182">
        <v>1248100</v>
      </c>
      <c r="D742" s="182">
        <f>ROUND(($D$758/$C$758)*C742,0)</f>
        <v>2413782</v>
      </c>
      <c r="E742" s="250">
        <f>E801</f>
        <v>3.4990000000000001</v>
      </c>
      <c r="F742" s="184" t="s">
        <v>178</v>
      </c>
      <c r="G742" s="2">
        <f>ROUND(E742/100*$C742,0)</f>
        <v>43671</v>
      </c>
      <c r="H742" s="2">
        <f>ROUND(E742/100*$D742,0)</f>
        <v>84458</v>
      </c>
      <c r="I742" s="250">
        <f>I801</f>
        <v>3.8719999999999999</v>
      </c>
      <c r="J742" s="184" t="s">
        <v>178</v>
      </c>
      <c r="K742" s="2">
        <f>ROUND(I742/100*$C742,0)</f>
        <v>48326</v>
      </c>
      <c r="M742" s="42">
        <f>(I742/100)*D742</f>
        <v>93461.639039999995</v>
      </c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>
      <c r="A743" s="186" t="s">
        <v>204</v>
      </c>
      <c r="B743" s="1"/>
      <c r="C743" s="182">
        <v>6132</v>
      </c>
      <c r="D743" s="182">
        <f>ROUND(($D$758/$C$758)*C743,0)</f>
        <v>11859</v>
      </c>
      <c r="E743" s="247">
        <f>E802</f>
        <v>0.45</v>
      </c>
      <c r="F743" s="184"/>
      <c r="G743" s="2">
        <f>ROUND(E743*$C743,0)</f>
        <v>2759</v>
      </c>
      <c r="H743" s="2">
        <f>ROUND(E743*$D743,0)</f>
        <v>5337</v>
      </c>
      <c r="I743" s="247">
        <f>I802</f>
        <v>0.5</v>
      </c>
      <c r="J743" s="184"/>
      <c r="K743" s="2">
        <f>ROUND(I743*$C743,0)</f>
        <v>3066</v>
      </c>
      <c r="M743" s="42">
        <f>I743*D743</f>
        <v>5929.5</v>
      </c>
      <c r="N743" s="182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>
      <c r="A744" s="172" t="s">
        <v>232</v>
      </c>
      <c r="B744" s="1"/>
      <c r="C744" s="182">
        <v>0</v>
      </c>
      <c r="D744" s="182">
        <v>0</v>
      </c>
      <c r="E744" s="251">
        <v>5.9999999999999995E-4</v>
      </c>
      <c r="F744" s="184"/>
      <c r="G744" s="2">
        <f>ROUND(E744*$C744,0)</f>
        <v>0</v>
      </c>
      <c r="H744" s="2">
        <f>ROUND(E744*$D744,0)</f>
        <v>0</v>
      </c>
      <c r="I744" s="251">
        <v>5.9999999999999995E-4</v>
      </c>
      <c r="J744" s="184"/>
      <c r="K744" s="2">
        <f>ROUND(I744*$C744,0)</f>
        <v>0</v>
      </c>
      <c r="M744" s="42">
        <f>I744*D744</f>
        <v>0</v>
      </c>
      <c r="N744" s="182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>
      <c r="A745" s="223" t="s">
        <v>205</v>
      </c>
      <c r="B745" s="1"/>
      <c r="C745" s="182"/>
      <c r="D745" s="182"/>
      <c r="E745" s="252">
        <f>E803</f>
        <v>-0.01</v>
      </c>
      <c r="F745" s="195"/>
      <c r="G745" s="2"/>
      <c r="H745" s="2"/>
      <c r="I745" s="252">
        <f>I803</f>
        <v>-0.01</v>
      </c>
      <c r="J745" s="224"/>
      <c r="K745" s="2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>
      <c r="A746" s="186" t="s">
        <v>275</v>
      </c>
      <c r="B746" s="1"/>
      <c r="C746" s="182">
        <v>0</v>
      </c>
      <c r="D746" s="182">
        <v>0</v>
      </c>
      <c r="E746" s="247">
        <f>E735</f>
        <v>1205</v>
      </c>
      <c r="F746" s="197"/>
      <c r="G746" s="184">
        <f>ROUND(E746*$C746*$E$803,0)</f>
        <v>0</v>
      </c>
      <c r="H746" s="184">
        <f>ROUND(E746*$D746*$E$803,0)</f>
        <v>0</v>
      </c>
      <c r="I746" s="247">
        <f>I735</f>
        <v>1330</v>
      </c>
      <c r="J746" s="184"/>
      <c r="K746" s="184">
        <f>ROUND(I746*$C746*$E$803,0)</f>
        <v>0</v>
      </c>
      <c r="M746" s="42">
        <f>-(I746*D746)/100</f>
        <v>0</v>
      </c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>
      <c r="A747" s="186" t="s">
        <v>276</v>
      </c>
      <c r="B747" s="1"/>
      <c r="C747" s="182">
        <f>C736</f>
        <v>0</v>
      </c>
      <c r="D747" s="182">
        <v>0</v>
      </c>
      <c r="E747" s="247">
        <f>E736</f>
        <v>1450</v>
      </c>
      <c r="F747" s="197"/>
      <c r="G747" s="184">
        <f>ROUND(E747*$C747*$E$803,0)</f>
        <v>0</v>
      </c>
      <c r="H747" s="184">
        <f>ROUND(E747*$D747*$E$803,0)</f>
        <v>0</v>
      </c>
      <c r="I747" s="247">
        <f>I736</f>
        <v>1600</v>
      </c>
      <c r="J747" s="184"/>
      <c r="K747" s="184">
        <f>ROUND(I747*$C747*$E$803,0)</f>
        <v>0</v>
      </c>
      <c r="M747" s="42">
        <f>-(I747*D747)/100</f>
        <v>0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>
      <c r="A748" s="186" t="s">
        <v>277</v>
      </c>
      <c r="B748" s="1"/>
      <c r="C748" s="182">
        <v>0</v>
      </c>
      <c r="D748" s="182">
        <v>0</v>
      </c>
      <c r="E748" s="247">
        <f>E738</f>
        <v>0.91</v>
      </c>
      <c r="F748" s="197"/>
      <c r="G748" s="184">
        <f>ROUND(E748*$C748*$E$803,0)</f>
        <v>0</v>
      </c>
      <c r="H748" s="184">
        <f>ROUND(E748*$D748*$E$803,0)</f>
        <v>0</v>
      </c>
      <c r="I748" s="247">
        <f>I738</f>
        <v>1.01</v>
      </c>
      <c r="J748" s="184"/>
      <c r="K748" s="184">
        <f>ROUND(I748*$C748*$E$803,0)</f>
        <v>0</v>
      </c>
      <c r="M748" s="42">
        <f>-(I748*D748)/100</f>
        <v>0</v>
      </c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>
      <c r="A749" s="186" t="s">
        <v>278</v>
      </c>
      <c r="B749" s="1"/>
      <c r="C749" s="182">
        <f>C739</f>
        <v>0</v>
      </c>
      <c r="D749" s="182">
        <v>0</v>
      </c>
      <c r="E749" s="247">
        <f>E739</f>
        <v>0.83</v>
      </c>
      <c r="F749" s="197"/>
      <c r="G749" s="184">
        <f>ROUND(E749*$C749*$E$803,0)</f>
        <v>0</v>
      </c>
      <c r="H749" s="184">
        <f>ROUND(E749*$D749*$E$803,0)</f>
        <v>0</v>
      </c>
      <c r="I749" s="247">
        <f>I739</f>
        <v>0.92</v>
      </c>
      <c r="J749" s="184"/>
      <c r="K749" s="184">
        <f>ROUND(I749*$C749*$E$803,0)</f>
        <v>0</v>
      </c>
      <c r="M749" s="42">
        <f>-(I749*D749)/100</f>
        <v>0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>
      <c r="A750" s="172" t="s">
        <v>207</v>
      </c>
      <c r="B750" s="243"/>
      <c r="C750" s="182">
        <v>0</v>
      </c>
      <c r="D750" s="182">
        <v>0</v>
      </c>
      <c r="E750" s="247">
        <f>E740</f>
        <v>6.03</v>
      </c>
      <c r="F750" s="200"/>
      <c r="G750" s="184">
        <f>ROUND(E750*$C750*$E$803,0)</f>
        <v>0</v>
      </c>
      <c r="H750" s="184">
        <f>ROUND(E750*$D750*$E$803,0)</f>
        <v>0</v>
      </c>
      <c r="I750" s="247">
        <f>I740</f>
        <v>6.53</v>
      </c>
      <c r="J750" s="184"/>
      <c r="K750" s="184">
        <f>ROUND(I750*$C750*$E$803,0)</f>
        <v>0</v>
      </c>
      <c r="M750" s="42">
        <f>-(I750*D750)/100</f>
        <v>0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>
      <c r="A751" s="186" t="s">
        <v>268</v>
      </c>
      <c r="B751" s="1"/>
      <c r="C751" s="182">
        <v>0</v>
      </c>
      <c r="D751" s="182">
        <v>0</v>
      </c>
      <c r="E751" s="253">
        <f>E742</f>
        <v>3.4990000000000001</v>
      </c>
      <c r="F751" s="184" t="s">
        <v>178</v>
      </c>
      <c r="G751" s="184">
        <f>ROUND(E751/100*$C751*$E$803,0)</f>
        <v>0</v>
      </c>
      <c r="H751" s="184">
        <f>ROUND(E751/100*$D751*$E$803,0)</f>
        <v>0</v>
      </c>
      <c r="I751" s="253">
        <f>I742</f>
        <v>3.8719999999999999</v>
      </c>
      <c r="J751" s="184" t="s">
        <v>178</v>
      </c>
      <c r="K751" s="184">
        <f>ROUND(I751/100*$C751*$E$803,0)</f>
        <v>0</v>
      </c>
      <c r="M751" s="42">
        <f>-((I751*D751)/100)/100</f>
        <v>0</v>
      </c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>
      <c r="A752" s="186" t="s">
        <v>204</v>
      </c>
      <c r="B752" s="1"/>
      <c r="C752" s="182">
        <v>0</v>
      </c>
      <c r="D752" s="182">
        <v>0</v>
      </c>
      <c r="E752" s="247">
        <f>E743</f>
        <v>0.45</v>
      </c>
      <c r="F752" s="184"/>
      <c r="G752" s="184">
        <f>ROUND(E752*$C752*$E$803,0)</f>
        <v>0</v>
      </c>
      <c r="H752" s="184">
        <f>ROUND(E752*$D752*$E$803,0)</f>
        <v>0</v>
      </c>
      <c r="I752" s="247">
        <f>I743</f>
        <v>0.5</v>
      </c>
      <c r="J752" s="184"/>
      <c r="K752" s="184">
        <f>ROUND(I752*$C752*$E$803,0)</f>
        <v>0</v>
      </c>
      <c r="M752" s="42">
        <f>-(I752*D752)/100</f>
        <v>0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>
      <c r="A753" s="172" t="s">
        <v>279</v>
      </c>
      <c r="B753" s="1"/>
      <c r="C753" s="182">
        <v>0</v>
      </c>
      <c r="D753" s="182">
        <v>0</v>
      </c>
      <c r="E753" s="247">
        <f>E811</f>
        <v>60</v>
      </c>
      <c r="F753" s="200"/>
      <c r="G753" s="184">
        <f>ROUND(E753*$C753,0)</f>
        <v>0</v>
      </c>
      <c r="H753" s="184">
        <f>ROUND(E753*$D753,0)</f>
        <v>0</v>
      </c>
      <c r="I753" s="247">
        <f>I811</f>
        <v>60</v>
      </c>
      <c r="J753" s="184"/>
      <c r="K753" s="184">
        <f>ROUND(I753*$C753,0)</f>
        <v>0</v>
      </c>
      <c r="M753" s="42">
        <f>-(I753*D753)/100</f>
        <v>0</v>
      </c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>
      <c r="A754" s="172" t="s">
        <v>248</v>
      </c>
      <c r="B754" s="1"/>
      <c r="C754" s="182">
        <v>0</v>
      </c>
      <c r="D754" s="182">
        <v>0</v>
      </c>
      <c r="E754" s="247">
        <f>E812</f>
        <v>-0.75</v>
      </c>
      <c r="F754" s="184"/>
      <c r="G754" s="184">
        <f>ROUND(E754*$C754,0)</f>
        <v>0</v>
      </c>
      <c r="H754" s="184">
        <f>ROUND(E754*$D754,0)</f>
        <v>0</v>
      </c>
      <c r="I754" s="247">
        <f>I812</f>
        <v>-0.75</v>
      </c>
      <c r="J754" s="184"/>
      <c r="K754" s="184">
        <f>ROUND(I754*$C754,0)</f>
        <v>0</v>
      </c>
      <c r="M754" s="42">
        <f>-(I754*D754)/100</f>
        <v>0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>
      <c r="A755" s="172" t="s">
        <v>237</v>
      </c>
      <c r="B755" s="1"/>
      <c r="C755" s="182">
        <v>1180</v>
      </c>
      <c r="D755" s="182">
        <f>ROUND(($D$758/$C$758)*C755,0)</f>
        <v>2282</v>
      </c>
      <c r="E755" s="254">
        <f>ROUND(E740/2,3)</f>
        <v>3.0150000000000001</v>
      </c>
      <c r="F755" s="184"/>
      <c r="G755" s="184">
        <f>ROUND(E755*$C755,0)</f>
        <v>3558</v>
      </c>
      <c r="H755" s="184">
        <f>ROUND(E755*$D755,0)</f>
        <v>6880</v>
      </c>
      <c r="I755" s="254">
        <f>ROUND(I740/2,3)</f>
        <v>3.2650000000000001</v>
      </c>
      <c r="J755" s="184"/>
      <c r="K755" s="184">
        <f>ROUND($C755*I755,0)</f>
        <v>3853</v>
      </c>
      <c r="M755" s="42">
        <f>I755*D755</f>
        <v>7450.7300000000005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>
      <c r="A756" s="172" t="s">
        <v>238</v>
      </c>
      <c r="B756" s="1"/>
      <c r="C756" s="182">
        <v>520</v>
      </c>
      <c r="D756" s="182">
        <f>ROUND(($D$758/$C$758)*C756,0)</f>
        <v>1006</v>
      </c>
      <c r="E756" s="197">
        <f>E740*4</f>
        <v>24.12</v>
      </c>
      <c r="F756" s="184"/>
      <c r="G756" s="184">
        <f>ROUND(E756*$C756,0)</f>
        <v>12542</v>
      </c>
      <c r="H756" s="184">
        <f>ROUND(E756*$D756,0)</f>
        <v>24265</v>
      </c>
      <c r="I756" s="197">
        <f>I740*4</f>
        <v>26.12</v>
      </c>
      <c r="J756" s="184"/>
      <c r="K756" s="184">
        <f>ROUND($C756*I756,0)</f>
        <v>13582</v>
      </c>
      <c r="M756" s="42">
        <f>I756*D756</f>
        <v>26276.720000000001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>
      <c r="A757" s="3" t="s">
        <v>239</v>
      </c>
      <c r="B757" s="166"/>
      <c r="C757" s="182">
        <v>11900</v>
      </c>
      <c r="D757" s="182">
        <f>ROUND(($D$758/$C$758)*C757,0)</f>
        <v>23014</v>
      </c>
      <c r="E757" s="255">
        <f>E742*4</f>
        <v>13.996</v>
      </c>
      <c r="F757" s="184" t="s">
        <v>178</v>
      </c>
      <c r="G757" s="184">
        <f>ROUND($C757*E757/100,0)</f>
        <v>1666</v>
      </c>
      <c r="H757" s="184">
        <f>ROUND($D757*E757/100,0)</f>
        <v>3221</v>
      </c>
      <c r="I757" s="255">
        <f>I742*4</f>
        <v>15.488</v>
      </c>
      <c r="J757" s="184" t="s">
        <v>178</v>
      </c>
      <c r="K757" s="184">
        <f>ROUND($C757*I757/100,0)</f>
        <v>1843</v>
      </c>
      <c r="M757" s="42">
        <f>(I757/100)*D757</f>
        <v>3564.4083199999995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>
      <c r="A758" s="1" t="s">
        <v>185</v>
      </c>
      <c r="B758" s="1"/>
      <c r="C758" s="182">
        <f>C742+C757</f>
        <v>1260000</v>
      </c>
      <c r="D758" s="182">
        <v>2436796.4482688801</v>
      </c>
      <c r="E758" s="193"/>
      <c r="F758" s="2"/>
      <c r="G758" s="2">
        <f>SUM(G735:G757)</f>
        <v>157533</v>
      </c>
      <c r="H758" s="2">
        <f>SUM(H735:H757)</f>
        <v>291169</v>
      </c>
      <c r="I758" s="193"/>
      <c r="J758" s="1"/>
      <c r="K758" s="2">
        <f>SUM(K735:K757)</f>
        <v>172415</v>
      </c>
      <c r="M758" s="42">
        <f>SUM(M735:M757)</f>
        <v>318550.48735999997</v>
      </c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>
      <c r="A759" s="1" t="s">
        <v>167</v>
      </c>
      <c r="B759" s="1"/>
      <c r="C759" s="182" t="e">
        <f>#REF!</f>
        <v>#REF!</v>
      </c>
      <c r="D759" s="182">
        <v>0</v>
      </c>
      <c r="E759" s="172"/>
      <c r="F759" s="172"/>
      <c r="G759" s="204" t="e">
        <f>#REF!</f>
        <v>#REF!</v>
      </c>
      <c r="H759" s="204">
        <v>0</v>
      </c>
      <c r="I759" s="172"/>
      <c r="J759" s="172"/>
      <c r="K759" s="204" t="e">
        <f>G759</f>
        <v>#REF!</v>
      </c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6.5" thickBot="1">
      <c r="A760" s="1" t="s">
        <v>186</v>
      </c>
      <c r="B760" s="1"/>
      <c r="C760" s="256" t="e">
        <f>SUM(C758)+C759</f>
        <v>#REF!</v>
      </c>
      <c r="D760" s="256">
        <f>SUM(D742)+D759</f>
        <v>2413782</v>
      </c>
      <c r="E760" s="205"/>
      <c r="F760" s="206"/>
      <c r="G760" s="207" t="e">
        <f>G758+G759</f>
        <v>#REF!</v>
      </c>
      <c r="H760" s="207">
        <f>H758+H759</f>
        <v>291169</v>
      </c>
      <c r="I760" s="205"/>
      <c r="J760" s="208"/>
      <c r="K760" s="207" t="e">
        <f>K758+K759</f>
        <v>#REF!</v>
      </c>
      <c r="N760" s="3" t="s">
        <v>168</v>
      </c>
      <c r="O760" s="33" t="e">
        <f>#REF!*1000</f>
        <v>#REF!</v>
      </c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6.5" thickTop="1">
      <c r="A761" s="1"/>
      <c r="B761" s="1"/>
      <c r="C761" s="12"/>
      <c r="D761" s="12"/>
      <c r="E761" s="200"/>
      <c r="F761" s="2"/>
      <c r="G761" s="2"/>
      <c r="H761" s="2"/>
      <c r="I761" s="200"/>
      <c r="J761" s="1"/>
      <c r="K761" s="243"/>
      <c r="N761" s="3" t="s">
        <v>114</v>
      </c>
      <c r="O761" s="33" t="e">
        <f>O760-K760</f>
        <v>#REF!</v>
      </c>
      <c r="P761" s="8" t="e">
        <f>(O760-K760)/K760</f>
        <v>#REF!</v>
      </c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>
      <c r="A762" s="156" t="s">
        <v>280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11"/>
      <c r="N762" s="11"/>
      <c r="O762" s="38"/>
      <c r="P762" s="38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>
      <c r="A763" s="172" t="s">
        <v>281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11"/>
      <c r="N763" s="11"/>
      <c r="O763" s="38"/>
      <c r="P763" s="38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>
      <c r="A764" s="186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11"/>
      <c r="N764" s="11"/>
      <c r="O764" s="38"/>
      <c r="P764" s="38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>
      <c r="A765" s="186" t="s">
        <v>197</v>
      </c>
      <c r="B765" s="1"/>
      <c r="C765" s="182"/>
      <c r="D765" s="182"/>
      <c r="E765" s="2"/>
      <c r="F765" s="2"/>
      <c r="G765" s="1"/>
      <c r="H765" s="1"/>
      <c r="I765" s="2"/>
      <c r="J765" s="1"/>
      <c r="K765" s="1"/>
      <c r="M765" s="11"/>
      <c r="N765" s="11"/>
      <c r="O765" s="38"/>
      <c r="P765" s="38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>
      <c r="A766" s="186" t="s">
        <v>275</v>
      </c>
      <c r="B766" s="1"/>
      <c r="C766" s="182">
        <f>C794+C877</f>
        <v>658</v>
      </c>
      <c r="D766" s="182">
        <f>D794+D877</f>
        <v>692</v>
      </c>
      <c r="E766" s="200">
        <v>1205</v>
      </c>
      <c r="F766" s="200"/>
      <c r="G766" s="2">
        <f>G794+G877</f>
        <v>792890</v>
      </c>
      <c r="H766" s="2">
        <f>H794+H877</f>
        <v>833860</v>
      </c>
      <c r="I766" s="200">
        <v>1330</v>
      </c>
      <c r="J766" s="184"/>
      <c r="K766" s="2">
        <f>K794+K877</f>
        <v>875140</v>
      </c>
      <c r="M766" s="42">
        <f>I766*D766</f>
        <v>920360</v>
      </c>
      <c r="O766" s="8">
        <f>(I766-E766)/E766</f>
        <v>0.1037344398340249</v>
      </c>
      <c r="P766" s="8"/>
      <c r="R766" s="192"/>
      <c r="T766" s="3" t="s">
        <v>175</v>
      </c>
      <c r="U766" s="3" t="s">
        <v>120</v>
      </c>
      <c r="V766" s="3" t="s">
        <v>176</v>
      </c>
      <c r="W766" s="3" t="s">
        <v>126</v>
      </c>
      <c r="X766" s="11"/>
      <c r="Y766" s="11"/>
      <c r="Z766" s="11"/>
      <c r="AA766" s="11"/>
      <c r="AB766" s="11"/>
      <c r="AC766" s="11"/>
    </row>
    <row r="767" spans="1:29">
      <c r="A767" s="186" t="s">
        <v>276</v>
      </c>
      <c r="B767" s="1"/>
      <c r="C767" s="182">
        <f>C795+C878</f>
        <v>60</v>
      </c>
      <c r="D767" s="182">
        <f>D795+D878</f>
        <v>62</v>
      </c>
      <c r="E767" s="200">
        <v>1450</v>
      </c>
      <c r="F767" s="200"/>
      <c r="G767" s="2">
        <f>G795+G878</f>
        <v>87000</v>
      </c>
      <c r="H767" s="2">
        <f>H795+H878</f>
        <v>89900</v>
      </c>
      <c r="I767" s="200">
        <v>1600</v>
      </c>
      <c r="J767" s="187"/>
      <c r="K767" s="2">
        <f>K795+K878</f>
        <v>95400</v>
      </c>
      <c r="M767" s="42">
        <f>I767*D767</f>
        <v>99200</v>
      </c>
      <c r="O767" s="8">
        <f>(I767-E767)/E767</f>
        <v>0.10344827586206896</v>
      </c>
      <c r="R767" s="192"/>
      <c r="S767" s="3" t="s">
        <v>7</v>
      </c>
      <c r="T767" s="49">
        <f>E766*(D766+D767+D735)</f>
        <v>923030</v>
      </c>
      <c r="U767" s="49">
        <f>I766*(D766+D767+D735)</f>
        <v>1018780</v>
      </c>
      <c r="V767" s="49">
        <v>20746.582883790943</v>
      </c>
      <c r="W767" s="101">
        <f>U767/V767</f>
        <v>49.105918102588383</v>
      </c>
      <c r="X767" s="11"/>
      <c r="Y767" s="11"/>
      <c r="Z767" s="11"/>
      <c r="AA767" s="11"/>
      <c r="AB767" s="11"/>
      <c r="AC767" s="11"/>
    </row>
    <row r="768" spans="1:29">
      <c r="A768" s="186" t="s">
        <v>198</v>
      </c>
      <c r="B768" s="1"/>
      <c r="C768" s="182">
        <f>SUM(C766:C767)</f>
        <v>718</v>
      </c>
      <c r="D768" s="182">
        <f>SUM(D766:D767)</f>
        <v>754</v>
      </c>
      <c r="E768" s="200" t="s">
        <v>13</v>
      </c>
      <c r="F768" s="200"/>
      <c r="G768" s="2"/>
      <c r="H768" s="2"/>
      <c r="I768" s="200" t="s">
        <v>13</v>
      </c>
      <c r="J768" s="184"/>
      <c r="K768" s="2"/>
      <c r="O768" s="183"/>
      <c r="S768" s="3" t="s">
        <v>208</v>
      </c>
      <c r="T768" s="49">
        <f>SUM(H766:H770)+SUM(H735:H739)-T767</f>
        <v>2074380</v>
      </c>
      <c r="U768" s="49">
        <f>SUM(K766:K770)+SUM(K735:K739)-U767</f>
        <v>1669410</v>
      </c>
      <c r="V768" s="49">
        <v>3811025.9901367896</v>
      </c>
      <c r="W768" s="101">
        <f>U768/V768</f>
        <v>0.43804739309586277</v>
      </c>
      <c r="X768" s="11"/>
      <c r="Y768" s="11"/>
      <c r="Z768" s="11"/>
      <c r="AA768" s="11"/>
      <c r="AB768" s="11"/>
      <c r="AC768" s="11"/>
    </row>
    <row r="769" spans="1:29">
      <c r="A769" s="186" t="s">
        <v>277</v>
      </c>
      <c r="B769" s="1"/>
      <c r="C769" s="182">
        <f t="shared" ref="C769:D771" si="63">C797+C880</f>
        <v>898711</v>
      </c>
      <c r="D769" s="182">
        <f t="shared" si="63"/>
        <v>1752134</v>
      </c>
      <c r="E769" s="200">
        <v>0.91</v>
      </c>
      <c r="F769" s="200"/>
      <c r="G769" s="2">
        <f t="shared" ref="G769:H771" si="64">G797+G880</f>
        <v>817827</v>
      </c>
      <c r="H769" s="2">
        <f t="shared" si="64"/>
        <v>1594442</v>
      </c>
      <c r="I769" s="200">
        <v>1.01</v>
      </c>
      <c r="J769" s="184"/>
      <c r="K769" s="2">
        <f>K797+K880</f>
        <v>907698</v>
      </c>
      <c r="M769" s="42">
        <f>I769*D769</f>
        <v>1769655.34</v>
      </c>
      <c r="O769" s="8">
        <f>(I769-E769)/E769</f>
        <v>0.10989010989010986</v>
      </c>
      <c r="S769" s="3" t="s">
        <v>246</v>
      </c>
      <c r="T769" s="49">
        <f>SUM(T767:T768)</f>
        <v>2997410</v>
      </c>
      <c r="U769" s="49">
        <f>SUM(U767:U768)</f>
        <v>2688190</v>
      </c>
      <c r="V769" s="49">
        <f>SUM(V767:V768)</f>
        <v>3831772.5730205807</v>
      </c>
      <c r="W769" s="101">
        <f>U769/V769</f>
        <v>0.70155259707412743</v>
      </c>
      <c r="X769" s="11"/>
      <c r="Y769" s="11"/>
      <c r="Z769" s="11"/>
      <c r="AA769" s="11"/>
      <c r="AB769" s="11"/>
      <c r="AC769" s="11"/>
    </row>
    <row r="770" spans="1:29">
      <c r="A770" s="186" t="s">
        <v>278</v>
      </c>
      <c r="B770" s="1"/>
      <c r="C770" s="182">
        <f t="shared" si="63"/>
        <v>875536</v>
      </c>
      <c r="D770" s="182">
        <f t="shared" si="63"/>
        <v>528174</v>
      </c>
      <c r="E770" s="200">
        <v>0.83</v>
      </c>
      <c r="F770" s="200"/>
      <c r="G770" s="2">
        <f t="shared" si="64"/>
        <v>726694</v>
      </c>
      <c r="H770" s="2">
        <f t="shared" si="64"/>
        <v>438384</v>
      </c>
      <c r="I770" s="200">
        <v>0.92</v>
      </c>
      <c r="J770" s="184"/>
      <c r="K770" s="2">
        <f>K798+K881</f>
        <v>778862</v>
      </c>
      <c r="M770" s="42">
        <f>I770*D770</f>
        <v>485920.08</v>
      </c>
      <c r="O770" s="8">
        <f>(I770-E770)/E770</f>
        <v>0.10843373493975914</v>
      </c>
      <c r="S770" s="3" t="s">
        <v>210</v>
      </c>
      <c r="T770" s="49">
        <f>H771</f>
        <v>11639274</v>
      </c>
      <c r="U770" s="49">
        <f>K771</f>
        <v>10175585</v>
      </c>
      <c r="V770" s="49">
        <v>5205301.8106998745</v>
      </c>
      <c r="W770" s="101">
        <f>U770/V770</f>
        <v>1.9548501451123061</v>
      </c>
      <c r="X770" s="11"/>
      <c r="Y770" s="11"/>
      <c r="Z770" s="11"/>
      <c r="AA770" s="11"/>
      <c r="AB770" s="11"/>
      <c r="AC770" s="11"/>
    </row>
    <row r="771" spans="1:29">
      <c r="A771" s="172" t="s">
        <v>207</v>
      </c>
      <c r="B771" s="1"/>
      <c r="C771" s="182">
        <f t="shared" si="63"/>
        <v>1557283</v>
      </c>
      <c r="D771" s="182">
        <f t="shared" si="63"/>
        <v>1930228</v>
      </c>
      <c r="E771" s="200">
        <v>6.03</v>
      </c>
      <c r="F771" s="200"/>
      <c r="G771" s="2">
        <f t="shared" si="64"/>
        <v>9390417</v>
      </c>
      <c r="H771" s="2">
        <f t="shared" si="64"/>
        <v>11639274</v>
      </c>
      <c r="I771" s="200">
        <v>6.53</v>
      </c>
      <c r="J771" s="184"/>
      <c r="K771" s="2">
        <f>K799+K882</f>
        <v>10175585</v>
      </c>
      <c r="M771" s="42">
        <f>I771*D771</f>
        <v>12604388.84</v>
      </c>
      <c r="O771" s="8">
        <f>(I771-E771)/E771</f>
        <v>8.2918739635157543E-2</v>
      </c>
      <c r="S771" s="3" t="s">
        <v>180</v>
      </c>
      <c r="T771" s="49">
        <f>H773</f>
        <v>31238595</v>
      </c>
      <c r="U771" s="49">
        <f>K773</f>
        <v>32828416</v>
      </c>
      <c r="V771" s="49">
        <v>38185452.241358206</v>
      </c>
      <c r="W771" s="101">
        <f>U771/V771</f>
        <v>0.85971002235358984</v>
      </c>
      <c r="X771" s="11"/>
      <c r="Y771" s="11"/>
      <c r="Z771" s="11"/>
      <c r="AA771" s="11"/>
      <c r="AB771" s="11"/>
      <c r="AC771" s="11"/>
    </row>
    <row r="772" spans="1:29">
      <c r="A772" s="186" t="s">
        <v>230</v>
      </c>
      <c r="B772" s="1"/>
      <c r="C772" s="182"/>
      <c r="D772" s="182"/>
      <c r="E772" s="200" t="s">
        <v>13</v>
      </c>
      <c r="F772" s="200"/>
      <c r="G772" s="2"/>
      <c r="H772" s="2"/>
      <c r="I772" s="200" t="s">
        <v>13</v>
      </c>
      <c r="J772" s="184"/>
      <c r="K772" s="2"/>
      <c r="O772" s="183"/>
      <c r="V772" s="11"/>
      <c r="W772" s="11"/>
      <c r="X772" s="11"/>
      <c r="Y772" s="11"/>
      <c r="Z772" s="11"/>
      <c r="AA772" s="11"/>
      <c r="AB772" s="11"/>
      <c r="AC772" s="11"/>
    </row>
    <row r="773" spans="1:29">
      <c r="A773" s="186" t="s">
        <v>268</v>
      </c>
      <c r="B773" s="1"/>
      <c r="C773" s="182">
        <f>C801+C884</f>
        <v>848518988</v>
      </c>
      <c r="D773" s="182">
        <f>D801+D884</f>
        <v>892786384</v>
      </c>
      <c r="E773" s="246">
        <v>3.4990000000000001</v>
      </c>
      <c r="F773" s="184" t="s">
        <v>178</v>
      </c>
      <c r="G773" s="2">
        <f>G801+G884</f>
        <v>29689679</v>
      </c>
      <c r="H773" s="2">
        <f>H801+H884</f>
        <v>31238595</v>
      </c>
      <c r="I773" s="258">
        <v>3.875</v>
      </c>
      <c r="J773" s="184" t="s">
        <v>178</v>
      </c>
      <c r="K773" s="2">
        <f>K801+K884</f>
        <v>32828416</v>
      </c>
      <c r="M773" s="42">
        <f>(I773/100)*D773</f>
        <v>34595472.380000003</v>
      </c>
      <c r="O773" s="8">
        <f>(I773-E773)/E773</f>
        <v>0.10745927407830805</v>
      </c>
      <c r="V773" s="11"/>
      <c r="W773" s="11"/>
      <c r="X773" s="11"/>
      <c r="Y773" s="11"/>
      <c r="Z773" s="11"/>
      <c r="AA773" s="11"/>
      <c r="AB773" s="11"/>
      <c r="AC773" s="11"/>
    </row>
    <row r="774" spans="1:29">
      <c r="A774" s="186" t="s">
        <v>204</v>
      </c>
      <c r="B774" s="1"/>
      <c r="C774" s="182">
        <f>C802+C885</f>
        <v>395613</v>
      </c>
      <c r="D774" s="182">
        <f>D802+D885</f>
        <v>541286</v>
      </c>
      <c r="E774" s="200">
        <v>0.45</v>
      </c>
      <c r="F774" s="184"/>
      <c r="G774" s="2">
        <f>G802+G885</f>
        <v>178026</v>
      </c>
      <c r="H774" s="2">
        <f>H802+H885</f>
        <v>243579</v>
      </c>
      <c r="I774" s="200">
        <v>0.5</v>
      </c>
      <c r="J774" s="184"/>
      <c r="K774" s="2">
        <f>K802+K885</f>
        <v>197807</v>
      </c>
      <c r="M774" s="42">
        <f>I774*D774</f>
        <v>270643</v>
      </c>
      <c r="N774" s="183"/>
      <c r="O774" s="8">
        <f>(I774-E774)/E774</f>
        <v>0.11111111111111108</v>
      </c>
      <c r="V774" s="11"/>
      <c r="W774" s="11"/>
      <c r="X774" s="11"/>
      <c r="Y774" s="11"/>
      <c r="Z774" s="11"/>
      <c r="AA774" s="11"/>
      <c r="AB774" s="11"/>
      <c r="AC774" s="11"/>
    </row>
    <row r="775" spans="1:29">
      <c r="A775" s="223" t="s">
        <v>205</v>
      </c>
      <c r="B775" s="1"/>
      <c r="C775" s="182"/>
      <c r="D775" s="182"/>
      <c r="E775" s="195">
        <v>-0.01</v>
      </c>
      <c r="F775" s="195"/>
      <c r="G775" s="2"/>
      <c r="H775" s="2"/>
      <c r="I775" s="195">
        <v>-0.01</v>
      </c>
      <c r="J775" s="224"/>
      <c r="K775" s="2"/>
      <c r="V775" s="11"/>
      <c r="W775" s="11"/>
      <c r="X775" s="11"/>
      <c r="Y775" s="11"/>
      <c r="Z775" s="11"/>
      <c r="AA775" s="11"/>
      <c r="AB775" s="11"/>
      <c r="AC775" s="11"/>
    </row>
    <row r="776" spans="1:29">
      <c r="A776" s="186" t="s">
        <v>275</v>
      </c>
      <c r="B776" s="1"/>
      <c r="C776" s="182">
        <f t="shared" ref="C776:D786" si="65">C804+C887</f>
        <v>135</v>
      </c>
      <c r="D776" s="182">
        <f t="shared" si="65"/>
        <v>143</v>
      </c>
      <c r="E776" s="197">
        <f>E766</f>
        <v>1205</v>
      </c>
      <c r="F776" s="197"/>
      <c r="G776" s="184">
        <f t="shared" ref="G776:H786" si="66">G804+G887</f>
        <v>-1627</v>
      </c>
      <c r="H776" s="184">
        <f t="shared" si="66"/>
        <v>-1723</v>
      </c>
      <c r="I776" s="197">
        <f>I766</f>
        <v>1330</v>
      </c>
      <c r="J776" s="184"/>
      <c r="K776" s="184">
        <f t="shared" ref="K776:K785" si="67">K804+K887</f>
        <v>-1795</v>
      </c>
      <c r="M776" s="42">
        <f>-(I776/100)*D776</f>
        <v>-1901.9</v>
      </c>
      <c r="V776" s="11"/>
      <c r="W776" s="11"/>
      <c r="X776" s="11"/>
      <c r="Y776" s="11"/>
      <c r="Z776" s="11"/>
      <c r="AA776" s="11"/>
      <c r="AB776" s="11"/>
      <c r="AC776" s="11"/>
    </row>
    <row r="777" spans="1:29">
      <c r="A777" s="186" t="s">
        <v>276</v>
      </c>
      <c r="B777" s="1"/>
      <c r="C777" s="182">
        <f t="shared" si="65"/>
        <v>35</v>
      </c>
      <c r="D777" s="182">
        <f t="shared" si="65"/>
        <v>36</v>
      </c>
      <c r="E777" s="197">
        <f>E767</f>
        <v>1450</v>
      </c>
      <c r="F777" s="197"/>
      <c r="G777" s="184">
        <f t="shared" si="66"/>
        <v>-508</v>
      </c>
      <c r="H777" s="184">
        <f t="shared" si="66"/>
        <v>-522</v>
      </c>
      <c r="I777" s="197">
        <f>I767</f>
        <v>1600</v>
      </c>
      <c r="J777" s="184"/>
      <c r="K777" s="184">
        <f t="shared" si="67"/>
        <v>-554</v>
      </c>
      <c r="M777" s="42">
        <f>-(I777/100)*D777</f>
        <v>-576</v>
      </c>
      <c r="V777" s="11"/>
      <c r="W777" s="11"/>
      <c r="X777" s="11"/>
      <c r="Y777" s="11"/>
      <c r="Z777" s="11"/>
      <c r="AA777" s="11"/>
      <c r="AB777" s="11"/>
      <c r="AC777" s="11"/>
    </row>
    <row r="778" spans="1:29">
      <c r="A778" s="186" t="s">
        <v>277</v>
      </c>
      <c r="B778" s="1"/>
      <c r="C778" s="182">
        <f t="shared" si="65"/>
        <v>189773</v>
      </c>
      <c r="D778" s="182">
        <f t="shared" si="65"/>
        <v>250152</v>
      </c>
      <c r="E778" s="197">
        <f>E769</f>
        <v>0.91</v>
      </c>
      <c r="F778" s="197"/>
      <c r="G778" s="184">
        <f t="shared" si="66"/>
        <v>-1727</v>
      </c>
      <c r="H778" s="184">
        <f t="shared" si="66"/>
        <v>-2276</v>
      </c>
      <c r="I778" s="197">
        <f>I769</f>
        <v>1.01</v>
      </c>
      <c r="J778" s="184"/>
      <c r="K778" s="184">
        <f t="shared" si="67"/>
        <v>-1917</v>
      </c>
      <c r="M778" s="42">
        <f>-(I778/100)*D778</f>
        <v>-2526.5351999999998</v>
      </c>
      <c r="V778" s="11"/>
      <c r="W778" s="11"/>
      <c r="X778" s="11"/>
      <c r="Y778" s="11"/>
      <c r="Z778" s="11"/>
      <c r="AA778" s="11"/>
      <c r="AB778" s="11"/>
      <c r="AC778" s="11"/>
    </row>
    <row r="779" spans="1:29">
      <c r="A779" s="186" t="s">
        <v>278</v>
      </c>
      <c r="B779" s="1"/>
      <c r="C779" s="182">
        <f t="shared" si="65"/>
        <v>767389</v>
      </c>
      <c r="D779" s="182">
        <f t="shared" si="65"/>
        <v>242431</v>
      </c>
      <c r="E779" s="197">
        <f>E770</f>
        <v>0.83</v>
      </c>
      <c r="F779" s="197"/>
      <c r="G779" s="184">
        <f t="shared" si="66"/>
        <v>-6369</v>
      </c>
      <c r="H779" s="184">
        <f t="shared" si="66"/>
        <v>-2012</v>
      </c>
      <c r="I779" s="197">
        <f>I770</f>
        <v>0.92</v>
      </c>
      <c r="J779" s="184"/>
      <c r="K779" s="184">
        <f t="shared" si="67"/>
        <v>-6793</v>
      </c>
      <c r="M779" s="42">
        <f>-(I779/100)*D779</f>
        <v>-2230.3652000000002</v>
      </c>
      <c r="V779" s="11"/>
      <c r="W779" s="11"/>
      <c r="X779" s="11"/>
      <c r="Y779" s="11"/>
      <c r="Z779" s="11"/>
      <c r="AA779" s="11"/>
      <c r="AB779" s="11"/>
      <c r="AC779" s="11"/>
    </row>
    <row r="780" spans="1:29">
      <c r="A780" s="172" t="s">
        <v>207</v>
      </c>
      <c r="B780" s="243"/>
      <c r="C780" s="182">
        <f t="shared" si="65"/>
        <v>887827</v>
      </c>
      <c r="D780" s="182">
        <f t="shared" si="65"/>
        <v>417760</v>
      </c>
      <c r="E780" s="197">
        <f>E771</f>
        <v>6.03</v>
      </c>
      <c r="F780" s="200"/>
      <c r="G780" s="184">
        <f t="shared" si="66"/>
        <v>-53535</v>
      </c>
      <c r="H780" s="184">
        <f t="shared" si="66"/>
        <v>-25191</v>
      </c>
      <c r="I780" s="197">
        <f>I771</f>
        <v>6.53</v>
      </c>
      <c r="J780" s="184"/>
      <c r="K780" s="184">
        <f t="shared" si="67"/>
        <v>-58041</v>
      </c>
      <c r="M780" s="42">
        <f>-(I780/100)*D780</f>
        <v>-27279.727999999999</v>
      </c>
      <c r="V780" s="11"/>
      <c r="W780" s="11"/>
      <c r="X780" s="11"/>
      <c r="Y780" s="11"/>
      <c r="Z780" s="11"/>
      <c r="AA780" s="11"/>
      <c r="AB780" s="11"/>
      <c r="AC780" s="11"/>
    </row>
    <row r="781" spans="1:29">
      <c r="A781" s="186" t="s">
        <v>268</v>
      </c>
      <c r="B781" s="1"/>
      <c r="C781" s="182">
        <f t="shared" si="65"/>
        <v>541097802</v>
      </c>
      <c r="D781" s="182">
        <f t="shared" si="65"/>
        <v>196350613</v>
      </c>
      <c r="E781" s="198">
        <f>E773</f>
        <v>3.4990000000000001</v>
      </c>
      <c r="F781" s="184" t="s">
        <v>178</v>
      </c>
      <c r="G781" s="184">
        <f t="shared" si="66"/>
        <v>-189330</v>
      </c>
      <c r="H781" s="184">
        <f t="shared" si="66"/>
        <v>-68703</v>
      </c>
      <c r="I781" s="198">
        <f>I773</f>
        <v>3.875</v>
      </c>
      <c r="J781" s="184" t="s">
        <v>178</v>
      </c>
      <c r="K781" s="184">
        <f t="shared" si="67"/>
        <v>-209251</v>
      </c>
      <c r="M781" s="42">
        <f>-((I781/100)*D781)/100</f>
        <v>-76085.862537499997</v>
      </c>
      <c r="V781" s="11"/>
      <c r="W781" s="11"/>
      <c r="X781" s="11"/>
      <c r="Y781" s="11"/>
      <c r="Z781" s="11"/>
      <c r="AA781" s="11"/>
      <c r="AB781" s="11"/>
      <c r="AC781" s="11"/>
    </row>
    <row r="782" spans="1:29">
      <c r="A782" s="186" t="s">
        <v>204</v>
      </c>
      <c r="B782" s="1"/>
      <c r="C782" s="182">
        <f t="shared" si="65"/>
        <v>208290</v>
      </c>
      <c r="D782" s="182">
        <f t="shared" si="65"/>
        <v>87611</v>
      </c>
      <c r="E782" s="247">
        <f>E774</f>
        <v>0.45</v>
      </c>
      <c r="F782" s="184"/>
      <c r="G782" s="184">
        <f t="shared" si="66"/>
        <v>-937</v>
      </c>
      <c r="H782" s="184">
        <f t="shared" si="66"/>
        <v>-394</v>
      </c>
      <c r="I782" s="247">
        <f>I774</f>
        <v>0.5</v>
      </c>
      <c r="J782" s="184"/>
      <c r="K782" s="184">
        <f t="shared" si="67"/>
        <v>-1041</v>
      </c>
      <c r="M782" s="42">
        <f>-(I782/100)*D782</f>
        <v>-438.05500000000001</v>
      </c>
      <c r="V782" s="11"/>
      <c r="W782" s="11"/>
      <c r="X782" s="11"/>
      <c r="Y782" s="11"/>
      <c r="Z782" s="11"/>
      <c r="AA782" s="11"/>
      <c r="AB782" s="11"/>
      <c r="AC782" s="11"/>
    </row>
    <row r="783" spans="1:29">
      <c r="A783" s="172" t="s">
        <v>279</v>
      </c>
      <c r="B783" s="1"/>
      <c r="C783" s="182">
        <f t="shared" si="65"/>
        <v>170</v>
      </c>
      <c r="D783" s="182">
        <f t="shared" si="65"/>
        <v>179</v>
      </c>
      <c r="E783" s="200">
        <v>60</v>
      </c>
      <c r="F783" s="200"/>
      <c r="G783" s="184">
        <f t="shared" si="66"/>
        <v>10200</v>
      </c>
      <c r="H783" s="184">
        <f t="shared" si="66"/>
        <v>10740</v>
      </c>
      <c r="I783" s="200">
        <f>'Blocking - detail'!I783</f>
        <v>60</v>
      </c>
      <c r="J783" s="184"/>
      <c r="K783" s="184">
        <f t="shared" si="67"/>
        <v>10200</v>
      </c>
      <c r="M783" s="42">
        <f>I783*D783</f>
        <v>10740</v>
      </c>
      <c r="V783" s="11"/>
      <c r="W783" s="11"/>
      <c r="X783" s="11"/>
      <c r="Y783" s="11"/>
      <c r="Z783" s="11"/>
      <c r="AA783" s="11"/>
      <c r="AB783" s="11"/>
      <c r="AC783" s="11"/>
    </row>
    <row r="784" spans="1:29">
      <c r="A784" s="172" t="s">
        <v>248</v>
      </c>
      <c r="B784" s="1"/>
      <c r="C784" s="182">
        <f t="shared" si="65"/>
        <v>957162</v>
      </c>
      <c r="D784" s="182">
        <f t="shared" si="65"/>
        <v>492583</v>
      </c>
      <c r="E784" s="200">
        <v>-0.75</v>
      </c>
      <c r="F784" s="184"/>
      <c r="G784" s="184">
        <f t="shared" si="66"/>
        <v>-717872</v>
      </c>
      <c r="H784" s="184">
        <f t="shared" si="66"/>
        <v>-369437</v>
      </c>
      <c r="I784" s="200">
        <f>'Blocking - detail'!I784</f>
        <v>-0.75</v>
      </c>
      <c r="J784" s="184"/>
      <c r="K784" s="184">
        <f t="shared" si="67"/>
        <v>-717872</v>
      </c>
      <c r="M784" s="42">
        <f>I784*D784</f>
        <v>-369437.25</v>
      </c>
      <c r="V784" s="11"/>
      <c r="W784" s="11"/>
      <c r="X784" s="11"/>
      <c r="Y784" s="11"/>
      <c r="Z784" s="11"/>
      <c r="AA784" s="11"/>
      <c r="AB784" s="11"/>
      <c r="AC784" s="11"/>
    </row>
    <row r="785" spans="1:29">
      <c r="A785" s="1" t="s">
        <v>185</v>
      </c>
      <c r="B785" s="1"/>
      <c r="C785" s="182">
        <f t="shared" si="65"/>
        <v>848518988</v>
      </c>
      <c r="D785" s="182">
        <f t="shared" si="65"/>
        <v>892786385.17848599</v>
      </c>
      <c r="E785" s="193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42">
        <f>SUM(M766:M784)</f>
        <v>50275903.944062501</v>
      </c>
      <c r="V785" s="11"/>
      <c r="W785" s="11"/>
      <c r="X785" s="11"/>
      <c r="Y785" s="11"/>
      <c r="Z785" s="11"/>
      <c r="AA785" s="11"/>
      <c r="AB785" s="11"/>
      <c r="AC785" s="11"/>
    </row>
    <row r="786" spans="1:29">
      <c r="A786" s="1" t="s">
        <v>167</v>
      </c>
      <c r="B786" s="1"/>
      <c r="C786" s="182" t="e">
        <f t="shared" si="65"/>
        <v>#REF!</v>
      </c>
      <c r="D786" s="182">
        <f t="shared" si="65"/>
        <v>0</v>
      </c>
      <c r="E786" s="172"/>
      <c r="F786" s="172"/>
      <c r="G786" s="204" t="e">
        <f t="shared" si="66"/>
        <v>#REF!</v>
      </c>
      <c r="H786" s="204">
        <f t="shared" si="66"/>
        <v>0</v>
      </c>
      <c r="I786" s="172"/>
      <c r="J786" s="172"/>
      <c r="K786" s="204" t="e">
        <f>G786</f>
        <v>#REF!</v>
      </c>
      <c r="Q786" s="139"/>
      <c r="V786" s="11"/>
      <c r="W786" s="11"/>
      <c r="X786" s="11"/>
      <c r="Y786" s="11"/>
      <c r="Z786" s="11"/>
      <c r="AA786" s="11"/>
      <c r="AB786" s="11"/>
      <c r="AC786" s="11"/>
    </row>
    <row r="787" spans="1:29" ht="16.5" thickBot="1">
      <c r="A787" s="1" t="s">
        <v>186</v>
      </c>
      <c r="B787" s="1"/>
      <c r="C787" s="256" t="e">
        <f>SUM(C785)+C786</f>
        <v>#REF!</v>
      </c>
      <c r="D787" s="256">
        <f>SUM(D773)+D786</f>
        <v>892786384</v>
      </c>
      <c r="E787" s="205"/>
      <c r="F787" s="206"/>
      <c r="G787" s="207" t="e">
        <f>G785+G786</f>
        <v>#REF!</v>
      </c>
      <c r="H787" s="207">
        <f>H785+H786</f>
        <v>45618516</v>
      </c>
      <c r="I787" s="205"/>
      <c r="J787" s="208"/>
      <c r="K787" s="207" t="e">
        <f>K785+K786</f>
        <v>#REF!</v>
      </c>
      <c r="N787" s="3" t="s">
        <v>168</v>
      </c>
      <c r="O787" s="33">
        <v>43704978.563067347</v>
      </c>
      <c r="V787" s="11"/>
      <c r="W787" s="11"/>
      <c r="X787" s="11"/>
      <c r="Y787" s="11"/>
      <c r="Z787" s="11"/>
      <c r="AA787" s="11"/>
      <c r="AB787" s="11"/>
      <c r="AC787" s="11"/>
    </row>
    <row r="788" spans="1:29" ht="16.5" thickTop="1">
      <c r="A788" s="1"/>
      <c r="B788" s="1"/>
      <c r="C788" s="12"/>
      <c r="D788" s="12"/>
      <c r="E788" s="200"/>
      <c r="F788" s="2"/>
      <c r="G788" s="2"/>
      <c r="H788" s="2"/>
      <c r="I788" s="216" t="s">
        <v>13</v>
      </c>
      <c r="J788" s="1"/>
      <c r="K788" s="2" t="s">
        <v>13</v>
      </c>
      <c r="N788" s="3" t="s">
        <v>114</v>
      </c>
      <c r="O788" s="33" t="e">
        <f>O787-K787</f>
        <v>#REF!</v>
      </c>
      <c r="P788" s="139" t="e">
        <f>(O787-K787)/K787</f>
        <v>#REF!</v>
      </c>
      <c r="V788" s="11"/>
      <c r="W788" s="11"/>
      <c r="X788" s="11"/>
      <c r="Y788" s="11"/>
      <c r="Z788" s="11"/>
      <c r="AA788" s="11"/>
      <c r="AB788" s="11"/>
      <c r="AC788" s="11"/>
    </row>
    <row r="789" spans="1:29">
      <c r="A789" s="1"/>
      <c r="B789" s="1"/>
      <c r="C789" s="12"/>
      <c r="D789" s="12"/>
      <c r="E789" s="200"/>
      <c r="F789" s="2"/>
      <c r="G789" s="2"/>
      <c r="H789" s="2"/>
      <c r="I789" s="200"/>
      <c r="J789" s="1"/>
      <c r="K789" s="243"/>
      <c r="M789" s="11"/>
      <c r="N789" s="11"/>
      <c r="O789" s="38"/>
      <c r="P789" s="38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>
      <c r="A790" s="156" t="s">
        <v>280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79"/>
      <c r="N790" s="279"/>
      <c r="O790" s="38"/>
      <c r="P790" s="38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>
      <c r="A791" s="172" t="s">
        <v>282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11"/>
      <c r="N791" s="11"/>
      <c r="O791" s="38"/>
      <c r="P791" s="38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>
      <c r="A792" s="186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11"/>
      <c r="N792" s="11"/>
      <c r="O792" s="38"/>
      <c r="P792" s="38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>
      <c r="A793" s="186" t="s">
        <v>197</v>
      </c>
      <c r="B793" s="1"/>
      <c r="C793" s="182"/>
      <c r="D793" s="182"/>
      <c r="E793" s="2"/>
      <c r="F793" s="2"/>
      <c r="G793" s="1"/>
      <c r="H793" s="1"/>
      <c r="I793" s="2"/>
      <c r="J793" s="1"/>
      <c r="K793" s="1"/>
      <c r="M793" s="11"/>
      <c r="N793" s="11"/>
      <c r="O793" s="33" t="s">
        <v>13</v>
      </c>
      <c r="P793" s="38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>
      <c r="A794" s="186" t="s">
        <v>275</v>
      </c>
      <c r="B794" s="1"/>
      <c r="C794" s="182">
        <f>C822+C850</f>
        <v>658</v>
      </c>
      <c r="D794" s="182">
        <f>D822+D850</f>
        <v>692</v>
      </c>
      <c r="E794" s="200">
        <f>$E$766</f>
        <v>1205</v>
      </c>
      <c r="F794" s="200"/>
      <c r="G794" s="2">
        <f>G822+G850</f>
        <v>792890</v>
      </c>
      <c r="H794" s="2">
        <f>H822+H850</f>
        <v>833860</v>
      </c>
      <c r="I794" s="200">
        <v>1330</v>
      </c>
      <c r="J794" s="184"/>
      <c r="K794" s="2">
        <f>K822+K850</f>
        <v>875140</v>
      </c>
      <c r="M794" s="11"/>
      <c r="N794" s="11"/>
      <c r="O794" s="8">
        <f>(I794-E794)/E794</f>
        <v>0.1037344398340249</v>
      </c>
      <c r="P794" s="38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>
      <c r="A795" s="186" t="s">
        <v>276</v>
      </c>
      <c r="B795" s="1"/>
      <c r="C795" s="182">
        <f>C823+C851</f>
        <v>48</v>
      </c>
      <c r="D795" s="182">
        <f>D823+D851</f>
        <v>50</v>
      </c>
      <c r="E795" s="200">
        <f>$E$767</f>
        <v>1450</v>
      </c>
      <c r="F795" s="200"/>
      <c r="G795" s="2">
        <f>G823+G851</f>
        <v>69600</v>
      </c>
      <c r="H795" s="2">
        <f>H823+H851</f>
        <v>72500</v>
      </c>
      <c r="I795" s="200">
        <v>1600</v>
      </c>
      <c r="J795" s="187"/>
      <c r="K795" s="2">
        <f>K823+K851</f>
        <v>76800</v>
      </c>
      <c r="M795" s="11"/>
      <c r="N795" s="11"/>
      <c r="O795" s="8">
        <f>(I795-E795)/E795</f>
        <v>0.10344827586206896</v>
      </c>
      <c r="P795" s="38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>
      <c r="A796" s="186" t="s">
        <v>198</v>
      </c>
      <c r="B796" s="1"/>
      <c r="C796" s="182">
        <f>SUM(C794:C795)</f>
        <v>706</v>
      </c>
      <c r="D796" s="182">
        <f>SUM(D794:D795)</f>
        <v>742</v>
      </c>
      <c r="E796" s="200" t="s">
        <v>13</v>
      </c>
      <c r="F796" s="200"/>
      <c r="G796" s="2"/>
      <c r="H796" s="2"/>
      <c r="I796" s="200" t="s">
        <v>13</v>
      </c>
      <c r="J796" s="184"/>
      <c r="K796" s="2"/>
      <c r="M796" s="11"/>
      <c r="N796" s="11"/>
      <c r="O796" s="183"/>
      <c r="P796" s="38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>
      <c r="A797" s="186" t="s">
        <v>277</v>
      </c>
      <c r="B797" s="1"/>
      <c r="C797" s="182">
        <f t="shared" ref="C797:D799" si="68">C825+C853</f>
        <v>898711</v>
      </c>
      <c r="D797" s="182">
        <f t="shared" si="68"/>
        <v>1752134</v>
      </c>
      <c r="E797" s="200">
        <f>$E$769</f>
        <v>0.91</v>
      </c>
      <c r="F797" s="200"/>
      <c r="G797" s="2">
        <f t="shared" ref="G797:H799" si="69">G825+G853</f>
        <v>817827</v>
      </c>
      <c r="H797" s="2">
        <f t="shared" si="69"/>
        <v>1594442</v>
      </c>
      <c r="I797" s="200">
        <v>1.01</v>
      </c>
      <c r="J797" s="184"/>
      <c r="K797" s="2">
        <f>K825+K853</f>
        <v>907698</v>
      </c>
      <c r="M797" s="11"/>
      <c r="N797" s="11"/>
      <c r="O797" s="8">
        <f>(I797-E797)/E797</f>
        <v>0.10989010989010986</v>
      </c>
      <c r="P797" s="38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>
      <c r="A798" s="186" t="s">
        <v>278</v>
      </c>
      <c r="B798" s="1"/>
      <c r="C798" s="182">
        <f t="shared" si="68"/>
        <v>209743</v>
      </c>
      <c r="D798" s="182">
        <f t="shared" si="68"/>
        <v>487863</v>
      </c>
      <c r="E798" s="200">
        <f>$E$770</f>
        <v>0.83</v>
      </c>
      <c r="F798" s="200"/>
      <c r="G798" s="2">
        <f t="shared" si="69"/>
        <v>174086</v>
      </c>
      <c r="H798" s="2">
        <f t="shared" si="69"/>
        <v>404926</v>
      </c>
      <c r="I798" s="200">
        <v>0.92</v>
      </c>
      <c r="J798" s="184"/>
      <c r="K798" s="2">
        <f>K826+K854</f>
        <v>192964</v>
      </c>
      <c r="M798" s="11"/>
      <c r="N798" s="11"/>
      <c r="O798" s="8">
        <f>(I798-E798)/E798</f>
        <v>0.10843373493975914</v>
      </c>
      <c r="P798" s="38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>
      <c r="A799" s="172" t="s">
        <v>207</v>
      </c>
      <c r="B799" s="1"/>
      <c r="C799" s="182">
        <f t="shared" si="68"/>
        <v>904657</v>
      </c>
      <c r="D799" s="182">
        <f t="shared" si="68"/>
        <v>1890714</v>
      </c>
      <c r="E799" s="200">
        <f>$E$771</f>
        <v>6.03</v>
      </c>
      <c r="F799" s="200"/>
      <c r="G799" s="2">
        <f t="shared" si="69"/>
        <v>5455082</v>
      </c>
      <c r="H799" s="2">
        <f t="shared" si="69"/>
        <v>11401005</v>
      </c>
      <c r="I799" s="200">
        <v>6.53</v>
      </c>
      <c r="J799" s="184"/>
      <c r="K799" s="2">
        <f>K827+K855</f>
        <v>5907411</v>
      </c>
      <c r="M799" s="11"/>
      <c r="N799" s="11"/>
      <c r="O799" s="8">
        <f>(I799-E799)/E799</f>
        <v>8.2918739635157543E-2</v>
      </c>
      <c r="P799" s="38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>
      <c r="A800" s="186" t="s">
        <v>230</v>
      </c>
      <c r="B800" s="1"/>
      <c r="C800" s="182"/>
      <c r="D800" s="182"/>
      <c r="E800" s="200" t="s">
        <v>13</v>
      </c>
      <c r="F800" s="200"/>
      <c r="G800" s="2"/>
      <c r="H800" s="2"/>
      <c r="I800" s="200" t="s">
        <v>13</v>
      </c>
      <c r="J800" s="184"/>
      <c r="K800" s="2"/>
      <c r="M800" s="11"/>
      <c r="N800" s="11"/>
      <c r="O800" s="183"/>
      <c r="P800" s="38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>
      <c r="A801" s="186" t="s">
        <v>268</v>
      </c>
      <c r="B801" s="1"/>
      <c r="C801" s="182">
        <f>C829+C857</f>
        <v>411194188</v>
      </c>
      <c r="D801" s="182">
        <f>D829+D857</f>
        <v>866308148</v>
      </c>
      <c r="E801" s="258">
        <f>$E$773</f>
        <v>3.4990000000000001</v>
      </c>
      <c r="F801" s="184" t="s">
        <v>178</v>
      </c>
      <c r="G801" s="2">
        <f>G829+G857</f>
        <v>14387684</v>
      </c>
      <c r="H801" s="2">
        <f>H829+H857</f>
        <v>30312122</v>
      </c>
      <c r="I801" s="258">
        <v>3.8719999999999999</v>
      </c>
      <c r="J801" s="184" t="s">
        <v>178</v>
      </c>
      <c r="K801" s="2">
        <f>K829+K857</f>
        <v>15921439</v>
      </c>
      <c r="M801" s="11"/>
      <c r="N801" s="11"/>
      <c r="O801" s="8">
        <f>(I801-E801)/E801</f>
        <v>0.10660188625321514</v>
      </c>
      <c r="P801" s="38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>
      <c r="A802" s="186" t="s">
        <v>204</v>
      </c>
      <c r="B802" s="1"/>
      <c r="C802" s="182">
        <f>C830+C858</f>
        <v>226397</v>
      </c>
      <c r="D802" s="182">
        <f>D830+D858</f>
        <v>531041</v>
      </c>
      <c r="E802" s="200">
        <f>$E$774</f>
        <v>0.45</v>
      </c>
      <c r="F802" s="184"/>
      <c r="G802" s="2">
        <f>G830+G858</f>
        <v>101879</v>
      </c>
      <c r="H802" s="2">
        <f>H830+H858</f>
        <v>238969</v>
      </c>
      <c r="I802" s="200">
        <v>0.5</v>
      </c>
      <c r="J802" s="184"/>
      <c r="K802" s="2">
        <f>K830+K858</f>
        <v>113199</v>
      </c>
      <c r="M802" s="11"/>
      <c r="N802" s="11"/>
      <c r="O802" s="8">
        <f>(I802-E802)/E802</f>
        <v>0.11111111111111108</v>
      </c>
      <c r="P802" s="38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>
      <c r="A803" s="223" t="s">
        <v>205</v>
      </c>
      <c r="B803" s="1"/>
      <c r="C803" s="182"/>
      <c r="D803" s="182"/>
      <c r="E803" s="195">
        <v>-0.01</v>
      </c>
      <c r="F803" s="195"/>
      <c r="G803" s="2"/>
      <c r="H803" s="2"/>
      <c r="I803" s="195">
        <v>-0.01</v>
      </c>
      <c r="J803" s="224"/>
      <c r="K803" s="2"/>
      <c r="M803" s="11"/>
      <c r="N803" s="11"/>
      <c r="O803" s="38"/>
      <c r="P803" s="38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>
      <c r="A804" s="186" t="s">
        <v>275</v>
      </c>
      <c r="B804" s="1"/>
      <c r="C804" s="182">
        <f t="shared" ref="C804:D814" si="70">C832+C860</f>
        <v>135</v>
      </c>
      <c r="D804" s="182">
        <f t="shared" si="70"/>
        <v>143</v>
      </c>
      <c r="E804" s="197">
        <f>E794</f>
        <v>1205</v>
      </c>
      <c r="F804" s="197"/>
      <c r="G804" s="184">
        <f t="shared" ref="G804:H814" si="71">G832+G860</f>
        <v>-1627</v>
      </c>
      <c r="H804" s="184">
        <f t="shared" si="71"/>
        <v>-1723</v>
      </c>
      <c r="I804" s="197">
        <f>I794</f>
        <v>1330</v>
      </c>
      <c r="J804" s="184"/>
      <c r="K804" s="184">
        <f t="shared" ref="K804:K813" si="72">K832+K860</f>
        <v>-1795</v>
      </c>
      <c r="M804" s="11"/>
      <c r="N804" s="11"/>
      <c r="O804" s="38"/>
      <c r="P804" s="38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>
      <c r="A805" s="186" t="s">
        <v>276</v>
      </c>
      <c r="B805" s="1"/>
      <c r="C805" s="182">
        <f t="shared" si="70"/>
        <v>23</v>
      </c>
      <c r="D805" s="182">
        <f t="shared" si="70"/>
        <v>24</v>
      </c>
      <c r="E805" s="197">
        <f>E795</f>
        <v>1450</v>
      </c>
      <c r="F805" s="197"/>
      <c r="G805" s="184">
        <f t="shared" si="71"/>
        <v>-334</v>
      </c>
      <c r="H805" s="184">
        <f t="shared" si="71"/>
        <v>-348</v>
      </c>
      <c r="I805" s="197">
        <f>I795</f>
        <v>1600</v>
      </c>
      <c r="J805" s="184"/>
      <c r="K805" s="184">
        <f t="shared" si="72"/>
        <v>-368</v>
      </c>
      <c r="M805" s="11"/>
      <c r="N805" s="11"/>
      <c r="O805" s="38"/>
      <c r="P805" s="38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>
      <c r="A806" s="186" t="s">
        <v>277</v>
      </c>
      <c r="B806" s="1"/>
      <c r="C806" s="182">
        <f t="shared" si="70"/>
        <v>189773</v>
      </c>
      <c r="D806" s="182">
        <f t="shared" si="70"/>
        <v>250152</v>
      </c>
      <c r="E806" s="197">
        <f>E797</f>
        <v>0.91</v>
      </c>
      <c r="F806" s="197"/>
      <c r="G806" s="184">
        <f t="shared" si="71"/>
        <v>-1727</v>
      </c>
      <c r="H806" s="184">
        <f t="shared" si="71"/>
        <v>-2276</v>
      </c>
      <c r="I806" s="197">
        <f>I797</f>
        <v>1.01</v>
      </c>
      <c r="J806" s="184"/>
      <c r="K806" s="184">
        <f t="shared" si="72"/>
        <v>-1917</v>
      </c>
      <c r="M806" s="11"/>
      <c r="N806" s="11"/>
      <c r="O806" s="38"/>
      <c r="P806" s="38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>
      <c r="A807" s="186" t="s">
        <v>278</v>
      </c>
      <c r="B807" s="1"/>
      <c r="C807" s="182">
        <f t="shared" si="70"/>
        <v>101596</v>
      </c>
      <c r="D807" s="182">
        <f t="shared" si="70"/>
        <v>202120</v>
      </c>
      <c r="E807" s="197">
        <f>E798</f>
        <v>0.83</v>
      </c>
      <c r="F807" s="197"/>
      <c r="G807" s="184">
        <f t="shared" si="71"/>
        <v>-843</v>
      </c>
      <c r="H807" s="184">
        <f t="shared" si="71"/>
        <v>-1677</v>
      </c>
      <c r="I807" s="197">
        <f>I798</f>
        <v>0.92</v>
      </c>
      <c r="J807" s="184"/>
      <c r="K807" s="184">
        <f t="shared" si="72"/>
        <v>-934</v>
      </c>
      <c r="M807" s="11"/>
      <c r="N807" s="11"/>
      <c r="O807" s="38"/>
      <c r="P807" s="38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>
      <c r="A808" s="172" t="s">
        <v>207</v>
      </c>
      <c r="B808" s="243"/>
      <c r="C808" s="182">
        <f t="shared" si="70"/>
        <v>235201</v>
      </c>
      <c r="D808" s="182">
        <f t="shared" si="70"/>
        <v>378246</v>
      </c>
      <c r="E808" s="197">
        <f>E799</f>
        <v>6.03</v>
      </c>
      <c r="F808" s="200"/>
      <c r="G808" s="184">
        <f t="shared" si="71"/>
        <v>-14182</v>
      </c>
      <c r="H808" s="184">
        <f t="shared" si="71"/>
        <v>-22808</v>
      </c>
      <c r="I808" s="197">
        <f>I799</f>
        <v>6.53</v>
      </c>
      <c r="J808" s="184"/>
      <c r="K808" s="184">
        <f t="shared" si="72"/>
        <v>-15359</v>
      </c>
      <c r="M808" s="11"/>
      <c r="N808" s="11"/>
      <c r="O808" s="38"/>
      <c r="P808" s="38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>
      <c r="A809" s="186" t="s">
        <v>268</v>
      </c>
      <c r="B809" s="1"/>
      <c r="C809" s="182">
        <f t="shared" si="70"/>
        <v>103773002</v>
      </c>
      <c r="D809" s="182">
        <f t="shared" si="70"/>
        <v>169872377</v>
      </c>
      <c r="E809" s="198">
        <f>E801</f>
        <v>3.4990000000000001</v>
      </c>
      <c r="F809" s="184" t="s">
        <v>178</v>
      </c>
      <c r="G809" s="184">
        <f t="shared" si="71"/>
        <v>-36310</v>
      </c>
      <c r="H809" s="184">
        <f t="shared" si="71"/>
        <v>-59438</v>
      </c>
      <c r="I809" s="198">
        <f>I801</f>
        <v>3.8719999999999999</v>
      </c>
      <c r="J809" s="184" t="s">
        <v>178</v>
      </c>
      <c r="K809" s="184">
        <f t="shared" si="72"/>
        <v>-40181</v>
      </c>
      <c r="M809" s="11"/>
      <c r="N809" s="11"/>
      <c r="O809" s="38"/>
      <c r="P809" s="38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>
      <c r="A810" s="186" t="s">
        <v>204</v>
      </c>
      <c r="B810" s="1"/>
      <c r="C810" s="182">
        <f t="shared" si="70"/>
        <v>39074</v>
      </c>
      <c r="D810" s="182">
        <f t="shared" si="70"/>
        <v>77366</v>
      </c>
      <c r="E810" s="247">
        <f>E802</f>
        <v>0.45</v>
      </c>
      <c r="F810" s="184"/>
      <c r="G810" s="184">
        <f t="shared" si="71"/>
        <v>-176</v>
      </c>
      <c r="H810" s="184">
        <f t="shared" si="71"/>
        <v>-348</v>
      </c>
      <c r="I810" s="247">
        <f>I802</f>
        <v>0.5</v>
      </c>
      <c r="J810" s="184"/>
      <c r="K810" s="184">
        <f t="shared" si="72"/>
        <v>-195</v>
      </c>
      <c r="M810" s="11"/>
      <c r="N810" s="11"/>
      <c r="O810" s="38"/>
      <c r="P810" s="38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>
      <c r="A811" s="172" t="s">
        <v>279</v>
      </c>
      <c r="B811" s="1"/>
      <c r="C811" s="182">
        <f t="shared" si="70"/>
        <v>158</v>
      </c>
      <c r="D811" s="182">
        <f t="shared" si="70"/>
        <v>167</v>
      </c>
      <c r="E811" s="200">
        <f>$E$783</f>
        <v>60</v>
      </c>
      <c r="F811" s="200"/>
      <c r="G811" s="184">
        <f t="shared" si="71"/>
        <v>9480</v>
      </c>
      <c r="H811" s="184">
        <f t="shared" si="71"/>
        <v>10020</v>
      </c>
      <c r="I811" s="200">
        <f>$I$783</f>
        <v>60</v>
      </c>
      <c r="J811" s="184"/>
      <c r="K811" s="184">
        <f t="shared" si="72"/>
        <v>9480</v>
      </c>
      <c r="M811" s="11"/>
      <c r="N811" s="11"/>
      <c r="O811" s="38"/>
      <c r="P811" s="38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>
      <c r="A812" s="172" t="s">
        <v>248</v>
      </c>
      <c r="B812" s="1"/>
      <c r="C812" s="182">
        <f t="shared" si="70"/>
        <v>291369</v>
      </c>
      <c r="D812" s="182">
        <f t="shared" si="70"/>
        <v>452272</v>
      </c>
      <c r="E812" s="200">
        <f>$E$784</f>
        <v>-0.75</v>
      </c>
      <c r="F812" s="184"/>
      <c r="G812" s="184">
        <f t="shared" si="71"/>
        <v>-218527</v>
      </c>
      <c r="H812" s="184">
        <f t="shared" si="71"/>
        <v>-339204</v>
      </c>
      <c r="I812" s="200">
        <f>$I$784</f>
        <v>-0.75</v>
      </c>
      <c r="J812" s="184"/>
      <c r="K812" s="184">
        <f t="shared" si="72"/>
        <v>-218527</v>
      </c>
      <c r="M812" s="11"/>
      <c r="N812" s="11"/>
      <c r="O812" s="38"/>
      <c r="P812" s="38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>
      <c r="A813" s="1" t="s">
        <v>185</v>
      </c>
      <c r="B813" s="1"/>
      <c r="C813" s="182">
        <f t="shared" si="70"/>
        <v>411194188</v>
      </c>
      <c r="D813" s="182">
        <f t="shared" si="70"/>
        <v>866308148.72444463</v>
      </c>
      <c r="E813" s="193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11"/>
      <c r="N813" s="11"/>
      <c r="O813" s="38"/>
      <c r="P813" s="38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>
      <c r="A814" s="1" t="s">
        <v>167</v>
      </c>
      <c r="B814" s="1"/>
      <c r="C814" s="182" t="e">
        <f t="shared" si="70"/>
        <v>#REF!</v>
      </c>
      <c r="D814" s="182">
        <f t="shared" si="70"/>
        <v>0</v>
      </c>
      <c r="E814" s="172"/>
      <c r="F814" s="172"/>
      <c r="G814" s="204" t="e">
        <f t="shared" si="71"/>
        <v>#REF!</v>
      </c>
      <c r="H814" s="204">
        <f t="shared" si="71"/>
        <v>0</v>
      </c>
      <c r="I814" s="172"/>
      <c r="J814" s="172"/>
      <c r="K814" s="204" t="e">
        <f>G814</f>
        <v>#REF!</v>
      </c>
      <c r="M814" s="307"/>
      <c r="N814" s="307"/>
      <c r="O814" s="150"/>
      <c r="P814" s="38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6.5" thickBot="1">
      <c r="A815" s="1" t="s">
        <v>186</v>
      </c>
      <c r="B815" s="1"/>
      <c r="C815" s="256" t="e">
        <f>SUM(C813)+C814</f>
        <v>#REF!</v>
      </c>
      <c r="D815" s="256">
        <f>SUM(D801)+D814</f>
        <v>866308148</v>
      </c>
      <c r="E815" s="205"/>
      <c r="F815" s="206"/>
      <c r="G815" s="207" t="e">
        <f>G813+G814</f>
        <v>#REF!</v>
      </c>
      <c r="H815" s="207">
        <f>H813+H814</f>
        <v>44440022</v>
      </c>
      <c r="I815" s="205"/>
      <c r="J815" s="208"/>
      <c r="K815" s="207" t="e">
        <f>K813+K814</f>
        <v>#REF!</v>
      </c>
      <c r="M815" s="274"/>
      <c r="N815" s="3" t="s">
        <v>168</v>
      </c>
      <c r="O815" s="33" t="e">
        <f>#REF!*1000+#REF!*1000</f>
        <v>#REF!</v>
      </c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6.5" thickTop="1">
      <c r="A816" s="1"/>
      <c r="B816" s="1"/>
      <c r="C816" s="12"/>
      <c r="D816" s="12"/>
      <c r="E816" s="200"/>
      <c r="F816" s="2"/>
      <c r="G816" s="2"/>
      <c r="H816" s="2"/>
      <c r="I816" s="216" t="s">
        <v>13</v>
      </c>
      <c r="J816" s="1"/>
      <c r="K816" s="2" t="s">
        <v>13</v>
      </c>
      <c r="M816" s="11"/>
      <c r="N816" s="3" t="s">
        <v>114</v>
      </c>
      <c r="O816" s="33" t="e">
        <f>O815-K815-K760</f>
        <v>#REF!</v>
      </c>
      <c r="P816" s="139" t="e">
        <f>(O815-K815)/K815</f>
        <v>#REF!</v>
      </c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>
      <c r="A817" s="1"/>
      <c r="B817" s="1"/>
      <c r="C817" s="12"/>
      <c r="D817" s="12"/>
      <c r="E817" s="200"/>
      <c r="F817" s="2"/>
      <c r="G817" s="2"/>
      <c r="H817" s="2"/>
      <c r="I817" s="200"/>
      <c r="J817" s="1"/>
      <c r="K817" s="243"/>
      <c r="M817" s="11"/>
      <c r="N817" s="11"/>
      <c r="O817" s="38"/>
      <c r="P817" s="38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>
      <c r="A818" s="156" t="s">
        <v>280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11"/>
      <c r="N818" s="11"/>
      <c r="O818" s="38"/>
      <c r="P818" s="38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>
      <c r="A819" s="172" t="s">
        <v>283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11"/>
      <c r="N819" s="11"/>
      <c r="O819" s="38"/>
      <c r="P819" s="38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>
      <c r="A820" s="186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11"/>
      <c r="N820" s="11"/>
      <c r="O820" s="38"/>
      <c r="P820" s="38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>
      <c r="A821" s="186" t="s">
        <v>197</v>
      </c>
      <c r="B821" s="1"/>
      <c r="C821" s="182"/>
      <c r="D821" s="182"/>
      <c r="E821" s="2"/>
      <c r="F821" s="2"/>
      <c r="G821" s="1"/>
      <c r="H821" s="1"/>
      <c r="I821" s="2"/>
      <c r="J821" s="1"/>
      <c r="K821" s="1"/>
      <c r="M821" s="11"/>
      <c r="N821" s="11"/>
      <c r="O821" s="38"/>
      <c r="P821" s="38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>
      <c r="A822" s="186" t="s">
        <v>275</v>
      </c>
      <c r="B822" s="1"/>
      <c r="C822" s="182">
        <f>111+187</f>
        <v>298</v>
      </c>
      <c r="D822" s="182">
        <v>317</v>
      </c>
      <c r="E822" s="200">
        <f>$E$794</f>
        <v>1205</v>
      </c>
      <c r="F822" s="200"/>
      <c r="G822" s="2">
        <f>ROUND(E822*$C822,0)</f>
        <v>359090</v>
      </c>
      <c r="H822" s="2">
        <f>ROUND(E822*$D822,0)</f>
        <v>381985</v>
      </c>
      <c r="I822" s="200">
        <f>$I$794</f>
        <v>1330</v>
      </c>
      <c r="J822" s="184"/>
      <c r="K822" s="2">
        <f>ROUND(I822*$C822,0)</f>
        <v>396340</v>
      </c>
      <c r="M822" s="11"/>
      <c r="N822" s="11"/>
      <c r="O822" s="38"/>
      <c r="P822" s="38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>
      <c r="A823" s="186" t="s">
        <v>276</v>
      </c>
      <c r="B823" s="1"/>
      <c r="C823" s="182">
        <v>11</v>
      </c>
      <c r="D823" s="182">
        <v>12</v>
      </c>
      <c r="E823" s="200">
        <f>$E$795</f>
        <v>1450</v>
      </c>
      <c r="F823" s="200"/>
      <c r="G823" s="2">
        <f>ROUND(E823*$C823,0)</f>
        <v>15950</v>
      </c>
      <c r="H823" s="2">
        <f>ROUND(E823*$D823,0)</f>
        <v>17400</v>
      </c>
      <c r="I823" s="200">
        <f>$I$795</f>
        <v>1600</v>
      </c>
      <c r="J823" s="187"/>
      <c r="K823" s="2">
        <f>ROUND(I823*$C823,0)</f>
        <v>17600</v>
      </c>
      <c r="M823" s="11"/>
      <c r="N823" s="11"/>
      <c r="O823" s="38"/>
      <c r="P823" s="38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>
      <c r="A824" s="186" t="s">
        <v>198</v>
      </c>
      <c r="B824" s="1"/>
      <c r="C824" s="182">
        <f>SUM(C822:C823)</f>
        <v>309</v>
      </c>
      <c r="D824" s="182">
        <f>SUM(D822:D823)</f>
        <v>329</v>
      </c>
      <c r="E824" s="200" t="s">
        <v>13</v>
      </c>
      <c r="F824" s="200"/>
      <c r="G824" s="2" t="s">
        <v>13</v>
      </c>
      <c r="H824" s="2" t="s">
        <v>13</v>
      </c>
      <c r="I824" s="200" t="s">
        <v>13</v>
      </c>
      <c r="J824" s="184"/>
      <c r="K824" s="2" t="s">
        <v>13</v>
      </c>
      <c r="M824" s="11"/>
      <c r="N824" s="11"/>
      <c r="O824" s="38"/>
      <c r="P824" s="38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>
      <c r="A825" s="186" t="s">
        <v>277</v>
      </c>
      <c r="B825" s="1"/>
      <c r="C825" s="182">
        <f>161644+238775</f>
        <v>400419</v>
      </c>
      <c r="D825" s="182">
        <f>ROUND((C825/$C$841)*$D$841,0)</f>
        <v>435560</v>
      </c>
      <c r="E825" s="200">
        <f>$E$797</f>
        <v>0.91</v>
      </c>
      <c r="F825" s="200"/>
      <c r="G825" s="2">
        <f>ROUND(E825*$C825,0)</f>
        <v>364381</v>
      </c>
      <c r="H825" s="2">
        <f>ROUND(E825*$D825,0)</f>
        <v>396360</v>
      </c>
      <c r="I825" s="200">
        <f>$I$797</f>
        <v>1.01</v>
      </c>
      <c r="J825" s="184"/>
      <c r="K825" s="2">
        <f>ROUND(I825*$C825,0)</f>
        <v>404423</v>
      </c>
      <c r="M825" s="11"/>
      <c r="N825" s="11"/>
      <c r="O825" s="38"/>
      <c r="P825" s="38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>
      <c r="A826" s="186" t="s">
        <v>278</v>
      </c>
      <c r="B826" s="1"/>
      <c r="C826" s="182">
        <f>42662</f>
        <v>42662</v>
      </c>
      <c r="D826" s="182">
        <f>ROUND((C826/$C$841)*$D$841,0)</f>
        <v>46406</v>
      </c>
      <c r="E826" s="200">
        <f>$E$798</f>
        <v>0.83</v>
      </c>
      <c r="F826" s="200"/>
      <c r="G826" s="2">
        <f>ROUND(E826*$C826,0)</f>
        <v>35409</v>
      </c>
      <c r="H826" s="2">
        <f>ROUND(E826*$D826,0)</f>
        <v>38517</v>
      </c>
      <c r="I826" s="200">
        <f>$I$798</f>
        <v>0.92</v>
      </c>
      <c r="J826" s="184"/>
      <c r="K826" s="2">
        <f>ROUND(I826*$C826,0)</f>
        <v>39249</v>
      </c>
      <c r="M826" s="11"/>
      <c r="N826" s="11"/>
      <c r="O826" s="38"/>
      <c r="P826" s="38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>
      <c r="A827" s="172" t="s">
        <v>207</v>
      </c>
      <c r="B827" s="1"/>
      <c r="C827" s="182">
        <f>121935+34520+164918</f>
        <v>321373</v>
      </c>
      <c r="D827" s="182">
        <f>ROUND((C827/$C$841)*$D$841,0)</f>
        <v>349577</v>
      </c>
      <c r="E827" s="200">
        <f>$E$799</f>
        <v>6.03</v>
      </c>
      <c r="F827" s="200"/>
      <c r="G827" s="2">
        <f>ROUND(E827*$C827,0)</f>
        <v>1937879</v>
      </c>
      <c r="H827" s="2">
        <f>ROUND(E827*$D827,0)</f>
        <v>2107949</v>
      </c>
      <c r="I827" s="200">
        <f>$I$799</f>
        <v>6.53</v>
      </c>
      <c r="J827" s="184"/>
      <c r="K827" s="2">
        <f>ROUND(I827*$C827,0)</f>
        <v>2098566</v>
      </c>
      <c r="M827" s="11"/>
      <c r="N827" s="11"/>
      <c r="O827" s="38"/>
      <c r="P827" s="38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>
      <c r="A828" s="186" t="s">
        <v>230</v>
      </c>
      <c r="B828" s="1"/>
      <c r="C828" s="182"/>
      <c r="D828" s="182"/>
      <c r="E828" s="200" t="s">
        <v>13</v>
      </c>
      <c r="F828" s="200"/>
      <c r="G828" s="2"/>
      <c r="H828" s="2"/>
      <c r="I828" s="200" t="s">
        <v>13</v>
      </c>
      <c r="J828" s="184"/>
      <c r="K828" s="2"/>
      <c r="M828" s="11"/>
      <c r="N828" s="11"/>
      <c r="O828" s="38"/>
      <c r="P828" s="38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>
      <c r="A829" s="186" t="s">
        <v>268</v>
      </c>
      <c r="B829" s="1"/>
      <c r="C829" s="182">
        <f>48095401+19012800+74513181</f>
        <v>141621382</v>
      </c>
      <c r="D829" s="182">
        <f>ROUND((C829/$C$841)*$D$841,0)</f>
        <v>154050076</v>
      </c>
      <c r="E829" s="258">
        <f>$E$801</f>
        <v>3.4990000000000001</v>
      </c>
      <c r="F829" s="184" t="s">
        <v>178</v>
      </c>
      <c r="G829" s="2">
        <f>ROUND(E829/100*$C829,0)</f>
        <v>4955332</v>
      </c>
      <c r="H829" s="2">
        <f>ROUND(E829/100*$D829,0)</f>
        <v>5390212</v>
      </c>
      <c r="I829" s="258">
        <f>$I$801</f>
        <v>3.8719999999999999</v>
      </c>
      <c r="J829" s="184" t="s">
        <v>178</v>
      </c>
      <c r="K829" s="2">
        <f>ROUND(I829/100*$C829,0)</f>
        <v>5483580</v>
      </c>
      <c r="M829" s="11"/>
      <c r="N829" s="11"/>
      <c r="O829" s="38"/>
      <c r="P829" s="38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>
      <c r="A830" s="186" t="s">
        <v>204</v>
      </c>
      <c r="B830" s="1"/>
      <c r="C830" s="182">
        <f>10682+5964+26547</f>
        <v>43193</v>
      </c>
      <c r="D830" s="182">
        <f>ROUND((C830/$C$841)*$D$841,0)</f>
        <v>46984</v>
      </c>
      <c r="E830" s="200">
        <f>$E$802</f>
        <v>0.45</v>
      </c>
      <c r="F830" s="184"/>
      <c r="G830" s="2">
        <f>ROUND(E830*$C830,0)</f>
        <v>19437</v>
      </c>
      <c r="H830" s="2">
        <f>ROUND(E830*$D830,0)</f>
        <v>21143</v>
      </c>
      <c r="I830" s="200">
        <f>$I$802</f>
        <v>0.5</v>
      </c>
      <c r="J830" s="184"/>
      <c r="K830" s="2">
        <f>ROUND(I830*$C830,0)</f>
        <v>21597</v>
      </c>
      <c r="M830" s="11"/>
      <c r="N830" s="11"/>
      <c r="O830" s="38"/>
      <c r="P830" s="38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>
      <c r="A831" s="223" t="s">
        <v>205</v>
      </c>
      <c r="B831" s="1"/>
      <c r="C831" s="182"/>
      <c r="D831" s="182"/>
      <c r="E831" s="195">
        <v>-0.01</v>
      </c>
      <c r="F831" s="195"/>
      <c r="G831" s="2"/>
      <c r="H831" s="2"/>
      <c r="I831" s="195">
        <v>-0.01</v>
      </c>
      <c r="J831" s="224"/>
      <c r="K831" s="2"/>
      <c r="M831" s="11"/>
      <c r="N831" s="11"/>
      <c r="O831" s="38"/>
      <c r="P831" s="38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>
      <c r="A832" s="186" t="s">
        <v>275</v>
      </c>
      <c r="B832" s="1"/>
      <c r="C832" s="182">
        <v>111</v>
      </c>
      <c r="D832" s="182">
        <v>118</v>
      </c>
      <c r="E832" s="197">
        <f>E822</f>
        <v>1205</v>
      </c>
      <c r="F832" s="197"/>
      <c r="G832" s="184">
        <f>ROUND(E832*$C832*$E$803,0)</f>
        <v>-1338</v>
      </c>
      <c r="H832" s="184">
        <f>ROUND(E832*$D832*$E$803,0)</f>
        <v>-1422</v>
      </c>
      <c r="I832" s="197">
        <f>I822</f>
        <v>1330</v>
      </c>
      <c r="J832" s="184"/>
      <c r="K832" s="184">
        <f>ROUND(I832*$C832*$E$803,0)</f>
        <v>-1476</v>
      </c>
      <c r="M832" s="11"/>
      <c r="N832" s="11"/>
      <c r="O832" s="38"/>
      <c r="P832" s="38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>
      <c r="A833" s="186" t="s">
        <v>276</v>
      </c>
      <c r="B833" s="1"/>
      <c r="C833" s="182">
        <v>11</v>
      </c>
      <c r="D833" s="182">
        <v>12</v>
      </c>
      <c r="E833" s="197">
        <f>E823</f>
        <v>1450</v>
      </c>
      <c r="F833" s="197"/>
      <c r="G833" s="184">
        <f>ROUND(E833*$C833*$E$803,0)</f>
        <v>-160</v>
      </c>
      <c r="H833" s="184">
        <f>ROUND(E833*$D833*$E$803,0)</f>
        <v>-174</v>
      </c>
      <c r="I833" s="197">
        <f>I823</f>
        <v>1600</v>
      </c>
      <c r="J833" s="184"/>
      <c r="K833" s="184">
        <f>ROUND(I833*$C833*$E$803,0)</f>
        <v>-176</v>
      </c>
      <c r="M833" s="11"/>
      <c r="N833" s="11"/>
      <c r="O833" s="38"/>
      <c r="P833" s="38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>
      <c r="A834" s="186" t="s">
        <v>277</v>
      </c>
      <c r="B834" s="1"/>
      <c r="C834" s="182">
        <v>161644</v>
      </c>
      <c r="D834" s="182">
        <f>ROUND((C834/$C$841)*$D$841,0)</f>
        <v>175830</v>
      </c>
      <c r="E834" s="197">
        <f>E825</f>
        <v>0.91</v>
      </c>
      <c r="F834" s="197"/>
      <c r="G834" s="184">
        <f>ROUND(E834*$C834*$E$803,0)</f>
        <v>-1471</v>
      </c>
      <c r="H834" s="184">
        <f>ROUND(E834*$D834*$E$803,0)</f>
        <v>-1600</v>
      </c>
      <c r="I834" s="197">
        <f>I825</f>
        <v>1.01</v>
      </c>
      <c r="J834" s="184"/>
      <c r="K834" s="184">
        <f>ROUND(I834*$C834*$E$803,0)</f>
        <v>-1633</v>
      </c>
      <c r="M834" s="11"/>
      <c r="N834" s="11"/>
      <c r="O834" s="38"/>
      <c r="P834" s="38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>
      <c r="A835" s="186" t="s">
        <v>278</v>
      </c>
      <c r="B835" s="1"/>
      <c r="C835" s="182">
        <v>42662</v>
      </c>
      <c r="D835" s="182">
        <f>ROUND((C835/$C$841)*$D$841,0)</f>
        <v>46406</v>
      </c>
      <c r="E835" s="197">
        <f>E826</f>
        <v>0.83</v>
      </c>
      <c r="F835" s="197"/>
      <c r="G835" s="184">
        <f>ROUND(E835*$C835*$E$803,0)</f>
        <v>-354</v>
      </c>
      <c r="H835" s="184">
        <f>ROUND(E835*$D835*$E$803,0)</f>
        <v>-385</v>
      </c>
      <c r="I835" s="197">
        <f>I826</f>
        <v>0.92</v>
      </c>
      <c r="J835" s="184"/>
      <c r="K835" s="184">
        <f>ROUND(I835*$C835*$E$803,0)</f>
        <v>-392</v>
      </c>
      <c r="M835" s="11"/>
      <c r="N835" s="11"/>
      <c r="O835" s="38"/>
      <c r="P835" s="38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>
      <c r="A836" s="172" t="s">
        <v>207</v>
      </c>
      <c r="B836" s="243"/>
      <c r="C836" s="182">
        <f>121935+34520</f>
        <v>156455</v>
      </c>
      <c r="D836" s="182">
        <f>ROUND((C836/$C$841)*$D$841,0)</f>
        <v>170185</v>
      </c>
      <c r="E836" s="197">
        <f>E827</f>
        <v>6.03</v>
      </c>
      <c r="F836" s="200"/>
      <c r="G836" s="184">
        <f>ROUND(E836*$C836*$E$803,0)</f>
        <v>-9434</v>
      </c>
      <c r="H836" s="184">
        <f>ROUND(E836*$D836*$E$803,0)</f>
        <v>-10262</v>
      </c>
      <c r="I836" s="197">
        <f>I827</f>
        <v>6.53</v>
      </c>
      <c r="J836" s="184"/>
      <c r="K836" s="184">
        <f>ROUND(I836*$C836*$E$803,0)</f>
        <v>-10217</v>
      </c>
      <c r="M836" s="11"/>
      <c r="N836" s="11"/>
      <c r="O836" s="38"/>
      <c r="P836" s="38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>
      <c r="A837" s="186" t="s">
        <v>268</v>
      </c>
      <c r="B837" s="1"/>
      <c r="C837" s="182">
        <f>48095401+19012800</f>
        <v>67108201</v>
      </c>
      <c r="D837" s="182">
        <f>ROUND((C837/$C$841)*$D$841,0)</f>
        <v>72997618</v>
      </c>
      <c r="E837" s="198">
        <f>E829</f>
        <v>3.4990000000000001</v>
      </c>
      <c r="F837" s="184" t="s">
        <v>178</v>
      </c>
      <c r="G837" s="184">
        <f>ROUND(E837/100*$C837*$E$803,0)</f>
        <v>-23481</v>
      </c>
      <c r="H837" s="184">
        <f>ROUND(E837/100*$D837*$E$803,0)</f>
        <v>-25542</v>
      </c>
      <c r="I837" s="198">
        <f>I829</f>
        <v>3.8719999999999999</v>
      </c>
      <c r="J837" s="184" t="s">
        <v>178</v>
      </c>
      <c r="K837" s="184">
        <f>ROUND(I837/100*$C837*$E$803,0)</f>
        <v>-25984</v>
      </c>
      <c r="M837" s="11"/>
      <c r="N837" s="11"/>
      <c r="O837" s="38"/>
      <c r="P837" s="38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>
      <c r="A838" s="186" t="s">
        <v>204</v>
      </c>
      <c r="B838" s="1"/>
      <c r="C838" s="182">
        <f>10682+5964</f>
        <v>16646</v>
      </c>
      <c r="D838" s="182">
        <f>ROUND((C838/$C$841)*$D$841,0)</f>
        <v>18107</v>
      </c>
      <c r="E838" s="247">
        <f>E830</f>
        <v>0.45</v>
      </c>
      <c r="F838" s="184"/>
      <c r="G838" s="184">
        <f>ROUND(E838*$C838*$E$803,0)</f>
        <v>-75</v>
      </c>
      <c r="H838" s="184">
        <f>ROUND(E838*$D838*$E$803,0)</f>
        <v>-81</v>
      </c>
      <c r="I838" s="247">
        <f>I830</f>
        <v>0.5</v>
      </c>
      <c r="J838" s="184"/>
      <c r="K838" s="184">
        <f>ROUND(I838*$C838*$E$803,0)</f>
        <v>-83</v>
      </c>
      <c r="M838" s="11"/>
      <c r="N838" s="11"/>
      <c r="O838" s="38"/>
      <c r="P838" s="38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>
      <c r="A839" s="172" t="s">
        <v>279</v>
      </c>
      <c r="B839" s="1"/>
      <c r="C839" s="182">
        <f>111+11</f>
        <v>122</v>
      </c>
      <c r="D839" s="182">
        <v>130</v>
      </c>
      <c r="E839" s="200">
        <f>$E$811</f>
        <v>60</v>
      </c>
      <c r="F839" s="200"/>
      <c r="G839" s="184">
        <f>ROUND(E839*$C839,0)</f>
        <v>7320</v>
      </c>
      <c r="H839" s="184">
        <f>ROUND(E839*$D839,0)</f>
        <v>7800</v>
      </c>
      <c r="I839" s="200">
        <f>$I$811</f>
        <v>60</v>
      </c>
      <c r="J839" s="184"/>
      <c r="K839" s="184">
        <f>ROUND(I839*$C839,0)</f>
        <v>7320</v>
      </c>
      <c r="M839" s="11"/>
      <c r="N839" s="11"/>
      <c r="O839" s="38"/>
      <c r="P839" s="38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>
      <c r="A840" s="172" t="s">
        <v>248</v>
      </c>
      <c r="B840" s="1"/>
      <c r="C840" s="182">
        <f>161644+42662</f>
        <v>204306</v>
      </c>
      <c r="D840" s="182">
        <f>ROUND((C840/$C$841)*$D$841,0)</f>
        <v>222236</v>
      </c>
      <c r="E840" s="200">
        <f>$E$812</f>
        <v>-0.75</v>
      </c>
      <c r="F840" s="184"/>
      <c r="G840" s="184">
        <f>ROUND(E840*$C840,0)</f>
        <v>-153230</v>
      </c>
      <c r="H840" s="184">
        <f>ROUND(E840*$D840,0)</f>
        <v>-166677</v>
      </c>
      <c r="I840" s="200">
        <f>$I$812</f>
        <v>-0.75</v>
      </c>
      <c r="J840" s="184"/>
      <c r="K840" s="184">
        <f>ROUND(I840*$C840,0)</f>
        <v>-153230</v>
      </c>
      <c r="M840" s="11"/>
      <c r="N840" s="11"/>
      <c r="O840" s="38"/>
      <c r="P840" s="38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>
      <c r="A841" s="1" t="s">
        <v>185</v>
      </c>
      <c r="B841" s="1"/>
      <c r="C841" s="182">
        <f>C829</f>
        <v>141621382</v>
      </c>
      <c r="D841" s="182">
        <v>154050076.39425009</v>
      </c>
      <c r="E841" s="193"/>
      <c r="F841" s="2"/>
      <c r="G841" s="2">
        <f>SUM(G822:G840)</f>
        <v>7505255</v>
      </c>
      <c r="H841" s="2">
        <f>SUM(H822:H840)</f>
        <v>8155223</v>
      </c>
      <c r="I841" s="193"/>
      <c r="J841" s="1"/>
      <c r="K841" s="2">
        <f>SUM(K822:K840)</f>
        <v>8275484</v>
      </c>
      <c r="M841" s="11"/>
      <c r="N841" s="11"/>
      <c r="O841" s="38"/>
      <c r="P841" s="38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>
      <c r="A842" s="1" t="s">
        <v>167</v>
      </c>
      <c r="B842" s="1"/>
      <c r="C842" s="182" t="e">
        <f>#REF!</f>
        <v>#REF!</v>
      </c>
      <c r="D842" s="182">
        <v>0</v>
      </c>
      <c r="E842" s="172"/>
      <c r="F842" s="172"/>
      <c r="G842" s="204" t="e">
        <f>#REF!</f>
        <v>#REF!</v>
      </c>
      <c r="H842" s="204">
        <v>0</v>
      </c>
      <c r="I842" s="172"/>
      <c r="J842" s="172"/>
      <c r="K842" s="204" t="e">
        <f>G842</f>
        <v>#REF!</v>
      </c>
      <c r="M842" s="307"/>
      <c r="N842" s="307"/>
      <c r="O842" s="150"/>
      <c r="P842" s="38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6.5" thickBot="1">
      <c r="A843" s="1" t="s">
        <v>186</v>
      </c>
      <c r="B843" s="1"/>
      <c r="C843" s="256" t="e">
        <f>SUM(C841)+C842</f>
        <v>#REF!</v>
      </c>
      <c r="D843" s="256">
        <f>SUM(D829)+D842</f>
        <v>154050076</v>
      </c>
      <c r="E843" s="205"/>
      <c r="F843" s="206"/>
      <c r="G843" s="207" t="e">
        <f>G841+G842</f>
        <v>#REF!</v>
      </c>
      <c r="H843" s="207">
        <f>H841+H842</f>
        <v>8155223</v>
      </c>
      <c r="I843" s="205"/>
      <c r="J843" s="208"/>
      <c r="K843" s="207" t="e">
        <f>K841+K842</f>
        <v>#REF!</v>
      </c>
      <c r="M843" s="274"/>
      <c r="N843" s="274"/>
      <c r="O843" s="333"/>
      <c r="P843" s="38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6.5" thickTop="1">
      <c r="A844" s="1"/>
      <c r="B844" s="1"/>
      <c r="C844" s="12"/>
      <c r="D844" s="12"/>
      <c r="E844" s="200"/>
      <c r="F844" s="2"/>
      <c r="G844" s="2"/>
      <c r="H844" s="2"/>
      <c r="I844" s="216" t="s">
        <v>13</v>
      </c>
      <c r="J844" s="1"/>
      <c r="K844" s="2" t="s">
        <v>13</v>
      </c>
      <c r="M844" s="11"/>
      <c r="N844" s="11"/>
      <c r="O844" s="38"/>
      <c r="P844" s="38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>
      <c r="A845" s="1"/>
      <c r="B845" s="1"/>
      <c r="C845" s="12"/>
      <c r="D845" s="12"/>
      <c r="E845" s="200"/>
      <c r="F845" s="2"/>
      <c r="G845" s="2"/>
      <c r="H845" s="2"/>
      <c r="I845" s="200"/>
      <c r="J845" s="1"/>
      <c r="K845" s="243"/>
      <c r="M845" s="11"/>
      <c r="N845" s="11"/>
      <c r="O845" s="38"/>
      <c r="P845" s="38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>
      <c r="A846" s="156" t="s">
        <v>280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11"/>
      <c r="N846" s="11"/>
      <c r="O846" s="38"/>
      <c r="P846" s="38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>
      <c r="A847" s="172" t="s">
        <v>284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11"/>
      <c r="N847" s="11"/>
      <c r="O847" s="38"/>
      <c r="P847" s="38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>
      <c r="A848" s="186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11"/>
      <c r="N848" s="11"/>
      <c r="O848" s="38"/>
      <c r="P848" s="38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>
      <c r="A849" s="186" t="s">
        <v>197</v>
      </c>
      <c r="B849" s="1"/>
      <c r="C849" s="182"/>
      <c r="D849" s="182"/>
      <c r="E849" s="2"/>
      <c r="F849" s="2"/>
      <c r="G849" s="1"/>
      <c r="H849" s="1"/>
      <c r="I849" s="2"/>
      <c r="J849" s="1"/>
      <c r="K849" s="1"/>
      <c r="M849" s="11"/>
      <c r="N849" s="11"/>
      <c r="O849" s="38"/>
      <c r="P849" s="38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>
      <c r="A850" s="186" t="s">
        <v>275</v>
      </c>
      <c r="B850" s="1"/>
      <c r="C850" s="182">
        <f>24+336</f>
        <v>360</v>
      </c>
      <c r="D850" s="182">
        <v>375</v>
      </c>
      <c r="E850" s="200">
        <f>$E$794</f>
        <v>1205</v>
      </c>
      <c r="F850" s="200"/>
      <c r="G850" s="2">
        <f>ROUND(E850*$C850,0)</f>
        <v>433800</v>
      </c>
      <c r="H850" s="2">
        <f>ROUND(E850*$D850,0)</f>
        <v>451875</v>
      </c>
      <c r="I850" s="200">
        <f>$I$794</f>
        <v>1330</v>
      </c>
      <c r="J850" s="184"/>
      <c r="K850" s="2">
        <f>ROUND(I850*$C850,0)</f>
        <v>478800</v>
      </c>
      <c r="M850" s="11"/>
      <c r="N850" s="11"/>
      <c r="O850" s="38"/>
      <c r="P850" s="38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>
      <c r="A851" s="186" t="s">
        <v>276</v>
      </c>
      <c r="B851" s="1"/>
      <c r="C851" s="182">
        <f>24+25-C878</f>
        <v>37</v>
      </c>
      <c r="D851" s="182">
        <v>38</v>
      </c>
      <c r="E851" s="200">
        <f>$E$795</f>
        <v>1450</v>
      </c>
      <c r="F851" s="200"/>
      <c r="G851" s="2">
        <f>ROUND(E851*$C851,0)</f>
        <v>53650</v>
      </c>
      <c r="H851" s="2">
        <f>ROUND(E851*$D851,0)</f>
        <v>55100</v>
      </c>
      <c r="I851" s="200">
        <f>$I$795</f>
        <v>1600</v>
      </c>
      <c r="J851" s="187"/>
      <c r="K851" s="2">
        <f>ROUND(I851*$C851,0)</f>
        <v>59200</v>
      </c>
      <c r="M851" s="11"/>
      <c r="N851" s="11"/>
      <c r="O851" s="38"/>
      <c r="P851" s="38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>
      <c r="A852" s="186" t="s">
        <v>198</v>
      </c>
      <c r="B852" s="1"/>
      <c r="C852" s="182">
        <f>SUM(C850:C851)</f>
        <v>397</v>
      </c>
      <c r="D852" s="182">
        <f>SUM(D850:D851)</f>
        <v>413</v>
      </c>
      <c r="E852" s="200" t="s">
        <v>13</v>
      </c>
      <c r="F852" s="200"/>
      <c r="G852" s="2" t="s">
        <v>13</v>
      </c>
      <c r="H852" s="2" t="s">
        <v>13</v>
      </c>
      <c r="I852" s="200" t="s">
        <v>13</v>
      </c>
      <c r="J852" s="184"/>
      <c r="K852" s="2" t="s">
        <v>13</v>
      </c>
      <c r="M852" s="11"/>
      <c r="N852" s="11"/>
      <c r="O852" s="38"/>
      <c r="P852" s="38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>
      <c r="A853" s="186" t="s">
        <v>277</v>
      </c>
      <c r="B853" s="1"/>
      <c r="C853" s="182">
        <f>28129+470163</f>
        <v>498292</v>
      </c>
      <c r="D853" s="182">
        <f>ROUND(($D$869/$C$869)*C853,0)</f>
        <v>1316574</v>
      </c>
      <c r="E853" s="200">
        <f>$E$797</f>
        <v>0.91</v>
      </c>
      <c r="F853" s="200"/>
      <c r="G853" s="2">
        <f>ROUND(E853*$C853,0)</f>
        <v>453446</v>
      </c>
      <c r="H853" s="2">
        <f>ROUND(E853*$D853,0)</f>
        <v>1198082</v>
      </c>
      <c r="I853" s="200">
        <f>$I$797</f>
        <v>1.01</v>
      </c>
      <c r="J853" s="184"/>
      <c r="K853" s="2">
        <f>ROUND(I853*$C853,0)</f>
        <v>503275</v>
      </c>
      <c r="M853" s="11"/>
      <c r="N853" s="11"/>
      <c r="O853" s="38"/>
      <c r="P853" s="38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>
      <c r="A854" s="186" t="s">
        <v>278</v>
      </c>
      <c r="B854" s="1"/>
      <c r="C854" s="182">
        <f>724727+108147-C881</f>
        <v>167081</v>
      </c>
      <c r="D854" s="182">
        <f>ROUND(($D$869/$C$869)*C854,0)</f>
        <v>441457</v>
      </c>
      <c r="E854" s="200">
        <f>$E$798</f>
        <v>0.83</v>
      </c>
      <c r="F854" s="200"/>
      <c r="G854" s="2">
        <f>ROUND(E854*$C854,0)</f>
        <v>138677</v>
      </c>
      <c r="H854" s="2">
        <f>ROUND(E854*$D854,0)</f>
        <v>366409</v>
      </c>
      <c r="I854" s="200">
        <f>$I$798</f>
        <v>0.92</v>
      </c>
      <c r="J854" s="184"/>
      <c r="K854" s="2">
        <f>ROUND(I854*$C854,0)</f>
        <v>153715</v>
      </c>
      <c r="M854" s="11"/>
      <c r="N854" s="11"/>
      <c r="O854" s="38"/>
      <c r="P854" s="38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>
      <c r="A855" s="172" t="s">
        <v>207</v>
      </c>
      <c r="B855" s="1"/>
      <c r="C855" s="182">
        <f>23089+708283+406336+98202-C882</f>
        <v>583284</v>
      </c>
      <c r="D855" s="182">
        <f>ROUND(($D$869/$C$869)*C855,0)</f>
        <v>1541137</v>
      </c>
      <c r="E855" s="200">
        <f>$E$799</f>
        <v>6.03</v>
      </c>
      <c r="F855" s="200"/>
      <c r="G855" s="2">
        <f>ROUND(E855*$C855,0)</f>
        <v>3517203</v>
      </c>
      <c r="H855" s="2">
        <f>ROUND(E855*$D855,0)</f>
        <v>9293056</v>
      </c>
      <c r="I855" s="200">
        <f>$I$799</f>
        <v>6.53</v>
      </c>
      <c r="J855" s="184"/>
      <c r="K855" s="2">
        <f>ROUND(I855*$C855,0)</f>
        <v>3808845</v>
      </c>
      <c r="M855" s="11"/>
      <c r="N855" s="11"/>
      <c r="O855" s="38"/>
      <c r="P855" s="38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>
      <c r="A856" s="186" t="s">
        <v>230</v>
      </c>
      <c r="B856" s="1"/>
      <c r="C856" s="182"/>
      <c r="D856" s="182"/>
      <c r="E856" s="200" t="s">
        <v>13</v>
      </c>
      <c r="F856" s="200"/>
      <c r="G856" s="2"/>
      <c r="H856" s="2"/>
      <c r="I856" s="200" t="s">
        <v>13</v>
      </c>
      <c r="J856" s="184"/>
      <c r="K856" s="2"/>
      <c r="M856" s="11"/>
      <c r="N856" s="11"/>
      <c r="O856" s="38"/>
      <c r="P856" s="38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>
      <c r="A857" s="186" t="s">
        <v>268</v>
      </c>
      <c r="B857" s="1"/>
      <c r="C857" s="182">
        <f>5533801+468455800+177233604+55674401-C884</f>
        <v>269572806</v>
      </c>
      <c r="D857" s="182">
        <f>ROUND(($D$869/$C$869)*C857,0)</f>
        <v>712258072</v>
      </c>
      <c r="E857" s="258">
        <f>$E$801</f>
        <v>3.4990000000000001</v>
      </c>
      <c r="F857" s="184" t="s">
        <v>178</v>
      </c>
      <c r="G857" s="2">
        <f>ROUND(E857/100*$C857,0)</f>
        <v>9432352</v>
      </c>
      <c r="H857" s="2">
        <f>ROUND(E857/100*$D857,0)</f>
        <v>24921910</v>
      </c>
      <c r="I857" s="258">
        <f>$I$801</f>
        <v>3.8719999999999999</v>
      </c>
      <c r="J857" s="184" t="s">
        <v>178</v>
      </c>
      <c r="K857" s="2">
        <f>ROUND(I857/100*$C857,0)</f>
        <v>10437859</v>
      </c>
      <c r="M857" s="11"/>
      <c r="N857" s="11"/>
      <c r="O857" s="38"/>
      <c r="P857" s="38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>
      <c r="A858" s="186" t="s">
        <v>204</v>
      </c>
      <c r="B858" s="1"/>
      <c r="C858" s="182">
        <f>6402+185242+134464+26312-C885</f>
        <v>183204</v>
      </c>
      <c r="D858" s="182">
        <f>ROUND(($D$869/$C$869)*C858,0)</f>
        <v>484057</v>
      </c>
      <c r="E858" s="200">
        <f>$E$802</f>
        <v>0.45</v>
      </c>
      <c r="F858" s="184"/>
      <c r="G858" s="2">
        <f>ROUND(E858*$C858,0)</f>
        <v>82442</v>
      </c>
      <c r="H858" s="2">
        <f>ROUND(E858*$D858,0)</f>
        <v>217826</v>
      </c>
      <c r="I858" s="200">
        <f>$I$802</f>
        <v>0.5</v>
      </c>
      <c r="J858" s="184"/>
      <c r="K858" s="2">
        <f>ROUND(I858*$C858,0)</f>
        <v>91602</v>
      </c>
      <c r="M858" s="11"/>
      <c r="N858" s="11"/>
      <c r="O858" s="38"/>
      <c r="P858" s="38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>
      <c r="A859" s="223" t="s">
        <v>205</v>
      </c>
      <c r="B859" s="1"/>
      <c r="C859" s="182"/>
      <c r="D859" s="182"/>
      <c r="E859" s="195">
        <v>-0.01</v>
      </c>
      <c r="F859" s="195"/>
      <c r="G859" s="2"/>
      <c r="H859" s="2"/>
      <c r="I859" s="195">
        <v>-0.01</v>
      </c>
      <c r="J859" s="224"/>
      <c r="K859" s="2"/>
      <c r="M859" s="11"/>
      <c r="N859" s="11"/>
      <c r="O859" s="38"/>
      <c r="P859" s="38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>
      <c r="A860" s="186" t="s">
        <v>275</v>
      </c>
      <c r="B860" s="1"/>
      <c r="C860" s="182">
        <v>24</v>
      </c>
      <c r="D860" s="182">
        <v>25</v>
      </c>
      <c r="E860" s="197">
        <f>E850</f>
        <v>1205</v>
      </c>
      <c r="F860" s="197"/>
      <c r="G860" s="184">
        <f>ROUND(E860*$C860*$E$803,0)</f>
        <v>-289</v>
      </c>
      <c r="H860" s="184">
        <f>ROUND(E860*$D860*$E$803,0)</f>
        <v>-301</v>
      </c>
      <c r="I860" s="197">
        <f>I850</f>
        <v>1330</v>
      </c>
      <c r="J860" s="184"/>
      <c r="K860" s="184">
        <f>ROUND(I860*$C860*$E$803,0)</f>
        <v>-319</v>
      </c>
      <c r="M860" s="11"/>
      <c r="N860" s="11"/>
      <c r="O860" s="38"/>
      <c r="P860" s="38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>
      <c r="A861" s="186" t="s">
        <v>276</v>
      </c>
      <c r="B861" s="1"/>
      <c r="C861" s="182">
        <f>24-C888</f>
        <v>12</v>
      </c>
      <c r="D861" s="182">
        <v>12</v>
      </c>
      <c r="E861" s="197">
        <f>E851</f>
        <v>1450</v>
      </c>
      <c r="F861" s="197"/>
      <c r="G861" s="184">
        <f>ROUND(E861*$C861*$E$803,0)</f>
        <v>-174</v>
      </c>
      <c r="H861" s="184">
        <f>ROUND(E861*$D861*$E$803,0)</f>
        <v>-174</v>
      </c>
      <c r="I861" s="197">
        <f>I851</f>
        <v>1600</v>
      </c>
      <c r="J861" s="184"/>
      <c r="K861" s="184">
        <f>ROUND(I861*$C861*$E$803,0)</f>
        <v>-192</v>
      </c>
      <c r="M861" s="11"/>
      <c r="N861" s="11"/>
      <c r="O861" s="38"/>
      <c r="P861" s="38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>
      <c r="A862" s="186" t="s">
        <v>277</v>
      </c>
      <c r="B862" s="1"/>
      <c r="C862" s="182">
        <v>28129</v>
      </c>
      <c r="D862" s="182">
        <f>ROUND(($D$869/$C$869)*C862,0)</f>
        <v>74322</v>
      </c>
      <c r="E862" s="197">
        <f>E853</f>
        <v>0.91</v>
      </c>
      <c r="F862" s="197"/>
      <c r="G862" s="184">
        <f>ROUND(E862*$C862*$E$803,0)</f>
        <v>-256</v>
      </c>
      <c r="H862" s="184">
        <f>ROUND(E862*$D862*$E$803,0)</f>
        <v>-676</v>
      </c>
      <c r="I862" s="197">
        <f>I853</f>
        <v>1.01</v>
      </c>
      <c r="J862" s="184"/>
      <c r="K862" s="184">
        <f>ROUND(I862*$C862*$E$803,0)</f>
        <v>-284</v>
      </c>
      <c r="M862" s="11"/>
      <c r="N862" s="11"/>
      <c r="O862" s="38"/>
      <c r="P862" s="38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>
      <c r="A863" s="186" t="s">
        <v>278</v>
      </c>
      <c r="B863" s="1"/>
      <c r="C863" s="182">
        <f>724727-C881</f>
        <v>58934</v>
      </c>
      <c r="D863" s="182">
        <f>ROUND(($D$869/$C$869)*C863,0)</f>
        <v>155714</v>
      </c>
      <c r="E863" s="197">
        <f>E854</f>
        <v>0.83</v>
      </c>
      <c r="F863" s="197"/>
      <c r="G863" s="184">
        <f>ROUND(E863*$C863*$E$803,0)</f>
        <v>-489</v>
      </c>
      <c r="H863" s="184">
        <f>ROUND(E863*$D863*$E$803,0)</f>
        <v>-1292</v>
      </c>
      <c r="I863" s="197">
        <f>I854</f>
        <v>0.92</v>
      </c>
      <c r="J863" s="184"/>
      <c r="K863" s="184">
        <f>ROUND(I863*$C863*$E$803,0)</f>
        <v>-542</v>
      </c>
      <c r="M863" s="11"/>
      <c r="N863" s="11"/>
      <c r="O863" s="38"/>
      <c r="P863" s="38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>
      <c r="A864" s="172" t="s">
        <v>207</v>
      </c>
      <c r="B864" s="243"/>
      <c r="C864" s="182">
        <f>23089+708283-C882</f>
        <v>78746</v>
      </c>
      <c r="D864" s="182">
        <f>ROUND(($D$869/$C$869)*C864,0)</f>
        <v>208061</v>
      </c>
      <c r="E864" s="197">
        <f>E855</f>
        <v>6.03</v>
      </c>
      <c r="F864" s="200"/>
      <c r="G864" s="184">
        <f>ROUND(E864*$C864*$E$803,0)</f>
        <v>-4748</v>
      </c>
      <c r="H864" s="184">
        <f>ROUND(E864*$D864*$E$803,0)</f>
        <v>-12546</v>
      </c>
      <c r="I864" s="197">
        <f>I855</f>
        <v>6.53</v>
      </c>
      <c r="J864" s="184"/>
      <c r="K864" s="184">
        <f>ROUND(I864*$C864*$E$803,0)</f>
        <v>-5142</v>
      </c>
      <c r="M864" s="11"/>
      <c r="N864" s="11"/>
      <c r="O864" s="38"/>
      <c r="P864" s="38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>
      <c r="A865" s="186" t="s">
        <v>268</v>
      </c>
      <c r="B865" s="1"/>
      <c r="C865" s="182">
        <f>5533801+468455800-C884</f>
        <v>36664801</v>
      </c>
      <c r="D865" s="182">
        <f>ROUND(($D$869/$C$869)*C865,0)</f>
        <v>96874759</v>
      </c>
      <c r="E865" s="198">
        <f>E857</f>
        <v>3.4990000000000001</v>
      </c>
      <c r="F865" s="184" t="s">
        <v>178</v>
      </c>
      <c r="G865" s="184">
        <f>ROUND(E865/100*$C865*$E$803,0)</f>
        <v>-12829</v>
      </c>
      <c r="H865" s="184">
        <f>ROUND(E865/100*$D865*$E$803,0)</f>
        <v>-33896</v>
      </c>
      <c r="I865" s="198">
        <f>I857</f>
        <v>3.8719999999999999</v>
      </c>
      <c r="J865" s="184" t="s">
        <v>178</v>
      </c>
      <c r="K865" s="184">
        <f>ROUND(I865/100*$C865*$E$803,0)</f>
        <v>-14197</v>
      </c>
      <c r="M865" s="11"/>
      <c r="N865" s="11"/>
      <c r="O865" s="38"/>
      <c r="P865" s="38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>
      <c r="A866" s="186" t="s">
        <v>204</v>
      </c>
      <c r="B866" s="1"/>
      <c r="C866" s="182">
        <f>6402+185242-C885</f>
        <v>22428</v>
      </c>
      <c r="D866" s="182">
        <f>ROUND(($D$869/$C$869)*C866,0)</f>
        <v>59259</v>
      </c>
      <c r="E866" s="247">
        <f>E858</f>
        <v>0.45</v>
      </c>
      <c r="F866" s="184"/>
      <c r="G866" s="184">
        <f>ROUND(E866*$C866*$E$803,0)</f>
        <v>-101</v>
      </c>
      <c r="H866" s="184">
        <f>ROUND(E866*$D866*$E$803,0)</f>
        <v>-267</v>
      </c>
      <c r="I866" s="247">
        <f>I858</f>
        <v>0.5</v>
      </c>
      <c r="J866" s="184"/>
      <c r="K866" s="184">
        <f>ROUND(I866*$C866*$E$803,0)</f>
        <v>-112</v>
      </c>
      <c r="M866" s="11"/>
      <c r="N866" s="11"/>
      <c r="O866" s="38"/>
      <c r="P866" s="38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>
      <c r="A867" s="172" t="s">
        <v>279</v>
      </c>
      <c r="B867" s="1"/>
      <c r="C867" s="182">
        <f>24+24-C894</f>
        <v>36</v>
      </c>
      <c r="D867" s="182">
        <v>37</v>
      </c>
      <c r="E867" s="200">
        <f>$E$811</f>
        <v>60</v>
      </c>
      <c r="F867" s="200"/>
      <c r="G867" s="184">
        <f>ROUND(E867*$C867,0)</f>
        <v>2160</v>
      </c>
      <c r="H867" s="184">
        <f>ROUND(E867*$D867,0)</f>
        <v>2220</v>
      </c>
      <c r="I867" s="200">
        <f>$I$811</f>
        <v>60</v>
      </c>
      <c r="J867" s="184"/>
      <c r="K867" s="184">
        <f>ROUND(I867*$C867,0)</f>
        <v>2160</v>
      </c>
      <c r="M867" s="11"/>
      <c r="N867" s="11"/>
      <c r="O867" s="38"/>
      <c r="P867" s="38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>
      <c r="A868" s="172" t="s">
        <v>248</v>
      </c>
      <c r="B868" s="1"/>
      <c r="C868" s="182">
        <f>28129+724727-C895</f>
        <v>87063</v>
      </c>
      <c r="D868" s="182">
        <f>ROUND(($D$869/$C$869)*C868,0)</f>
        <v>230036</v>
      </c>
      <c r="E868" s="200">
        <f>$E$812</f>
        <v>-0.75</v>
      </c>
      <c r="F868" s="184"/>
      <c r="G868" s="184">
        <f>ROUND(E868*$C868,0)</f>
        <v>-65297</v>
      </c>
      <c r="H868" s="184">
        <f>ROUND(E868*$D868,0)</f>
        <v>-172527</v>
      </c>
      <c r="I868" s="200">
        <f>$I$812</f>
        <v>-0.75</v>
      </c>
      <c r="J868" s="184"/>
      <c r="K868" s="184">
        <f>ROUND(I868*$C868,0)</f>
        <v>-65297</v>
      </c>
      <c r="M868" s="11"/>
      <c r="N868" s="11"/>
      <c r="O868" s="38"/>
      <c r="P868" s="38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>
      <c r="A869" s="1" t="s">
        <v>185</v>
      </c>
      <c r="B869" s="1"/>
      <c r="C869" s="182">
        <f>C857</f>
        <v>269572806</v>
      </c>
      <c r="D869" s="182">
        <v>712258072.33019459</v>
      </c>
      <c r="E869" s="193"/>
      <c r="F869" s="2"/>
      <c r="G869" s="2">
        <f>SUM(G850:G868)</f>
        <v>14029547</v>
      </c>
      <c r="H869" s="2">
        <f>SUM(H850:H868)</f>
        <v>36284799</v>
      </c>
      <c r="I869" s="193"/>
      <c r="J869" s="1"/>
      <c r="K869" s="2">
        <f>SUM(K850:K868)</f>
        <v>15449371</v>
      </c>
      <c r="M869" s="11"/>
      <c r="N869" s="11"/>
      <c r="O869" s="38"/>
      <c r="P869" s="38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>
      <c r="A870" s="1" t="s">
        <v>167</v>
      </c>
      <c r="B870" s="1"/>
      <c r="C870" s="182" t="e">
        <f>#REF!</f>
        <v>#REF!</v>
      </c>
      <c r="D870" s="182">
        <v>0</v>
      </c>
      <c r="E870" s="172"/>
      <c r="F870" s="172"/>
      <c r="G870" s="204" t="e">
        <f>#REF!</f>
        <v>#REF!</v>
      </c>
      <c r="H870" s="204">
        <v>0</v>
      </c>
      <c r="I870" s="172"/>
      <c r="J870" s="172"/>
      <c r="K870" s="204" t="e">
        <f>G870</f>
        <v>#REF!</v>
      </c>
      <c r="M870" s="307"/>
      <c r="N870" s="307"/>
      <c r="O870" s="150"/>
      <c r="P870" s="38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6.5" thickBot="1">
      <c r="A871" s="1" t="s">
        <v>186</v>
      </c>
      <c r="B871" s="1"/>
      <c r="C871" s="256" t="e">
        <f>SUM(C869)+C870</f>
        <v>#REF!</v>
      </c>
      <c r="D871" s="256">
        <f>SUM(D857)+D870</f>
        <v>712258072</v>
      </c>
      <c r="E871" s="205"/>
      <c r="F871" s="206"/>
      <c r="G871" s="207" t="e">
        <f>G869+G870</f>
        <v>#REF!</v>
      </c>
      <c r="H871" s="207">
        <f>H869+H870</f>
        <v>36284799</v>
      </c>
      <c r="I871" s="205"/>
      <c r="J871" s="208"/>
      <c r="K871" s="207" t="e">
        <f>K869+K870</f>
        <v>#REF!</v>
      </c>
      <c r="M871" s="274"/>
      <c r="N871" s="274"/>
      <c r="O871" s="333"/>
      <c r="P871" s="38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6.5" thickTop="1">
      <c r="A872" s="1"/>
      <c r="B872" s="1"/>
      <c r="C872" s="12"/>
      <c r="D872" s="12"/>
      <c r="E872" s="200"/>
      <c r="F872" s="2"/>
      <c r="G872" s="2"/>
      <c r="H872" s="2"/>
      <c r="I872" s="216" t="s">
        <v>13</v>
      </c>
      <c r="J872" s="1"/>
      <c r="K872" s="2" t="s">
        <v>13</v>
      </c>
      <c r="M872" s="11"/>
      <c r="N872" s="11"/>
      <c r="O872" s="38"/>
      <c r="P872" s="38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>
      <c r="A873" s="156" t="s">
        <v>378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11"/>
      <c r="N873" s="11"/>
      <c r="O873" s="38"/>
      <c r="P873" s="38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>
      <c r="A874" s="172" t="s">
        <v>411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11"/>
      <c r="N874" s="11"/>
      <c r="O874" s="38"/>
      <c r="P874" s="38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>
      <c r="A875" s="186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11"/>
      <c r="N875" s="11"/>
      <c r="O875" s="38"/>
      <c r="P875" s="38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>
      <c r="A876" s="186" t="s">
        <v>197</v>
      </c>
      <c r="B876" s="1"/>
      <c r="C876" s="182"/>
      <c r="D876" s="182"/>
      <c r="E876" s="2"/>
      <c r="F876" s="2"/>
      <c r="G876" s="1"/>
      <c r="H876" s="1"/>
      <c r="I876" s="2"/>
      <c r="J876" s="1"/>
      <c r="K876" s="1"/>
      <c r="M876" s="11"/>
      <c r="N876" s="11"/>
      <c r="P876" s="38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>
      <c r="A877" s="186" t="s">
        <v>275</v>
      </c>
      <c r="B877" s="1"/>
      <c r="C877" s="182">
        <v>0</v>
      </c>
      <c r="D877" s="182">
        <v>0</v>
      </c>
      <c r="E877" s="200">
        <f>$E$766</f>
        <v>1205</v>
      </c>
      <c r="F877" s="200"/>
      <c r="G877" s="2">
        <f>ROUND(E877*$C877,0)</f>
        <v>0</v>
      </c>
      <c r="H877" s="2">
        <f>ROUND(E877*$D877,0)</f>
        <v>0</v>
      </c>
      <c r="I877" s="200">
        <v>1330</v>
      </c>
      <c r="J877" s="184"/>
      <c r="K877" s="2">
        <f>ROUND(I877*$C877,0)</f>
        <v>0</v>
      </c>
      <c r="M877" s="11"/>
      <c r="N877" s="11"/>
      <c r="O877" s="8">
        <f>(I877-E877)/E877</f>
        <v>0.1037344398340249</v>
      </c>
      <c r="P877" s="38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>
      <c r="A878" s="186" t="s">
        <v>276</v>
      </c>
      <c r="B878" s="1"/>
      <c r="C878" s="182">
        <v>12</v>
      </c>
      <c r="D878" s="182">
        <v>12</v>
      </c>
      <c r="E878" s="200">
        <f>$E$767</f>
        <v>1450</v>
      </c>
      <c r="F878" s="200"/>
      <c r="G878" s="2">
        <f>ROUND(E878*$C878,0)</f>
        <v>17400</v>
      </c>
      <c r="H878" s="2">
        <f>ROUND(E878*$D878,0)</f>
        <v>17400</v>
      </c>
      <c r="I878" s="200">
        <v>1550</v>
      </c>
      <c r="J878" s="187"/>
      <c r="K878" s="2">
        <f>ROUND(I878*$C878,0)</f>
        <v>18600</v>
      </c>
      <c r="M878" s="11"/>
      <c r="N878" s="11"/>
      <c r="O878" s="8">
        <f>(I878-E878)/E878</f>
        <v>6.8965517241379309E-2</v>
      </c>
      <c r="P878" s="38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>
      <c r="A879" s="186" t="s">
        <v>198</v>
      </c>
      <c r="B879" s="1"/>
      <c r="C879" s="182">
        <f>SUM(C877:C878)</f>
        <v>12</v>
      </c>
      <c r="D879" s="182">
        <v>12</v>
      </c>
      <c r="E879" s="200" t="s">
        <v>13</v>
      </c>
      <c r="F879" s="200"/>
      <c r="G879" s="2" t="s">
        <v>13</v>
      </c>
      <c r="H879" s="2" t="s">
        <v>13</v>
      </c>
      <c r="I879" s="200" t="s">
        <v>13</v>
      </c>
      <c r="J879" s="184"/>
      <c r="K879" s="2" t="s">
        <v>13</v>
      </c>
      <c r="M879" s="11"/>
      <c r="N879" s="11"/>
      <c r="O879" s="183"/>
      <c r="P879" s="38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>
      <c r="A880" s="186" t="s">
        <v>277</v>
      </c>
      <c r="B880" s="1"/>
      <c r="C880" s="182">
        <v>0</v>
      </c>
      <c r="D880" s="182">
        <v>0</v>
      </c>
      <c r="E880" s="200">
        <f>$E$769</f>
        <v>0.91</v>
      </c>
      <c r="F880" s="200"/>
      <c r="G880" s="2">
        <f>ROUND(E880*$C880,0)</f>
        <v>0</v>
      </c>
      <c r="H880" s="2">
        <f>ROUND(E880*$D880,0)</f>
        <v>0</v>
      </c>
      <c r="I880" s="200">
        <v>1.01</v>
      </c>
      <c r="J880" s="184"/>
      <c r="K880" s="2">
        <f>ROUND(I880*$C880,0)</f>
        <v>0</v>
      </c>
      <c r="M880" s="11"/>
      <c r="N880" s="11"/>
      <c r="O880" s="8">
        <f>(I880-E880)/E880</f>
        <v>0.10989010989010986</v>
      </c>
      <c r="P880" s="38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>
      <c r="A881" s="186" t="s">
        <v>278</v>
      </c>
      <c r="B881" s="1"/>
      <c r="C881" s="182">
        <v>665793</v>
      </c>
      <c r="D881" s="182">
        <f>ROUND(($D$896/$C$896)*C881,0)</f>
        <v>40311</v>
      </c>
      <c r="E881" s="200">
        <f>$E$770</f>
        <v>0.83</v>
      </c>
      <c r="F881" s="200"/>
      <c r="G881" s="2">
        <f>ROUND(E881*$C881,0)</f>
        <v>552608</v>
      </c>
      <c r="H881" s="2">
        <f>ROUND(E881*$D881,0)</f>
        <v>33458</v>
      </c>
      <c r="I881" s="200">
        <v>0.88</v>
      </c>
      <c r="J881" s="184"/>
      <c r="K881" s="2">
        <f>ROUND(I881*$C881,0)</f>
        <v>585898</v>
      </c>
      <c r="M881" s="11"/>
      <c r="N881" s="11"/>
      <c r="O881" s="8">
        <f>(I881-E881)/E881</f>
        <v>6.0240963855421742E-2</v>
      </c>
      <c r="P881" s="38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>
      <c r="A882" s="172" t="s">
        <v>207</v>
      </c>
      <c r="B882" s="1"/>
      <c r="C882" s="182">
        <v>652626</v>
      </c>
      <c r="D882" s="182">
        <f>ROUND(($D$896/$C$896)*C882,0)</f>
        <v>39514</v>
      </c>
      <c r="E882" s="200">
        <f>$E$771</f>
        <v>6.03</v>
      </c>
      <c r="F882" s="200"/>
      <c r="G882" s="2">
        <f>ROUND(E882*$C882,0)</f>
        <v>3935335</v>
      </c>
      <c r="H882" s="2">
        <f>ROUND(E882*$D882,0)</f>
        <v>238269</v>
      </c>
      <c r="I882" s="200">
        <v>6.54</v>
      </c>
      <c r="J882" s="184"/>
      <c r="K882" s="2">
        <f>ROUND(I882*$C882,0)</f>
        <v>4268174</v>
      </c>
      <c r="M882" s="11"/>
      <c r="N882" s="11"/>
      <c r="O882" s="8">
        <f>(I882-E882)/E882</f>
        <v>8.4577114427860658E-2</v>
      </c>
      <c r="P882" s="38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>
      <c r="A883" s="186" t="s">
        <v>230</v>
      </c>
      <c r="B883" s="1"/>
      <c r="C883" s="138" t="s">
        <v>13</v>
      </c>
      <c r="D883" s="182"/>
      <c r="E883" s="200" t="s">
        <v>13</v>
      </c>
      <c r="F883" s="200"/>
      <c r="G883" s="2"/>
      <c r="H883" s="2"/>
      <c r="I883" s="200" t="s">
        <v>13</v>
      </c>
      <c r="J883" s="184"/>
      <c r="K883" s="2"/>
      <c r="M883" s="11"/>
      <c r="N883" s="11"/>
      <c r="O883" s="183"/>
      <c r="P883" s="38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>
      <c r="A884" s="186" t="s">
        <v>268</v>
      </c>
      <c r="B884" s="1"/>
      <c r="C884" s="182">
        <v>437324800</v>
      </c>
      <c r="D884" s="182">
        <f>ROUND(($D$896/$C$896)*C884,0)</f>
        <v>26478236</v>
      </c>
      <c r="E884" s="258">
        <f>$E$773</f>
        <v>3.4990000000000001</v>
      </c>
      <c r="F884" s="184" t="s">
        <v>178</v>
      </c>
      <c r="G884" s="2">
        <f>ROUND(E884/100*$C884,0)</f>
        <v>15301995</v>
      </c>
      <c r="H884" s="2">
        <f>ROUND(E884/100*$D884,0)</f>
        <v>926473</v>
      </c>
      <c r="I884" s="258">
        <v>3.8660000000000001</v>
      </c>
      <c r="J884" s="184" t="s">
        <v>178</v>
      </c>
      <c r="K884" s="2">
        <f>ROUND(I884/100*$C884,0)</f>
        <v>16906977</v>
      </c>
      <c r="M884" s="11"/>
      <c r="N884" s="11"/>
      <c r="O884" s="8">
        <f>(I884-E884)/E884</f>
        <v>0.10488711060302944</v>
      </c>
      <c r="P884" s="38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>
      <c r="A885" s="186" t="s">
        <v>204</v>
      </c>
      <c r="B885" s="1"/>
      <c r="C885" s="182">
        <v>169216</v>
      </c>
      <c r="D885" s="182">
        <f>ROUND(($D$896/$C$896)*C885,0)</f>
        <v>10245</v>
      </c>
      <c r="E885" s="200">
        <f>$E$774</f>
        <v>0.45</v>
      </c>
      <c r="F885" s="184"/>
      <c r="G885" s="2">
        <f>ROUND(E885*$C885,0)</f>
        <v>76147</v>
      </c>
      <c r="H885" s="2">
        <f>ROUND(E885*$D885,0)</f>
        <v>4610</v>
      </c>
      <c r="I885" s="200">
        <v>0.5</v>
      </c>
      <c r="J885" s="184"/>
      <c r="K885" s="2">
        <f>ROUND(I885*$C885,0)</f>
        <v>84608</v>
      </c>
      <c r="M885" s="11"/>
      <c r="N885" s="11"/>
      <c r="O885" s="8">
        <f>(I885-E885)/E885</f>
        <v>0.11111111111111108</v>
      </c>
      <c r="P885" s="38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>
      <c r="A886" s="223" t="s">
        <v>205</v>
      </c>
      <c r="B886" s="1"/>
      <c r="C886" s="182"/>
      <c r="D886" s="182"/>
      <c r="E886" s="195">
        <v>-0.01</v>
      </c>
      <c r="F886" s="195"/>
      <c r="G886" s="2"/>
      <c r="H886" s="2"/>
      <c r="I886" s="195">
        <v>-0.01</v>
      </c>
      <c r="J886" s="224"/>
      <c r="K886" s="2"/>
      <c r="M886" s="11"/>
      <c r="N886" s="11"/>
      <c r="O886" s="38"/>
      <c r="P886" s="38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>
      <c r="A887" s="186" t="s">
        <v>275</v>
      </c>
      <c r="B887" s="1"/>
      <c r="C887" s="182">
        <v>0</v>
      </c>
      <c r="D887" s="182">
        <v>0</v>
      </c>
      <c r="E887" s="197">
        <f>E877</f>
        <v>1205</v>
      </c>
      <c r="F887" s="197"/>
      <c r="G887" s="184">
        <f>ROUND(E887*$C887*$E$803,0)</f>
        <v>0</v>
      </c>
      <c r="H887" s="184">
        <f>ROUND(E887*$D887*$E$803,0)</f>
        <v>0</v>
      </c>
      <c r="I887" s="197">
        <f>I877</f>
        <v>1330</v>
      </c>
      <c r="J887" s="184"/>
      <c r="K887" s="184">
        <f>ROUND(I887*$C887*$E$803,0)</f>
        <v>0</v>
      </c>
      <c r="M887" s="11"/>
      <c r="N887" s="11"/>
      <c r="O887" s="38"/>
      <c r="P887" s="38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>
      <c r="A888" s="186" t="s">
        <v>276</v>
      </c>
      <c r="B888" s="1"/>
      <c r="C888" s="182">
        <v>12</v>
      </c>
      <c r="D888" s="182">
        <v>12</v>
      </c>
      <c r="E888" s="197">
        <f>E878</f>
        <v>1450</v>
      </c>
      <c r="F888" s="197"/>
      <c r="G888" s="184">
        <f>ROUND(E888*$C888*$E$803,0)</f>
        <v>-174</v>
      </c>
      <c r="H888" s="184">
        <f>ROUND(E888*$D888*$E$803,0)</f>
        <v>-174</v>
      </c>
      <c r="I888" s="197">
        <f>I878</f>
        <v>1550</v>
      </c>
      <c r="J888" s="184"/>
      <c r="K888" s="184">
        <f>ROUND(I888*$C888*$E$803,0)</f>
        <v>-186</v>
      </c>
      <c r="M888" s="11"/>
      <c r="N888" s="11"/>
      <c r="O888" s="33" t="e">
        <f>O898-K898</f>
        <v>#REF!</v>
      </c>
      <c r="P888" s="38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>
      <c r="A889" s="186" t="s">
        <v>277</v>
      </c>
      <c r="B889" s="1"/>
      <c r="C889" s="182">
        <v>0</v>
      </c>
      <c r="D889" s="182">
        <v>0</v>
      </c>
      <c r="E889" s="197">
        <f>E880</f>
        <v>0.91</v>
      </c>
      <c r="F889" s="197"/>
      <c r="G889" s="184">
        <f>ROUND(E889*$C889*$E$803,0)</f>
        <v>0</v>
      </c>
      <c r="H889" s="184">
        <f>ROUND(E889*$D889*$E$803,0)</f>
        <v>0</v>
      </c>
      <c r="I889" s="197">
        <f>I880</f>
        <v>1.01</v>
      </c>
      <c r="J889" s="184"/>
      <c r="K889" s="184">
        <f>ROUND(I889*$C889*$E$803,0)</f>
        <v>0</v>
      </c>
      <c r="M889" s="11"/>
      <c r="N889" s="11"/>
      <c r="O889" s="38"/>
      <c r="P889" s="38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>
      <c r="A890" s="186" t="s">
        <v>278</v>
      </c>
      <c r="B890" s="1"/>
      <c r="C890" s="182">
        <f>C881</f>
        <v>665793</v>
      </c>
      <c r="D890" s="182">
        <f>ROUND(($D$896/$C$896)*C890,0)</f>
        <v>40311</v>
      </c>
      <c r="E890" s="197">
        <f>E881</f>
        <v>0.83</v>
      </c>
      <c r="F890" s="197"/>
      <c r="G890" s="184">
        <f>ROUND(E890*$C890*$E$803,0)</f>
        <v>-5526</v>
      </c>
      <c r="H890" s="184">
        <f>ROUND(E890*$D890*$E$803,0)</f>
        <v>-335</v>
      </c>
      <c r="I890" s="197">
        <f>I881</f>
        <v>0.88</v>
      </c>
      <c r="J890" s="184"/>
      <c r="K890" s="184">
        <f>ROUND(I890*$C890*$E$803,0)</f>
        <v>-5859</v>
      </c>
      <c r="M890" s="11"/>
      <c r="N890" s="11"/>
      <c r="O890" s="38"/>
      <c r="P890" s="38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>
      <c r="A891" s="172" t="s">
        <v>207</v>
      </c>
      <c r="B891" s="243"/>
      <c r="C891" s="182">
        <f>C882</f>
        <v>652626</v>
      </c>
      <c r="D891" s="182">
        <f>ROUND(($D$896/$C$896)*C891,0)</f>
        <v>39514</v>
      </c>
      <c r="E891" s="197">
        <f>E882</f>
        <v>6.03</v>
      </c>
      <c r="F891" s="200"/>
      <c r="G891" s="184">
        <f>ROUND(E891*$C891*$E$803,0)</f>
        <v>-39353</v>
      </c>
      <c r="H891" s="184">
        <f>ROUND(E891*$D891*$E$803,0)</f>
        <v>-2383</v>
      </c>
      <c r="I891" s="197">
        <f>I882</f>
        <v>6.54</v>
      </c>
      <c r="J891" s="184"/>
      <c r="K891" s="184">
        <f>ROUND(I891*$C891*$E$803,0)</f>
        <v>-42682</v>
      </c>
      <c r="M891" s="11"/>
      <c r="N891" s="11"/>
      <c r="O891" s="38"/>
      <c r="P891" s="38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>
      <c r="A892" s="186" t="s">
        <v>268</v>
      </c>
      <c r="B892" s="1"/>
      <c r="C892" s="182">
        <f>C884</f>
        <v>437324800</v>
      </c>
      <c r="D892" s="182">
        <f>ROUND(($D$896/$C$896)*C892,0)</f>
        <v>26478236</v>
      </c>
      <c r="E892" s="198">
        <f>E884</f>
        <v>3.4990000000000001</v>
      </c>
      <c r="F892" s="184" t="s">
        <v>178</v>
      </c>
      <c r="G892" s="184">
        <f>ROUND(E892/100*$C892*$E$803,0)</f>
        <v>-153020</v>
      </c>
      <c r="H892" s="184">
        <f>ROUND(E892/100*$D892*$E$803,0)</f>
        <v>-9265</v>
      </c>
      <c r="I892" s="198">
        <f>I884</f>
        <v>3.8660000000000001</v>
      </c>
      <c r="J892" s="184" t="s">
        <v>178</v>
      </c>
      <c r="K892" s="184">
        <f>ROUND(I892/100*$C892*$E$803,0)</f>
        <v>-169070</v>
      </c>
      <c r="M892" s="11"/>
      <c r="N892" s="11"/>
      <c r="O892" s="38"/>
      <c r="P892" s="38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>
      <c r="A893" s="186" t="s">
        <v>204</v>
      </c>
      <c r="B893" s="1"/>
      <c r="C893" s="182">
        <f>C885</f>
        <v>169216</v>
      </c>
      <c r="D893" s="182">
        <f>ROUND(($D$896/$C$896)*C893,0)</f>
        <v>10245</v>
      </c>
      <c r="E893" s="247">
        <f>E885</f>
        <v>0.45</v>
      </c>
      <c r="F893" s="184"/>
      <c r="G893" s="184">
        <f>ROUND(E893*$C893*$E$803,0)</f>
        <v>-761</v>
      </c>
      <c r="H893" s="184">
        <f>ROUND(E893*$D893*$E$803,0)</f>
        <v>-46</v>
      </c>
      <c r="I893" s="247">
        <f>I885</f>
        <v>0.5</v>
      </c>
      <c r="J893" s="184"/>
      <c r="K893" s="184">
        <f>ROUND(I893*$C893*$E$803,0)</f>
        <v>-846</v>
      </c>
      <c r="M893" s="11"/>
      <c r="N893" s="11"/>
      <c r="O893" s="38"/>
      <c r="P893" s="38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>
      <c r="A894" s="172" t="s">
        <v>279</v>
      </c>
      <c r="B894" s="1"/>
      <c r="C894" s="182">
        <v>12</v>
      </c>
      <c r="D894" s="182">
        <v>12</v>
      </c>
      <c r="E894" s="200">
        <f>$E$783</f>
        <v>60</v>
      </c>
      <c r="F894" s="200"/>
      <c r="G894" s="184">
        <f>ROUND(E894*$C894,0)</f>
        <v>720</v>
      </c>
      <c r="H894" s="184">
        <f>ROUND(E894*$D894,0)</f>
        <v>720</v>
      </c>
      <c r="I894" s="200">
        <f>$I$783</f>
        <v>60</v>
      </c>
      <c r="J894" s="184"/>
      <c r="K894" s="184">
        <f>ROUND(I894*$C894,0)</f>
        <v>720</v>
      </c>
      <c r="M894" s="11"/>
      <c r="N894" s="11"/>
      <c r="O894" s="38"/>
      <c r="P894" s="38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>
      <c r="A895" s="172" t="s">
        <v>248</v>
      </c>
      <c r="B895" s="1"/>
      <c r="C895" s="182">
        <f>C881</f>
        <v>665793</v>
      </c>
      <c r="D895" s="182">
        <f>ROUND(($D$896/$C$896)*C895,0)</f>
        <v>40311</v>
      </c>
      <c r="E895" s="200">
        <f>$E$784</f>
        <v>-0.75</v>
      </c>
      <c r="F895" s="184"/>
      <c r="G895" s="184">
        <f>ROUND(E895*$C895,0)</f>
        <v>-499345</v>
      </c>
      <c r="H895" s="184">
        <f>ROUND(E895*$D895,0)</f>
        <v>-30233</v>
      </c>
      <c r="I895" s="200">
        <f>$I$784</f>
        <v>-0.75</v>
      </c>
      <c r="J895" s="184"/>
      <c r="K895" s="184">
        <f>ROUND(I895*$C895,0)</f>
        <v>-499345</v>
      </c>
      <c r="M895" s="11"/>
      <c r="N895" s="11"/>
      <c r="O895" s="38"/>
      <c r="P895" s="38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>
      <c r="A896" s="1" t="s">
        <v>185</v>
      </c>
      <c r="B896" s="1"/>
      <c r="C896" s="182">
        <f>C884</f>
        <v>437324800</v>
      </c>
      <c r="D896" s="182">
        <v>26478236.454041336</v>
      </c>
      <c r="E896" s="193"/>
      <c r="F896" s="2"/>
      <c r="G896" s="2">
        <f>SUM(G877:G895)</f>
        <v>19186026</v>
      </c>
      <c r="H896" s="2">
        <f>SUM(H877:H895)</f>
        <v>1178494</v>
      </c>
      <c r="I896" s="193"/>
      <c r="J896" s="1"/>
      <c r="K896" s="2">
        <f>SUM(K877:K895)</f>
        <v>21146989</v>
      </c>
      <c r="M896" s="11"/>
      <c r="N896" s="11"/>
      <c r="O896" s="38"/>
      <c r="P896" s="38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>
      <c r="A897" s="1" t="s">
        <v>167</v>
      </c>
      <c r="B897" s="1"/>
      <c r="C897" s="182" t="e">
        <f>#REF!</f>
        <v>#REF!</v>
      </c>
      <c r="D897" s="182">
        <v>0</v>
      </c>
      <c r="E897" s="172"/>
      <c r="F897" s="172"/>
      <c r="G897" s="204" t="e">
        <f>#REF!</f>
        <v>#REF!</v>
      </c>
      <c r="H897" s="204">
        <v>0</v>
      </c>
      <c r="I897" s="172"/>
      <c r="J897" s="172"/>
      <c r="K897" s="204" t="e">
        <f>G897</f>
        <v>#REF!</v>
      </c>
      <c r="M897" s="307"/>
      <c r="N897" s="307"/>
      <c r="O897" s="150"/>
      <c r="P897" s="38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6.5" thickBot="1">
      <c r="A898" s="1" t="s">
        <v>186</v>
      </c>
      <c r="B898" s="1"/>
      <c r="C898" s="256" t="e">
        <f>SUM(C896)+C897</f>
        <v>#REF!</v>
      </c>
      <c r="D898" s="256">
        <f>SUM(D884)+D897</f>
        <v>26478236</v>
      </c>
      <c r="E898" s="205"/>
      <c r="F898" s="206"/>
      <c r="G898" s="207" t="e">
        <f>G896+G897</f>
        <v>#REF!</v>
      </c>
      <c r="H898" s="207">
        <f>H896+H897</f>
        <v>1178494</v>
      </c>
      <c r="I898" s="205"/>
      <c r="J898" s="208"/>
      <c r="K898" s="207" t="e">
        <f>K896+K897</f>
        <v>#REF!</v>
      </c>
      <c r="M898" s="274"/>
      <c r="N898" s="3" t="s">
        <v>168</v>
      </c>
      <c r="O898" s="33" t="e">
        <f>#REF!*1000</f>
        <v>#REF!</v>
      </c>
      <c r="P898" s="38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6.5" thickTop="1">
      <c r="A899" s="1"/>
      <c r="B899" s="1"/>
      <c r="C899" s="12"/>
      <c r="D899" s="12"/>
      <c r="E899" s="200"/>
      <c r="F899" s="2"/>
      <c r="G899" s="2"/>
      <c r="H899" s="2"/>
      <c r="I899" s="216" t="s">
        <v>13</v>
      </c>
      <c r="J899" s="1"/>
      <c r="K899" s="2" t="s">
        <v>13</v>
      </c>
      <c r="M899" s="11"/>
      <c r="N899" s="3" t="s">
        <v>114</v>
      </c>
      <c r="P899" s="38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>
      <c r="A900" s="156" t="s">
        <v>286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11"/>
      <c r="N900" s="11"/>
      <c r="O900" s="38"/>
      <c r="P900" s="38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>
      <c r="A901" s="1" t="s">
        <v>382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1"/>
      <c r="Z901" s="11"/>
      <c r="AA901" s="11"/>
      <c r="AB901" s="11"/>
      <c r="AC901" s="11"/>
    </row>
    <row r="902" spans="1:29">
      <c r="A902" s="1" t="s">
        <v>383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1"/>
      <c r="Z902" s="11"/>
      <c r="AA902" s="11"/>
      <c r="AB902" s="11"/>
      <c r="AC902" s="11"/>
    </row>
    <row r="903" spans="1:29">
      <c r="A903" s="1" t="s">
        <v>288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41"/>
      <c r="N903" s="141"/>
      <c r="O903" s="141"/>
      <c r="P903" s="38"/>
      <c r="Q903" s="142"/>
      <c r="R903" s="143"/>
      <c r="S903" s="144"/>
      <c r="T903" s="145"/>
      <c r="U903" s="141"/>
      <c r="V903" s="141"/>
      <c r="W903" s="141"/>
      <c r="X903" s="141"/>
      <c r="Y903" s="11"/>
      <c r="Z903" s="11"/>
      <c r="AA903" s="11"/>
      <c r="AB903" s="11"/>
      <c r="AC903" s="11"/>
    </row>
    <row r="904" spans="1:29">
      <c r="A904" s="3" t="s">
        <v>162</v>
      </c>
      <c r="C904" s="127">
        <f>15020</f>
        <v>15020</v>
      </c>
      <c r="D904" s="127">
        <f t="shared" ref="D904:D913" si="73">ROUND(($D$923/$C$923)*C904,0)</f>
        <v>14891</v>
      </c>
      <c r="E904" s="128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128" t="e">
        <f t="shared" ref="I904:I913" si="76">E904+(E904*$P$925)</f>
        <v>#REF!</v>
      </c>
      <c r="K904" s="2" t="e">
        <f t="shared" ref="K904:K913" si="77">ROUND(I904*$C904,0)</f>
        <v>#REF!</v>
      </c>
      <c r="M904" s="42" t="e">
        <f t="shared" ref="M904:M913" si="78">I904*D904</f>
        <v>#REF!</v>
      </c>
      <c r="O904" s="261">
        <v>31</v>
      </c>
      <c r="P904" s="262">
        <f t="shared" ref="P904:P913" si="79">O904*D904</f>
        <v>461621</v>
      </c>
      <c r="Q904" s="263" t="e">
        <f t="shared" ref="Q904:Q913" si="80">$P$924*O904</f>
        <v>#REF!</v>
      </c>
      <c r="R904" s="264" t="e">
        <f t="shared" ref="R904:R913" si="81">ROUND(E904+Q904,2)</f>
        <v>#REF!</v>
      </c>
      <c r="S904" s="147"/>
      <c r="T904" s="141"/>
      <c r="U904" s="144"/>
      <c r="V904" s="144"/>
      <c r="W904" s="148"/>
      <c r="X904" s="144"/>
      <c r="Y904" s="11"/>
      <c r="Z904" s="11"/>
      <c r="AA904" s="11"/>
      <c r="AB904" s="11"/>
      <c r="AC904" s="11"/>
    </row>
    <row r="905" spans="1:29">
      <c r="A905" s="3" t="s">
        <v>289</v>
      </c>
      <c r="C905" s="127">
        <f>15262</f>
        <v>15262</v>
      </c>
      <c r="D905" s="127">
        <f t="shared" si="73"/>
        <v>15131</v>
      </c>
      <c r="E905" s="128">
        <v>9.1300000000000008</v>
      </c>
      <c r="G905" s="2">
        <f t="shared" si="74"/>
        <v>139342</v>
      </c>
      <c r="H905" s="2">
        <f t="shared" si="75"/>
        <v>138146</v>
      </c>
      <c r="I905" s="128" t="e">
        <f t="shared" si="76"/>
        <v>#REF!</v>
      </c>
      <c r="K905" s="2" t="e">
        <f t="shared" si="77"/>
        <v>#REF!</v>
      </c>
      <c r="M905" s="42" t="e">
        <f t="shared" si="78"/>
        <v>#REF!</v>
      </c>
      <c r="O905" s="265">
        <v>44</v>
      </c>
      <c r="P905" s="38">
        <f t="shared" si="79"/>
        <v>665764</v>
      </c>
      <c r="Q905" s="266" t="e">
        <f t="shared" si="80"/>
        <v>#REF!</v>
      </c>
      <c r="R905" s="267" t="e">
        <f t="shared" si="81"/>
        <v>#REF!</v>
      </c>
      <c r="S905" s="141"/>
      <c r="T905" s="141"/>
      <c r="U905" s="144"/>
      <c r="V905" s="144"/>
      <c r="W905" s="148"/>
      <c r="X905" s="144"/>
      <c r="Y905" s="11"/>
      <c r="Z905" s="11"/>
      <c r="AA905" s="11"/>
      <c r="AB905" s="11"/>
      <c r="AC905" s="11"/>
    </row>
    <row r="906" spans="1:29">
      <c r="A906" s="3" t="s">
        <v>385</v>
      </c>
      <c r="C906" s="127">
        <v>0</v>
      </c>
      <c r="D906" s="127">
        <f t="shared" si="73"/>
        <v>0</v>
      </c>
      <c r="E906" s="128">
        <v>29.01</v>
      </c>
      <c r="G906" s="2">
        <f t="shared" si="74"/>
        <v>0</v>
      </c>
      <c r="H906" s="2">
        <f t="shared" si="75"/>
        <v>0</v>
      </c>
      <c r="I906" s="128" t="e">
        <f t="shared" si="76"/>
        <v>#REF!</v>
      </c>
      <c r="K906" s="2" t="e">
        <f t="shared" si="77"/>
        <v>#REF!</v>
      </c>
      <c r="M906" s="42" t="e">
        <f t="shared" si="78"/>
        <v>#REF!</v>
      </c>
      <c r="O906" s="265">
        <v>44</v>
      </c>
      <c r="P906" s="38">
        <f t="shared" si="79"/>
        <v>0</v>
      </c>
      <c r="Q906" s="266" t="e">
        <f t="shared" si="80"/>
        <v>#REF!</v>
      </c>
      <c r="R906" s="267" t="e">
        <f t="shared" si="81"/>
        <v>#REF!</v>
      </c>
      <c r="S906" s="141"/>
      <c r="T906" s="141"/>
      <c r="U906" s="144"/>
      <c r="V906" s="144"/>
      <c r="W906" s="148"/>
      <c r="X906" s="144"/>
      <c r="Y906" s="11"/>
      <c r="Z906" s="11"/>
      <c r="AA906" s="11"/>
      <c r="AB906" s="11"/>
      <c r="AC906" s="11"/>
    </row>
    <row r="907" spans="1:29">
      <c r="A907" s="3" t="s">
        <v>386</v>
      </c>
      <c r="C907" s="127">
        <v>0</v>
      </c>
      <c r="D907" s="127">
        <f t="shared" si="73"/>
        <v>0</v>
      </c>
      <c r="E907" s="128">
        <v>22.56</v>
      </c>
      <c r="G907" s="2">
        <f t="shared" si="74"/>
        <v>0</v>
      </c>
      <c r="H907" s="2">
        <f t="shared" si="75"/>
        <v>0</v>
      </c>
      <c r="I907" s="128" t="e">
        <f t="shared" si="76"/>
        <v>#REF!</v>
      </c>
      <c r="K907" s="2" t="e">
        <f t="shared" si="77"/>
        <v>#REF!</v>
      </c>
      <c r="M907" s="42" t="e">
        <f t="shared" si="78"/>
        <v>#REF!</v>
      </c>
      <c r="O907" s="265">
        <v>44</v>
      </c>
      <c r="P907" s="38">
        <f t="shared" si="79"/>
        <v>0</v>
      </c>
      <c r="Q907" s="266" t="e">
        <f t="shared" si="80"/>
        <v>#REF!</v>
      </c>
      <c r="R907" s="267" t="e">
        <f t="shared" si="81"/>
        <v>#REF!</v>
      </c>
      <c r="S907" s="141"/>
      <c r="T907" s="141"/>
      <c r="U907" s="144"/>
      <c r="V907" s="144"/>
      <c r="W907" s="148"/>
      <c r="X907" s="144"/>
      <c r="Y907" s="11"/>
      <c r="Z907" s="11"/>
      <c r="AA907" s="11"/>
      <c r="AB907" s="11"/>
      <c r="AC907" s="11"/>
    </row>
    <row r="908" spans="1:29">
      <c r="A908" s="3" t="s">
        <v>380</v>
      </c>
      <c r="C908" s="127">
        <v>0</v>
      </c>
      <c r="D908" s="127">
        <f t="shared" si="73"/>
        <v>0</v>
      </c>
      <c r="E908" s="128">
        <v>11.68</v>
      </c>
      <c r="G908" s="2">
        <f t="shared" si="74"/>
        <v>0</v>
      </c>
      <c r="H908" s="2">
        <f t="shared" si="75"/>
        <v>0</v>
      </c>
      <c r="I908" s="128" t="e">
        <f t="shared" si="76"/>
        <v>#REF!</v>
      </c>
      <c r="K908" s="2" t="e">
        <f t="shared" si="77"/>
        <v>#REF!</v>
      </c>
      <c r="M908" s="42" t="e">
        <f t="shared" si="78"/>
        <v>#REF!</v>
      </c>
      <c r="O908" s="265">
        <v>64</v>
      </c>
      <c r="P908" s="38">
        <f t="shared" si="79"/>
        <v>0</v>
      </c>
      <c r="Q908" s="266" t="e">
        <f t="shared" si="80"/>
        <v>#REF!</v>
      </c>
      <c r="R908" s="267" t="e">
        <f t="shared" si="81"/>
        <v>#REF!</v>
      </c>
      <c r="S908" s="141"/>
      <c r="T908" s="141"/>
      <c r="U908" s="144"/>
      <c r="V908" s="144"/>
      <c r="W908" s="148"/>
      <c r="X908" s="144"/>
      <c r="Y908" s="11"/>
      <c r="Z908" s="11"/>
      <c r="AA908" s="11"/>
      <c r="AB908" s="11"/>
      <c r="AC908" s="11"/>
    </row>
    <row r="909" spans="1:29">
      <c r="A909" s="3" t="s">
        <v>387</v>
      </c>
      <c r="C909" s="127">
        <v>0</v>
      </c>
      <c r="D909" s="127">
        <f t="shared" si="73"/>
        <v>0</v>
      </c>
      <c r="E909" s="128">
        <v>30.06</v>
      </c>
      <c r="G909" s="2">
        <f t="shared" si="74"/>
        <v>0</v>
      </c>
      <c r="H909" s="2">
        <f t="shared" si="75"/>
        <v>0</v>
      </c>
      <c r="I909" s="128" t="e">
        <f t="shared" si="76"/>
        <v>#REF!</v>
      </c>
      <c r="K909" s="2" t="e">
        <f t="shared" si="77"/>
        <v>#REF!</v>
      </c>
      <c r="M909" s="42" t="e">
        <f t="shared" si="78"/>
        <v>#REF!</v>
      </c>
      <c r="O909" s="265">
        <v>64</v>
      </c>
      <c r="P909" s="38">
        <f t="shared" si="79"/>
        <v>0</v>
      </c>
      <c r="Q909" s="266" t="e">
        <f t="shared" si="80"/>
        <v>#REF!</v>
      </c>
      <c r="R909" s="267" t="e">
        <f t="shared" si="81"/>
        <v>#REF!</v>
      </c>
      <c r="S909" s="141"/>
      <c r="T909" s="141"/>
      <c r="U909" s="144"/>
      <c r="V909" s="144"/>
      <c r="W909" s="148"/>
      <c r="X909" s="144"/>
      <c r="Y909" s="11"/>
      <c r="Z909" s="11"/>
      <c r="AA909" s="11"/>
      <c r="AB909" s="11"/>
      <c r="AC909" s="11"/>
    </row>
    <row r="910" spans="1:29">
      <c r="A910" s="3" t="s">
        <v>388</v>
      </c>
      <c r="C910" s="127">
        <v>0</v>
      </c>
      <c r="D910" s="127">
        <f t="shared" si="73"/>
        <v>0</v>
      </c>
      <c r="E910" s="128">
        <v>23.65</v>
      </c>
      <c r="G910" s="2">
        <f t="shared" si="74"/>
        <v>0</v>
      </c>
      <c r="H910" s="2">
        <f t="shared" si="75"/>
        <v>0</v>
      </c>
      <c r="I910" s="128" t="e">
        <f t="shared" si="76"/>
        <v>#REF!</v>
      </c>
      <c r="K910" s="2" t="e">
        <f t="shared" si="77"/>
        <v>#REF!</v>
      </c>
      <c r="M910" s="42" t="e">
        <f t="shared" si="78"/>
        <v>#REF!</v>
      </c>
      <c r="O910" s="265">
        <v>64</v>
      </c>
      <c r="P910" s="38">
        <f t="shared" si="79"/>
        <v>0</v>
      </c>
      <c r="Q910" s="266" t="e">
        <f t="shared" si="80"/>
        <v>#REF!</v>
      </c>
      <c r="R910" s="267" t="e">
        <f t="shared" si="81"/>
        <v>#REF!</v>
      </c>
      <c r="S910" s="141"/>
      <c r="T910" s="141"/>
      <c r="U910" s="144"/>
      <c r="V910" s="144"/>
      <c r="W910" s="148"/>
      <c r="X910" s="144"/>
      <c r="Y910" s="11"/>
      <c r="Z910" s="11"/>
      <c r="AA910" s="11"/>
      <c r="AB910" s="11"/>
      <c r="AC910" s="11"/>
    </row>
    <row r="911" spans="1:29">
      <c r="A911" s="3" t="s">
        <v>163</v>
      </c>
      <c r="C911" s="127">
        <f>18290</f>
        <v>18290</v>
      </c>
      <c r="D911" s="127">
        <f t="shared" si="73"/>
        <v>18133</v>
      </c>
      <c r="E911" s="128">
        <v>13.33</v>
      </c>
      <c r="G911" s="2">
        <f t="shared" si="74"/>
        <v>243806</v>
      </c>
      <c r="H911" s="2">
        <f t="shared" si="75"/>
        <v>241713</v>
      </c>
      <c r="I911" s="128" t="e">
        <f t="shared" si="76"/>
        <v>#REF!</v>
      </c>
      <c r="K911" s="2" t="e">
        <f t="shared" si="77"/>
        <v>#REF!</v>
      </c>
      <c r="M911" s="42" t="e">
        <f t="shared" si="78"/>
        <v>#REF!</v>
      </c>
      <c r="O911" s="265">
        <v>85</v>
      </c>
      <c r="P911" s="38">
        <f t="shared" si="79"/>
        <v>1541305</v>
      </c>
      <c r="Q911" s="266" t="e">
        <f t="shared" si="80"/>
        <v>#REF!</v>
      </c>
      <c r="R911" s="267" t="e">
        <f t="shared" si="81"/>
        <v>#REF!</v>
      </c>
      <c r="S911" s="141"/>
      <c r="T911" s="141"/>
      <c r="U911" s="144"/>
      <c r="V911" s="144"/>
      <c r="W911" s="148"/>
      <c r="X911" s="144"/>
      <c r="Y911" s="11"/>
      <c r="Z911" s="11"/>
      <c r="AA911" s="11"/>
      <c r="AB911" s="11"/>
      <c r="AC911" s="11"/>
    </row>
    <row r="912" spans="1:29">
      <c r="A912" s="3" t="s">
        <v>381</v>
      </c>
      <c r="C912" s="127">
        <v>0</v>
      </c>
      <c r="D912" s="127">
        <f t="shared" si="73"/>
        <v>0</v>
      </c>
      <c r="E912" s="128">
        <v>16.91</v>
      </c>
      <c r="G912" s="2">
        <f t="shared" si="74"/>
        <v>0</v>
      </c>
      <c r="H912" s="2">
        <f t="shared" si="75"/>
        <v>0</v>
      </c>
      <c r="I912" s="128" t="e">
        <f t="shared" si="76"/>
        <v>#REF!</v>
      </c>
      <c r="K912" s="2" t="e">
        <f t="shared" si="77"/>
        <v>#REF!</v>
      </c>
      <c r="M912" s="42" t="e">
        <f t="shared" si="78"/>
        <v>#REF!</v>
      </c>
      <c r="O912" s="265">
        <v>115</v>
      </c>
      <c r="P912" s="38">
        <f t="shared" si="79"/>
        <v>0</v>
      </c>
      <c r="Q912" s="266" t="e">
        <f t="shared" si="80"/>
        <v>#REF!</v>
      </c>
      <c r="R912" s="267" t="e">
        <f t="shared" si="81"/>
        <v>#REF!</v>
      </c>
      <c r="S912" s="141"/>
      <c r="T912" s="141"/>
      <c r="U912" s="144"/>
      <c r="V912" s="144"/>
      <c r="W912" s="148"/>
      <c r="X912" s="144"/>
      <c r="Y912" s="11"/>
      <c r="Z912" s="11"/>
      <c r="AA912" s="11"/>
      <c r="AB912" s="11"/>
      <c r="AC912" s="11"/>
    </row>
    <row r="913" spans="1:29">
      <c r="A913" s="3" t="s">
        <v>164</v>
      </c>
      <c r="C913" s="127">
        <f>1621</f>
        <v>1621</v>
      </c>
      <c r="D913" s="127">
        <f t="shared" si="73"/>
        <v>1607</v>
      </c>
      <c r="E913" s="128">
        <v>22.32</v>
      </c>
      <c r="G913" s="2">
        <f t="shared" si="74"/>
        <v>36181</v>
      </c>
      <c r="H913" s="2">
        <f t="shared" si="75"/>
        <v>35868</v>
      </c>
      <c r="I913" s="128" t="e">
        <f t="shared" si="76"/>
        <v>#REF!</v>
      </c>
      <c r="K913" s="2" t="e">
        <f t="shared" si="77"/>
        <v>#REF!</v>
      </c>
      <c r="M913" s="42" t="e">
        <f t="shared" si="78"/>
        <v>#REF!</v>
      </c>
      <c r="O913" s="265">
        <v>176</v>
      </c>
      <c r="P913" s="38">
        <f t="shared" si="79"/>
        <v>282832</v>
      </c>
      <c r="Q913" s="266" t="e">
        <f t="shared" si="80"/>
        <v>#REF!</v>
      </c>
      <c r="R913" s="267" t="e">
        <f t="shared" si="81"/>
        <v>#REF!</v>
      </c>
      <c r="S913" s="141"/>
      <c r="T913" s="141"/>
      <c r="U913" s="144"/>
      <c r="V913" s="144"/>
      <c r="W913" s="148"/>
      <c r="X913" s="144"/>
      <c r="Y913" s="11"/>
      <c r="Z913" s="11"/>
      <c r="AA913" s="11"/>
      <c r="AB913" s="11"/>
      <c r="AC913" s="11"/>
    </row>
    <row r="914" spans="1:29">
      <c r="A914" s="3" t="s">
        <v>384</v>
      </c>
      <c r="C914" s="127"/>
      <c r="D914" s="127"/>
      <c r="E914" s="128"/>
      <c r="G914" s="2"/>
      <c r="H914" s="2"/>
      <c r="I914" s="128"/>
      <c r="K914" s="2"/>
      <c r="M914" s="42"/>
      <c r="O914" s="265"/>
      <c r="P914" s="38"/>
      <c r="Q914" s="266"/>
      <c r="R914" s="267"/>
      <c r="S914" s="141"/>
      <c r="T914" s="141"/>
      <c r="U914" s="144"/>
      <c r="V914" s="144"/>
      <c r="W914" s="148"/>
      <c r="X914" s="144"/>
      <c r="Y914" s="11"/>
      <c r="Z914" s="11"/>
      <c r="AA914" s="11"/>
      <c r="AB914" s="11"/>
      <c r="AC914" s="11"/>
    </row>
    <row r="915" spans="1:29">
      <c r="A915" s="3" t="s">
        <v>389</v>
      </c>
      <c r="C915" s="127">
        <v>0</v>
      </c>
      <c r="D915" s="127">
        <f t="shared" ref="D915:D921" si="82">ROUND(($D$923/$C$923)*C915,0)</f>
        <v>0</v>
      </c>
      <c r="E915" s="128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128" t="e">
        <f t="shared" ref="I915:I921" si="85">E915+(E915*$P$925)</f>
        <v>#REF!</v>
      </c>
      <c r="K915" s="2" t="e">
        <f t="shared" ref="K915:K921" si="86">ROUND(I915*$C915,0)</f>
        <v>#REF!</v>
      </c>
      <c r="M915" s="42" t="e">
        <f t="shared" ref="M915:M921" si="87">I915*D915</f>
        <v>#REF!</v>
      </c>
      <c r="O915" s="265">
        <v>39</v>
      </c>
      <c r="P915" s="38">
        <f t="shared" ref="P915:P921" si="88">O915*D915</f>
        <v>0</v>
      </c>
      <c r="Q915" s="266" t="e">
        <f t="shared" ref="Q915:Q921" si="89">$P$924*O915</f>
        <v>#REF!</v>
      </c>
      <c r="R915" s="267" t="e">
        <f t="shared" ref="R915:R921" si="90">ROUND(E915+Q915,2)</f>
        <v>#REF!</v>
      </c>
      <c r="S915" s="141"/>
      <c r="T915" s="141"/>
      <c r="U915" s="144"/>
      <c r="V915" s="144"/>
      <c r="W915" s="148"/>
      <c r="X915" s="144"/>
      <c r="Y915" s="11"/>
      <c r="Z915" s="11"/>
      <c r="AA915" s="11"/>
      <c r="AB915" s="11"/>
      <c r="AC915" s="11"/>
    </row>
    <row r="916" spans="1:29">
      <c r="A916" s="3" t="s">
        <v>390</v>
      </c>
      <c r="C916" s="127">
        <v>0</v>
      </c>
      <c r="D916" s="127">
        <f t="shared" si="82"/>
        <v>0</v>
      </c>
      <c r="E916" s="128">
        <v>24.46</v>
      </c>
      <c r="G916" s="2">
        <f t="shared" si="83"/>
        <v>0</v>
      </c>
      <c r="H916" s="2">
        <f t="shared" si="84"/>
        <v>0</v>
      </c>
      <c r="I916" s="128" t="e">
        <f t="shared" si="85"/>
        <v>#REF!</v>
      </c>
      <c r="K916" s="2" t="e">
        <f t="shared" si="86"/>
        <v>#REF!</v>
      </c>
      <c r="M916" s="42" t="e">
        <f t="shared" si="87"/>
        <v>#REF!</v>
      </c>
      <c r="O916" s="265">
        <v>39</v>
      </c>
      <c r="P916" s="38">
        <f t="shared" si="88"/>
        <v>0</v>
      </c>
      <c r="Q916" s="266" t="e">
        <f t="shared" si="89"/>
        <v>#REF!</v>
      </c>
      <c r="R916" s="267" t="e">
        <f t="shared" si="90"/>
        <v>#REF!</v>
      </c>
      <c r="S916" s="141"/>
      <c r="T916" s="141"/>
      <c r="U916" s="144"/>
      <c r="V916" s="144"/>
      <c r="W916" s="148"/>
      <c r="X916" s="144"/>
      <c r="Y916" s="11"/>
      <c r="Z916" s="11"/>
      <c r="AA916" s="11"/>
      <c r="AB916" s="11"/>
      <c r="AC916" s="11"/>
    </row>
    <row r="917" spans="1:29">
      <c r="A917" s="3" t="s">
        <v>391</v>
      </c>
      <c r="C917" s="127">
        <v>0</v>
      </c>
      <c r="D917" s="127">
        <f t="shared" si="82"/>
        <v>0</v>
      </c>
      <c r="E917" s="128">
        <v>22.55</v>
      </c>
      <c r="G917" s="2">
        <f t="shared" si="83"/>
        <v>0</v>
      </c>
      <c r="H917" s="2">
        <f t="shared" si="84"/>
        <v>0</v>
      </c>
      <c r="I917" s="128" t="e">
        <f t="shared" si="85"/>
        <v>#REF!</v>
      </c>
      <c r="K917" s="2" t="e">
        <f t="shared" si="86"/>
        <v>#REF!</v>
      </c>
      <c r="M917" s="42" t="e">
        <f t="shared" si="87"/>
        <v>#REF!</v>
      </c>
      <c r="O917" s="265">
        <v>68</v>
      </c>
      <c r="P917" s="38">
        <f t="shared" si="88"/>
        <v>0</v>
      </c>
      <c r="Q917" s="266" t="e">
        <f t="shared" si="89"/>
        <v>#REF!</v>
      </c>
      <c r="R917" s="267" t="e">
        <f t="shared" si="90"/>
        <v>#REF!</v>
      </c>
      <c r="S917" s="141"/>
      <c r="T917" s="141"/>
      <c r="U917" s="144"/>
      <c r="V917" s="144"/>
      <c r="W917" s="148"/>
      <c r="X917" s="144"/>
      <c r="Y917" s="11"/>
      <c r="Z917" s="11"/>
      <c r="AA917" s="11"/>
      <c r="AB917" s="11"/>
      <c r="AC917" s="11"/>
    </row>
    <row r="918" spans="1:29">
      <c r="A918" s="3" t="s">
        <v>392</v>
      </c>
      <c r="C918" s="127">
        <v>0</v>
      </c>
      <c r="D918" s="127">
        <f t="shared" si="82"/>
        <v>0</v>
      </c>
      <c r="E918" s="128">
        <v>32.950000000000003</v>
      </c>
      <c r="G918" s="2">
        <f t="shared" si="83"/>
        <v>0</v>
      </c>
      <c r="H918" s="2">
        <f t="shared" si="84"/>
        <v>0</v>
      </c>
      <c r="I918" s="128" t="e">
        <f t="shared" si="85"/>
        <v>#REF!</v>
      </c>
      <c r="K918" s="2" t="e">
        <f t="shared" si="86"/>
        <v>#REF!</v>
      </c>
      <c r="M918" s="42" t="e">
        <f t="shared" si="87"/>
        <v>#REF!</v>
      </c>
      <c r="O918" s="265">
        <v>68</v>
      </c>
      <c r="P918" s="38">
        <f t="shared" si="88"/>
        <v>0</v>
      </c>
      <c r="Q918" s="266" t="e">
        <f t="shared" si="89"/>
        <v>#REF!</v>
      </c>
      <c r="R918" s="267" t="e">
        <f t="shared" si="90"/>
        <v>#REF!</v>
      </c>
      <c r="S918" s="141"/>
      <c r="T918" s="141"/>
      <c r="U918" s="144"/>
      <c r="V918" s="144"/>
      <c r="W918" s="148"/>
      <c r="X918" s="144"/>
      <c r="Y918" s="11"/>
      <c r="Z918" s="11"/>
      <c r="AA918" s="11"/>
      <c r="AB918" s="11"/>
      <c r="AC918" s="11"/>
    </row>
    <row r="919" spans="1:29">
      <c r="A919" s="3" t="s">
        <v>393</v>
      </c>
      <c r="C919" s="127">
        <v>0</v>
      </c>
      <c r="D919" s="127">
        <f t="shared" si="82"/>
        <v>0</v>
      </c>
      <c r="E919" s="128">
        <v>26.53</v>
      </c>
      <c r="G919" s="2">
        <f t="shared" si="83"/>
        <v>0</v>
      </c>
      <c r="H919" s="2">
        <f t="shared" si="84"/>
        <v>0</v>
      </c>
      <c r="I919" s="128" t="e">
        <f t="shared" si="85"/>
        <v>#REF!</v>
      </c>
      <c r="K919" s="2" t="e">
        <f t="shared" si="86"/>
        <v>#REF!</v>
      </c>
      <c r="M919" s="42" t="e">
        <f t="shared" si="87"/>
        <v>#REF!</v>
      </c>
      <c r="O919" s="265">
        <v>68</v>
      </c>
      <c r="P919" s="38">
        <f t="shared" si="88"/>
        <v>0</v>
      </c>
      <c r="Q919" s="266" t="e">
        <f t="shared" si="89"/>
        <v>#REF!</v>
      </c>
      <c r="R919" s="267" t="e">
        <f t="shared" si="90"/>
        <v>#REF!</v>
      </c>
      <c r="S919" s="141"/>
      <c r="T919" s="141"/>
      <c r="U919" s="144"/>
      <c r="V919" s="144"/>
      <c r="W919" s="148"/>
      <c r="X919" s="144"/>
      <c r="Y919" s="11"/>
      <c r="Z919" s="11"/>
      <c r="AA919" s="11"/>
      <c r="AB919" s="11"/>
      <c r="AC919" s="11"/>
    </row>
    <row r="920" spans="1:29">
      <c r="A920" s="3" t="s">
        <v>394</v>
      </c>
      <c r="C920" s="127">
        <v>0</v>
      </c>
      <c r="D920" s="127">
        <f t="shared" si="82"/>
        <v>0</v>
      </c>
      <c r="E920" s="128">
        <v>26.07</v>
      </c>
      <c r="G920" s="2">
        <f t="shared" si="83"/>
        <v>0</v>
      </c>
      <c r="H920" s="2">
        <f t="shared" si="84"/>
        <v>0</v>
      </c>
      <c r="I920" s="128" t="e">
        <f t="shared" si="85"/>
        <v>#REF!</v>
      </c>
      <c r="K920" s="2" t="e">
        <f t="shared" si="86"/>
        <v>#REF!</v>
      </c>
      <c r="M920" s="42" t="e">
        <f t="shared" si="87"/>
        <v>#REF!</v>
      </c>
      <c r="O920" s="265">
        <v>68</v>
      </c>
      <c r="P920" s="38">
        <f t="shared" si="88"/>
        <v>0</v>
      </c>
      <c r="Q920" s="266" t="e">
        <f t="shared" si="89"/>
        <v>#REF!</v>
      </c>
      <c r="R920" s="267" t="e">
        <f t="shared" si="90"/>
        <v>#REF!</v>
      </c>
      <c r="S920" s="141"/>
      <c r="T920" s="141"/>
      <c r="U920" s="144"/>
      <c r="V920" s="144"/>
      <c r="W920" s="148"/>
      <c r="X920" s="144"/>
      <c r="Y920" s="11"/>
      <c r="Z920" s="11"/>
      <c r="AA920" s="11"/>
      <c r="AB920" s="11"/>
      <c r="AC920" s="11"/>
    </row>
    <row r="921" spans="1:29">
      <c r="A921" s="3" t="s">
        <v>395</v>
      </c>
      <c r="C921" s="127">
        <v>0</v>
      </c>
      <c r="D921" s="127">
        <f t="shared" si="82"/>
        <v>0</v>
      </c>
      <c r="E921" s="128">
        <v>28.39</v>
      </c>
      <c r="G921" s="2">
        <f t="shared" si="83"/>
        <v>0</v>
      </c>
      <c r="H921" s="2">
        <f t="shared" si="84"/>
        <v>0</v>
      </c>
      <c r="I921" s="128" t="e">
        <f t="shared" si="85"/>
        <v>#REF!</v>
      </c>
      <c r="K921" s="2" t="e">
        <f t="shared" si="86"/>
        <v>#REF!</v>
      </c>
      <c r="M921" s="42" t="e">
        <f t="shared" si="87"/>
        <v>#REF!</v>
      </c>
      <c r="O921" s="265">
        <v>68</v>
      </c>
      <c r="P921" s="38">
        <f t="shared" si="88"/>
        <v>0</v>
      </c>
      <c r="Q921" s="266" t="e">
        <f t="shared" si="89"/>
        <v>#REF!</v>
      </c>
      <c r="R921" s="267" t="e">
        <f t="shared" si="90"/>
        <v>#REF!</v>
      </c>
      <c r="S921" s="141"/>
      <c r="T921" s="141"/>
      <c r="U921" s="144"/>
      <c r="V921" s="144"/>
      <c r="W921" s="148"/>
      <c r="X921" s="144"/>
      <c r="Y921" s="11"/>
      <c r="Z921" s="11"/>
      <c r="AA921" s="11"/>
      <c r="AB921" s="11"/>
      <c r="AC921" s="11"/>
    </row>
    <row r="922" spans="1:29">
      <c r="A922" s="3" t="s">
        <v>166</v>
      </c>
      <c r="C922" s="127">
        <f>181*12</f>
        <v>2172</v>
      </c>
      <c r="D922" s="127">
        <v>1874</v>
      </c>
      <c r="E922" s="128"/>
      <c r="G922" s="2"/>
      <c r="H922" s="2"/>
      <c r="I922" s="128"/>
      <c r="K922" s="2"/>
      <c r="O922" s="265"/>
      <c r="P922" s="38">
        <f>SUM(P904:P916)</f>
        <v>2951522</v>
      </c>
      <c r="Q922" s="266"/>
      <c r="R922" s="267"/>
      <c r="S922" s="141"/>
      <c r="T922" s="141"/>
      <c r="U922" s="144"/>
      <c r="V922" s="144"/>
      <c r="W922" s="144"/>
      <c r="X922" s="144"/>
      <c r="Y922" s="11"/>
      <c r="Z922" s="11"/>
      <c r="AA922" s="11"/>
      <c r="AB922" s="11"/>
      <c r="AC922" s="11"/>
    </row>
    <row r="923" spans="1:29">
      <c r="A923" s="3" t="s">
        <v>185</v>
      </c>
      <c r="C923" s="127">
        <v>2977084</v>
      </c>
      <c r="D923" s="127">
        <v>2951534.6465794938</v>
      </c>
      <c r="E923" s="132"/>
      <c r="F923" s="11"/>
      <c r="G923" s="135">
        <f>SUM(G904:G916)</f>
        <v>533631</v>
      </c>
      <c r="H923" s="135">
        <f>SUM(H904:H916)</f>
        <v>529048</v>
      </c>
      <c r="I923" s="132"/>
      <c r="J923" s="11"/>
      <c r="K923" s="135" t="e">
        <f>SUM(K904:K916)</f>
        <v>#REF!</v>
      </c>
      <c r="M923" s="42" t="e">
        <f>SUM(M904:M922)</f>
        <v>#REF!</v>
      </c>
      <c r="O923" s="265"/>
      <c r="P923" s="268" t="e">
        <f>O925-H925</f>
        <v>#REF!</v>
      </c>
      <c r="Q923" s="11"/>
      <c r="R923" s="269"/>
      <c r="S923" s="141"/>
      <c r="T923" s="141"/>
      <c r="U923" s="151"/>
      <c r="V923" s="141"/>
      <c r="W923" s="141"/>
      <c r="X923" s="141"/>
      <c r="Y923" s="11"/>
      <c r="Z923" s="11"/>
      <c r="AA923" s="11"/>
      <c r="AB923" s="11"/>
      <c r="AC923" s="11"/>
    </row>
    <row r="924" spans="1:29">
      <c r="A924" s="3" t="s">
        <v>167</v>
      </c>
      <c r="C924" s="127" t="e">
        <f>#REF!</f>
        <v>#REF!</v>
      </c>
      <c r="D924" s="127">
        <v>0</v>
      </c>
      <c r="E924" s="132"/>
      <c r="F924" s="11"/>
      <c r="G924" s="135" t="e">
        <f>#REF!</f>
        <v>#REF!</v>
      </c>
      <c r="H924" s="135">
        <v>0</v>
      </c>
      <c r="I924" s="132"/>
      <c r="J924" s="11"/>
      <c r="K924" s="135" t="e">
        <f>G924</f>
        <v>#REF!</v>
      </c>
      <c r="M924" s="152"/>
      <c r="N924" s="152"/>
      <c r="O924" s="270"/>
      <c r="P924" s="271" t="e">
        <f>P923/P922</f>
        <v>#REF!</v>
      </c>
      <c r="Q924" s="50"/>
      <c r="R924" s="272"/>
      <c r="S924" s="144"/>
      <c r="T924" s="14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6.5" thickBot="1">
      <c r="A925" s="3" t="s">
        <v>1</v>
      </c>
      <c r="C925" s="136" t="e">
        <f>C923+C924</f>
        <v>#REF!</v>
      </c>
      <c r="D925" s="136">
        <f>D923+D924</f>
        <v>2951534.6465794938</v>
      </c>
      <c r="E925" s="137"/>
      <c r="F925" s="137"/>
      <c r="G925" s="137" t="e">
        <f>G923+G924</f>
        <v>#REF!</v>
      </c>
      <c r="H925" s="137">
        <f>H923+H924</f>
        <v>529048</v>
      </c>
      <c r="I925" s="137"/>
      <c r="J925" s="137"/>
      <c r="K925" s="137" t="e">
        <f>K923+K924</f>
        <v>#REF!</v>
      </c>
      <c r="M925" s="154"/>
      <c r="N925" s="140" t="s">
        <v>213</v>
      </c>
      <c r="O925" s="273" t="e">
        <f>#REF!*1000</f>
        <v>#REF!</v>
      </c>
      <c r="P925" s="8" t="e">
        <f>((O925-G925)/G925)+0.0028</f>
        <v>#REF!</v>
      </c>
      <c r="S925" s="141"/>
      <c r="T925" s="14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6.5" thickTop="1">
      <c r="A926" s="1"/>
      <c r="B926" s="1"/>
      <c r="C926" s="12"/>
      <c r="D926" s="12"/>
      <c r="E926" s="12"/>
      <c r="F926" s="12"/>
      <c r="G926" s="2"/>
      <c r="H926" s="2"/>
      <c r="I926" s="12" t="s">
        <v>13</v>
      </c>
      <c r="J926" s="12"/>
      <c r="K926" s="2" t="s">
        <v>13</v>
      </c>
      <c r="M926" s="140"/>
      <c r="N926" s="140" t="s">
        <v>114</v>
      </c>
      <c r="O926" s="274" t="e">
        <f>O925-K925</f>
        <v>#REF!</v>
      </c>
      <c r="P926" s="8" t="e">
        <f>(O925-K925)/K925</f>
        <v>#REF!</v>
      </c>
      <c r="Q926" s="140"/>
      <c r="R926" s="140"/>
      <c r="S926" s="141"/>
      <c r="T926" s="14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>
      <c r="A927" s="156" t="s">
        <v>290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141"/>
      <c r="N927" s="141"/>
      <c r="O927" s="150"/>
      <c r="P927" s="141"/>
      <c r="Q927" s="11"/>
      <c r="R927" s="11"/>
      <c r="S927" s="11"/>
      <c r="T927" s="141"/>
      <c r="U927" s="141"/>
      <c r="V927" s="141"/>
      <c r="W927" s="141"/>
      <c r="X927" s="141"/>
      <c r="Y927" s="11"/>
      <c r="Z927" s="11"/>
      <c r="AA927" s="11"/>
      <c r="AB927" s="11"/>
      <c r="AC927" s="11"/>
    </row>
    <row r="928" spans="1:29">
      <c r="A928" s="1" t="s">
        <v>291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11"/>
      <c r="N928" s="11"/>
      <c r="O928" s="38"/>
      <c r="P928" s="38"/>
      <c r="Q928" s="11"/>
      <c r="R928" s="11"/>
      <c r="S928" s="11"/>
      <c r="T928" s="141"/>
      <c r="U928" s="141"/>
      <c r="V928" s="141"/>
      <c r="W928" s="141"/>
      <c r="X928" s="141"/>
      <c r="Y928" s="11"/>
      <c r="Z928" s="11"/>
      <c r="AA928" s="11"/>
      <c r="AB928" s="11"/>
      <c r="AC928" s="11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11"/>
      <c r="N929" s="11"/>
      <c r="O929" s="38"/>
      <c r="P929" s="38" t="s">
        <v>13</v>
      </c>
      <c r="Q929" s="11"/>
      <c r="R929" s="11"/>
      <c r="S929" s="11"/>
      <c r="T929" s="141"/>
      <c r="U929" s="141"/>
      <c r="V929" s="141"/>
      <c r="W929" s="141"/>
      <c r="X929" s="141"/>
      <c r="Y929" s="11"/>
      <c r="Z929" s="11"/>
      <c r="AA929" s="11"/>
      <c r="AB929" s="11"/>
      <c r="AC929" s="11"/>
    </row>
    <row r="930" spans="1:29">
      <c r="A930" s="1" t="s">
        <v>292</v>
      </c>
      <c r="B930" s="1"/>
      <c r="C930" s="12"/>
      <c r="D930" s="12"/>
      <c r="E930" s="161"/>
      <c r="F930" s="1"/>
      <c r="G930" s="275">
        <v>30454.32</v>
      </c>
      <c r="H930" s="275">
        <v>30454.32</v>
      </c>
      <c r="I930" s="161"/>
      <c r="J930" s="1"/>
      <c r="K930" s="2">
        <f>G930</f>
        <v>30454.32</v>
      </c>
      <c r="M930" s="42">
        <f>K930</f>
        <v>30454.32</v>
      </c>
      <c r="N930" s="11"/>
      <c r="O930" s="38"/>
      <c r="P930" s="38" t="s">
        <v>13</v>
      </c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>
      <c r="A931" s="1" t="s">
        <v>293</v>
      </c>
      <c r="B931" s="1"/>
      <c r="C931" s="127">
        <v>448995</v>
      </c>
      <c r="D931" s="182">
        <f>ROUND(($D$934/$C$934)*C931,0)</f>
        <v>453966</v>
      </c>
      <c r="E931" s="276">
        <v>6.4050000000000002</v>
      </c>
      <c r="F931" s="1" t="s">
        <v>178</v>
      </c>
      <c r="G931" s="277">
        <f>ROUND(C931*E931/100,0)</f>
        <v>28758</v>
      </c>
      <c r="H931" s="277">
        <f>ROUND(D931*E931/100,0)</f>
        <v>29077</v>
      </c>
      <c r="I931" s="276">
        <v>7.4130000000000003</v>
      </c>
      <c r="J931" s="1" t="s">
        <v>178</v>
      </c>
      <c r="K931" s="2">
        <f>ROUND(I931*$C931/100,0)</f>
        <v>33284</v>
      </c>
      <c r="M931" s="42">
        <f>(I931/100)*D931</f>
        <v>33652.499580000003</v>
      </c>
      <c r="N931" s="11"/>
      <c r="O931" s="38"/>
      <c r="P931" s="38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>
      <c r="A932" s="1" t="s">
        <v>294</v>
      </c>
      <c r="B932" s="1"/>
      <c r="C932" s="127">
        <v>0</v>
      </c>
      <c r="D932" s="182">
        <f>ROUND(($D$934/$C$934)*C932,0)</f>
        <v>0</v>
      </c>
      <c r="E932" s="276">
        <v>7.1669999999999998</v>
      </c>
      <c r="F932" s="1" t="s">
        <v>178</v>
      </c>
      <c r="G932" s="277">
        <f>ROUND(C932*E932/100,0)</f>
        <v>0</v>
      </c>
      <c r="H932" s="277">
        <f>ROUND(D932*E932/100,0)</f>
        <v>0</v>
      </c>
      <c r="I932" s="276">
        <f>ROUND(I931/E931*E932,3)</f>
        <v>8.2949999999999999</v>
      </c>
      <c r="J932" s="1" t="s">
        <v>178</v>
      </c>
      <c r="K932" s="2">
        <f>ROUND(I932*D932/100,0)</f>
        <v>0</v>
      </c>
      <c r="M932" s="42">
        <f>(I932/100)*D932</f>
        <v>0</v>
      </c>
      <c r="N932" s="11"/>
      <c r="O932" s="38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>
      <c r="A933" s="1" t="s">
        <v>166</v>
      </c>
      <c r="B933" s="1"/>
      <c r="C933" s="127">
        <f>27*12</f>
        <v>324</v>
      </c>
      <c r="D933" s="182">
        <v>241</v>
      </c>
      <c r="E933" s="278"/>
      <c r="F933" s="1"/>
      <c r="G933" s="2"/>
      <c r="H933" s="2"/>
      <c r="I933" s="278"/>
      <c r="J933" s="1"/>
      <c r="K933" s="2"/>
      <c r="M933" s="11"/>
      <c r="N933" s="11"/>
      <c r="O933" s="38"/>
      <c r="P933" s="38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>
      <c r="A934" s="3" t="s">
        <v>295</v>
      </c>
      <c r="C934" s="127">
        <f>SUM(C931:C932)</f>
        <v>448995</v>
      </c>
      <c r="D934" s="127">
        <v>453965.95876460936</v>
      </c>
      <c r="E934" s="132"/>
      <c r="F934" s="11"/>
      <c r="G934" s="135">
        <f>SUM(G930:G932)</f>
        <v>59212.32</v>
      </c>
      <c r="H934" s="135">
        <f>SUM(H930:H932)</f>
        <v>59531.32</v>
      </c>
      <c r="I934" s="132"/>
      <c r="J934" s="11"/>
      <c r="K934" s="135">
        <f>SUM(K930:K932)</f>
        <v>63738.32</v>
      </c>
      <c r="M934" s="279">
        <f>SUM(M930:M933)</f>
        <v>64106.819580000003</v>
      </c>
      <c r="N934" s="11"/>
      <c r="O934" s="38"/>
      <c r="P934" s="38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>
      <c r="A935" s="3" t="s">
        <v>296</v>
      </c>
      <c r="C935" s="127" t="e">
        <f>#REF!</f>
        <v>#REF!</v>
      </c>
      <c r="D935" s="127">
        <v>0</v>
      </c>
      <c r="E935" s="132"/>
      <c r="F935" s="11"/>
      <c r="G935" s="135" t="e">
        <f>#REF!</f>
        <v>#REF!</v>
      </c>
      <c r="H935" s="135">
        <v>0</v>
      </c>
      <c r="I935" s="132"/>
      <c r="J935" s="11"/>
      <c r="K935" s="135" t="e">
        <f>G935</f>
        <v>#REF!</v>
      </c>
      <c r="M935" s="152"/>
      <c r="N935" s="152"/>
      <c r="O935" s="153"/>
      <c r="P935" s="38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6.5" thickBot="1">
      <c r="A936" s="1" t="s">
        <v>1</v>
      </c>
      <c r="B936" s="1"/>
      <c r="C936" s="256" t="e">
        <f>C934+C935</f>
        <v>#REF!</v>
      </c>
      <c r="D936" s="256">
        <f>D934+D935</f>
        <v>453965.95876460936</v>
      </c>
      <c r="E936" s="280"/>
      <c r="F936" s="281"/>
      <c r="G936" s="137" t="e">
        <f>G934+G935</f>
        <v>#REF!</v>
      </c>
      <c r="H936" s="137">
        <f>H934+H935</f>
        <v>59531.32</v>
      </c>
      <c r="I936" s="280"/>
      <c r="J936" s="281"/>
      <c r="K936" s="137" t="e">
        <f>K934+K935</f>
        <v>#REF!</v>
      </c>
      <c r="M936" s="154"/>
      <c r="N936" s="140" t="s">
        <v>213</v>
      </c>
      <c r="O936" s="279" t="e">
        <f>#REF!*1000</f>
        <v>#REF!</v>
      </c>
      <c r="P936" s="8" t="s">
        <v>13</v>
      </c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6.5" thickTop="1">
      <c r="A937" s="1"/>
      <c r="B937" s="1"/>
      <c r="C937" s="1"/>
      <c r="D937" s="1"/>
      <c r="E937" s="282"/>
      <c r="F937" s="1"/>
      <c r="G937" s="1"/>
      <c r="H937" s="1"/>
      <c r="I937" s="282" t="s">
        <v>13</v>
      </c>
      <c r="J937" s="1"/>
      <c r="K937" s="2" t="s">
        <v>13</v>
      </c>
      <c r="M937" s="11"/>
      <c r="N937" s="140" t="s">
        <v>114</v>
      </c>
      <c r="O937" s="279" t="e">
        <f>O936-K936</f>
        <v>#REF!</v>
      </c>
      <c r="P937" s="8" t="e">
        <f>(O936-K936)/K936</f>
        <v>#REF!</v>
      </c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>
      <c r="A938" s="156" t="s">
        <v>297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11"/>
      <c r="N938" s="11"/>
      <c r="O938" s="38"/>
      <c r="P938" s="38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>
      <c r="A939" s="1" t="s">
        <v>298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11"/>
      <c r="N939" s="11"/>
      <c r="O939" s="38"/>
      <c r="P939" s="38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>
      <c r="A940" s="1"/>
      <c r="B940" s="1"/>
      <c r="C940" s="1"/>
      <c r="D940" s="1"/>
      <c r="E940" s="282"/>
      <c r="F940" s="1"/>
      <c r="G940" s="1"/>
      <c r="H940" s="1"/>
      <c r="I940" s="282"/>
      <c r="J940" s="1"/>
      <c r="K940" s="1"/>
      <c r="M940" s="11"/>
      <c r="N940" s="11"/>
      <c r="O940" s="38"/>
      <c r="P940" s="38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>
      <c r="A941" s="1" t="s">
        <v>292</v>
      </c>
      <c r="B941" s="1"/>
      <c r="C941" s="12"/>
      <c r="D941" s="12"/>
      <c r="E941" s="161"/>
      <c r="F941" s="1"/>
      <c r="G941" s="275">
        <f>G952+G978</f>
        <v>2152.73</v>
      </c>
      <c r="H941" s="275">
        <f>H952+H978</f>
        <v>2349.2199999999998</v>
      </c>
      <c r="I941" s="161"/>
      <c r="J941" s="1"/>
      <c r="K941" s="2">
        <f>G941</f>
        <v>2152.73</v>
      </c>
      <c r="M941" s="279">
        <f>K941</f>
        <v>2152.73</v>
      </c>
      <c r="N941" s="11"/>
      <c r="O941" s="38"/>
      <c r="P941" s="38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>
      <c r="A942" s="1" t="s">
        <v>407</v>
      </c>
      <c r="B942" s="1"/>
      <c r="C942" s="127">
        <f>C968+C979+C980</f>
        <v>2017979</v>
      </c>
      <c r="D942" s="127">
        <f>D968+D979</f>
        <v>999683</v>
      </c>
      <c r="E942" s="276">
        <v>6.1459999999999999</v>
      </c>
      <c r="F942" s="1" t="s">
        <v>178</v>
      </c>
      <c r="G942" s="277">
        <f>G968+G979+G980</f>
        <v>124025</v>
      </c>
      <c r="H942" s="277">
        <f>H968+H979</f>
        <v>61441</v>
      </c>
      <c r="I942" s="276">
        <f>'Blocking - detail'!I939</f>
        <v>6.1459999999999999</v>
      </c>
      <c r="J942" s="1" t="s">
        <v>178</v>
      </c>
      <c r="K942" s="2">
        <f>K968+K979</f>
        <v>65376</v>
      </c>
      <c r="M942" s="42">
        <f>(I942/100)*D942</f>
        <v>61440.517180000003</v>
      </c>
      <c r="N942" s="11"/>
      <c r="O942" s="38"/>
      <c r="P942" s="38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>
      <c r="A943" s="1" t="s">
        <v>409</v>
      </c>
      <c r="B943" s="1"/>
      <c r="C943" s="127">
        <f>C969</f>
        <v>2425702</v>
      </c>
      <c r="D943" s="127">
        <f>D969+D980</f>
        <v>3439646</v>
      </c>
      <c r="E943" s="284">
        <f>E942</f>
        <v>6.1459999999999999</v>
      </c>
      <c r="F943" s="1" t="s">
        <v>178</v>
      </c>
      <c r="G943" s="277">
        <f>SUM(G954:G966)</f>
        <v>149307.61000000002</v>
      </c>
      <c r="H943" s="277">
        <f>H969+H980</f>
        <v>60532</v>
      </c>
      <c r="I943" s="284">
        <f>I942</f>
        <v>6.1459999999999999</v>
      </c>
      <c r="J943" s="1" t="s">
        <v>178</v>
      </c>
      <c r="K943" s="2">
        <f>K969+K980</f>
        <v>68174</v>
      </c>
      <c r="M943" s="42">
        <f>(I943/100)*D943</f>
        <v>211400.64316000001</v>
      </c>
      <c r="N943" s="11"/>
      <c r="O943" s="38"/>
      <c r="P943" s="38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>
      <c r="A944" s="1" t="s">
        <v>166</v>
      </c>
      <c r="B944" s="1"/>
      <c r="C944" s="127">
        <f>C970+C981</f>
        <v>3046</v>
      </c>
      <c r="D944" s="127">
        <f>D970+D981</f>
        <v>3401</v>
      </c>
      <c r="E944" s="278"/>
      <c r="F944" s="1"/>
      <c r="G944" s="2"/>
      <c r="H944" s="2"/>
      <c r="I944" s="278"/>
      <c r="J944" s="1"/>
      <c r="K944" s="2"/>
      <c r="M944" s="11"/>
      <c r="N944" s="11"/>
      <c r="O944" s="38"/>
      <c r="P944" s="38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>
      <c r="A945" s="3" t="s">
        <v>295</v>
      </c>
      <c r="C945" s="127">
        <f>C971+C982</f>
        <v>4443681</v>
      </c>
      <c r="D945" s="127">
        <f>D971+D982</f>
        <v>4439329.75109665</v>
      </c>
      <c r="E945" s="132"/>
      <c r="F945" s="11"/>
      <c r="G945" s="135">
        <f>G941+G942+G943</f>
        <v>275485.34000000003</v>
      </c>
      <c r="H945" s="135">
        <f>H971+H982</f>
        <v>124322.22</v>
      </c>
      <c r="I945" s="132"/>
      <c r="J945" s="11"/>
      <c r="K945" s="135">
        <f>K971+K982</f>
        <v>296529.72609999997</v>
      </c>
      <c r="M945" s="279">
        <f>SUM(M941:M944)</f>
        <v>274993.89034000004</v>
      </c>
      <c r="N945" s="11"/>
      <c r="O945" s="38"/>
      <c r="P945" s="38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>
      <c r="A946" s="3" t="s">
        <v>296</v>
      </c>
      <c r="C946" s="127" t="e">
        <f>C972+C983</f>
        <v>#REF!</v>
      </c>
      <c r="D946" s="127">
        <f>D972+D983</f>
        <v>0</v>
      </c>
      <c r="E946" s="132"/>
      <c r="F946" s="11"/>
      <c r="G946" s="135" t="e">
        <f>G972+G983</f>
        <v>#REF!</v>
      </c>
      <c r="H946" s="135">
        <f>H972+H983</f>
        <v>0</v>
      </c>
      <c r="I946" s="132"/>
      <c r="J946" s="11"/>
      <c r="K946" s="135" t="e">
        <f>G946</f>
        <v>#REF!</v>
      </c>
      <c r="M946" s="152"/>
      <c r="N946" s="152"/>
      <c r="O946" s="153"/>
      <c r="P946" s="38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6.5" thickBot="1">
      <c r="A947" s="1" t="s">
        <v>1</v>
      </c>
      <c r="B947" s="1"/>
      <c r="C947" s="256" t="e">
        <f>C945+C946</f>
        <v>#REF!</v>
      </c>
      <c r="D947" s="256">
        <f>D945+D946</f>
        <v>4439329.75109665</v>
      </c>
      <c r="E947" s="280"/>
      <c r="F947" s="281"/>
      <c r="G947" s="137" t="e">
        <f>G945+G946</f>
        <v>#REF!</v>
      </c>
      <c r="H947" s="137">
        <f>H945+H946</f>
        <v>124322.22</v>
      </c>
      <c r="I947" s="280"/>
      <c r="J947" s="281"/>
      <c r="K947" s="137" t="e">
        <f>K945+K946</f>
        <v>#REF!</v>
      </c>
      <c r="M947" s="154"/>
      <c r="N947" s="140" t="s">
        <v>213</v>
      </c>
      <c r="O947" s="279" t="e">
        <f>#REF!*1000</f>
        <v>#REF!</v>
      </c>
      <c r="P947" s="38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6.5" thickTop="1">
      <c r="A948" s="1"/>
      <c r="B948" s="1"/>
      <c r="C948" s="16"/>
      <c r="D948" s="16"/>
      <c r="E948" s="285"/>
      <c r="F948" s="14"/>
      <c r="G948" s="20"/>
      <c r="H948" s="20"/>
      <c r="I948" s="285" t="s">
        <v>13</v>
      </c>
      <c r="J948" s="14"/>
      <c r="K948" s="20" t="s">
        <v>13</v>
      </c>
      <c r="M948" s="11"/>
      <c r="N948" s="140" t="s">
        <v>114</v>
      </c>
      <c r="P948" s="38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>
      <c r="A949" s="156" t="s">
        <v>301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279"/>
      <c r="N949" s="279"/>
      <c r="O949" s="38"/>
      <c r="P949" s="38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>
      <c r="A950" s="1" t="s">
        <v>302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11"/>
      <c r="N950" s="11"/>
      <c r="O950" s="38"/>
      <c r="P950" s="38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>
      <c r="A951" s="1"/>
      <c r="B951" s="1"/>
      <c r="C951" s="1"/>
      <c r="D951" s="1"/>
      <c r="E951" s="282"/>
      <c r="F951" s="1"/>
      <c r="G951" s="1"/>
      <c r="H951" s="1"/>
      <c r="I951" s="282"/>
      <c r="J951" s="1"/>
      <c r="K951" s="1"/>
      <c r="M951" s="11"/>
      <c r="N951" s="11"/>
      <c r="O951" s="38"/>
      <c r="P951" s="38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>
      <c r="A952" s="1" t="s">
        <v>292</v>
      </c>
      <c r="B952" s="1"/>
      <c r="C952" s="12"/>
      <c r="D952" s="12"/>
      <c r="E952" s="161"/>
      <c r="F952" s="1"/>
      <c r="G952" s="275">
        <v>2152.73</v>
      </c>
      <c r="H952" s="275">
        <v>2349.2199999999998</v>
      </c>
      <c r="I952" s="161"/>
      <c r="J952" s="1"/>
      <c r="K952" s="2">
        <f>G952</f>
        <v>2152.73</v>
      </c>
      <c r="M952" s="11"/>
      <c r="N952" s="11"/>
      <c r="O952" s="38"/>
      <c r="P952" s="38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>
      <c r="A953" s="1" t="s">
        <v>383</v>
      </c>
      <c r="B953" s="1"/>
      <c r="C953" s="12"/>
      <c r="D953" s="12"/>
      <c r="E953" s="161"/>
      <c r="F953" s="1"/>
      <c r="G953" s="275"/>
      <c r="H953" s="275"/>
      <c r="I953" s="161"/>
      <c r="J953" s="1"/>
      <c r="K953" s="2"/>
      <c r="M953" s="11"/>
      <c r="N953" s="11"/>
      <c r="O953" s="279" t="e">
        <f>O947-K947</f>
        <v>#REF!</v>
      </c>
      <c r="P953" s="38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>
      <c r="A954" s="3" t="s">
        <v>396</v>
      </c>
      <c r="B954" s="1"/>
      <c r="C954" s="12">
        <f>4115+22+44+10+367+2+4</f>
        <v>4564</v>
      </c>
      <c r="D954" s="12"/>
      <c r="E954" s="161">
        <v>1.91</v>
      </c>
      <c r="F954" s="1"/>
      <c r="G954" s="275">
        <f t="shared" ref="G954:G959" si="91">E954*C954</f>
        <v>8717.24</v>
      </c>
      <c r="H954" s="275"/>
      <c r="I954" s="161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11"/>
      <c r="N954" s="11"/>
      <c r="O954" s="38">
        <v>31</v>
      </c>
      <c r="P954" s="478">
        <f t="shared" ref="P954:P959" si="94">E954/O954</f>
        <v>6.1612903225806447E-2</v>
      </c>
      <c r="Q954" s="11"/>
      <c r="R954" s="11">
        <v>6.1460000000000001E-2</v>
      </c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>
      <c r="A955" s="3" t="s">
        <v>397</v>
      </c>
      <c r="B955" s="1"/>
      <c r="C955" s="12">
        <f>7386+30+690+6</f>
        <v>8112</v>
      </c>
      <c r="D955" s="12"/>
      <c r="E955" s="161">
        <v>2.7</v>
      </c>
      <c r="F955" s="1"/>
      <c r="G955" s="275">
        <f t="shared" si="91"/>
        <v>21902.400000000001</v>
      </c>
      <c r="H955" s="275"/>
      <c r="I955" s="161">
        <f t="shared" si="92"/>
        <v>2.9119200000000003</v>
      </c>
      <c r="J955" s="1"/>
      <c r="K955" s="2">
        <f t="shared" si="93"/>
        <v>23621.495040000002</v>
      </c>
      <c r="M955" s="11"/>
      <c r="N955" s="11"/>
      <c r="O955" s="38">
        <v>44</v>
      </c>
      <c r="P955" s="478">
        <f t="shared" si="94"/>
        <v>6.136363636363637E-2</v>
      </c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>
      <c r="A956" s="3" t="s">
        <v>398</v>
      </c>
      <c r="B956" s="1"/>
      <c r="C956" s="12">
        <f>357+715+39+65</f>
        <v>1176</v>
      </c>
      <c r="D956" s="12"/>
      <c r="E956" s="161">
        <v>3.93</v>
      </c>
      <c r="F956" s="1"/>
      <c r="G956" s="275">
        <f t="shared" si="91"/>
        <v>4621.68</v>
      </c>
      <c r="H956" s="275"/>
      <c r="I956" s="161">
        <f t="shared" si="92"/>
        <v>4.2355200000000002</v>
      </c>
      <c r="J956" s="1"/>
      <c r="K956" s="2">
        <f t="shared" si="93"/>
        <v>4980.9715200000001</v>
      </c>
      <c r="M956" s="11"/>
      <c r="N956" s="11"/>
      <c r="O956" s="38">
        <v>64</v>
      </c>
      <c r="P956" s="478">
        <f t="shared" si="94"/>
        <v>6.1406250000000002E-2</v>
      </c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>
      <c r="A957" s="3" t="s">
        <v>399</v>
      </c>
      <c r="B957" s="1"/>
      <c r="C957" s="12">
        <f>10556+1033</f>
        <v>11589</v>
      </c>
      <c r="D957" s="12"/>
      <c r="E957" s="161">
        <v>5.22</v>
      </c>
      <c r="F957" s="1"/>
      <c r="G957" s="275">
        <f t="shared" si="91"/>
        <v>60494.579999999994</v>
      </c>
      <c r="H957" s="275"/>
      <c r="I957" s="161">
        <f t="shared" si="92"/>
        <v>5.6252999999999993</v>
      </c>
      <c r="J957" s="1"/>
      <c r="K957" s="2">
        <f t="shared" si="93"/>
        <v>65191.601699999992</v>
      </c>
      <c r="M957" s="11"/>
      <c r="N957" s="11"/>
      <c r="O957" s="38">
        <v>85</v>
      </c>
      <c r="P957" s="478">
        <f t="shared" si="94"/>
        <v>6.1411764705882353E-2</v>
      </c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>
      <c r="A958" s="3" t="s">
        <v>400</v>
      </c>
      <c r="B958" s="1"/>
      <c r="C958" s="12">
        <f>1478+146+231+2458</f>
        <v>4313</v>
      </c>
      <c r="D958" s="12"/>
      <c r="E958" s="161">
        <v>7.07</v>
      </c>
      <c r="F958" s="1"/>
      <c r="G958" s="275">
        <f t="shared" si="91"/>
        <v>30492.91</v>
      </c>
      <c r="H958" s="275"/>
      <c r="I958" s="161">
        <f t="shared" si="92"/>
        <v>7.6107000000000005</v>
      </c>
      <c r="J958" s="1"/>
      <c r="K958" s="2">
        <f t="shared" si="93"/>
        <v>32824.949100000005</v>
      </c>
      <c r="M958" s="11"/>
      <c r="N958" s="11"/>
      <c r="O958" s="38">
        <v>115</v>
      </c>
      <c r="P958" s="478">
        <f t="shared" si="94"/>
        <v>6.1478260869565218E-2</v>
      </c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>
      <c r="A959" s="3" t="s">
        <v>401</v>
      </c>
      <c r="B959" s="1"/>
      <c r="C959" s="12">
        <f>1575+177</f>
        <v>1752</v>
      </c>
      <c r="D959" s="12"/>
      <c r="E959" s="161">
        <v>10.82</v>
      </c>
      <c r="F959" s="1"/>
      <c r="G959" s="275">
        <f t="shared" si="91"/>
        <v>18956.64</v>
      </c>
      <c r="H959" s="275"/>
      <c r="I959" s="161">
        <f t="shared" si="92"/>
        <v>11.647680000000001</v>
      </c>
      <c r="J959" s="1"/>
      <c r="K959" s="2">
        <f t="shared" si="93"/>
        <v>20406.735360000002</v>
      </c>
      <c r="M959" s="11"/>
      <c r="N959" s="11"/>
      <c r="O959" s="38">
        <v>176</v>
      </c>
      <c r="P959" s="478">
        <f t="shared" si="94"/>
        <v>6.1477272727272728E-2</v>
      </c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>
      <c r="B960" s="1"/>
      <c r="C960" s="12"/>
      <c r="D960" s="12"/>
      <c r="E960" s="161"/>
      <c r="F960" s="1"/>
      <c r="G960" s="275"/>
      <c r="H960" s="275"/>
      <c r="I960" s="161"/>
      <c r="J960" s="1"/>
      <c r="K960" s="2"/>
      <c r="M960" s="11"/>
      <c r="N960" s="11"/>
      <c r="O960" s="38"/>
      <c r="P960" s="38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>
      <c r="A961" s="3" t="s">
        <v>384</v>
      </c>
      <c r="B961" s="1"/>
      <c r="C961" s="12"/>
      <c r="D961" s="12"/>
      <c r="E961" s="161"/>
      <c r="F961" s="1"/>
      <c r="G961" s="275"/>
      <c r="H961" s="275"/>
      <c r="I961" s="161" t="s">
        <v>13</v>
      </c>
      <c r="J961" s="1"/>
      <c r="K961" s="2"/>
      <c r="M961" s="11"/>
      <c r="N961" s="11"/>
      <c r="O961" s="38"/>
      <c r="P961" s="38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>
      <c r="A962" s="3" t="s">
        <v>402</v>
      </c>
      <c r="B962" s="1"/>
      <c r="C962" s="12">
        <v>0</v>
      </c>
      <c r="D962" s="12"/>
      <c r="E962" s="161">
        <v>2.4</v>
      </c>
      <c r="F962" s="1"/>
      <c r="G962" s="275">
        <f>E962*C962</f>
        <v>0</v>
      </c>
      <c r="H962" s="275"/>
      <c r="I962" s="161">
        <f>$I$968*O962/100</f>
        <v>2.5810200000000005</v>
      </c>
      <c r="J962" s="1"/>
      <c r="K962" s="2">
        <f>I962*$C962</f>
        <v>0</v>
      </c>
      <c r="M962" s="11"/>
      <c r="N962" s="11"/>
      <c r="O962" s="38">
        <v>39</v>
      </c>
      <c r="P962" s="478">
        <f>E962/O962</f>
        <v>6.1538461538461535E-2</v>
      </c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>
      <c r="A963" s="3" t="s">
        <v>403</v>
      </c>
      <c r="B963" s="1"/>
      <c r="C963" s="12">
        <f>370</f>
        <v>370</v>
      </c>
      <c r="D963" s="12"/>
      <c r="E963" s="161">
        <v>4.18</v>
      </c>
      <c r="F963" s="1"/>
      <c r="G963" s="275">
        <f>E963*C963</f>
        <v>1546.6</v>
      </c>
      <c r="H963" s="275"/>
      <c r="I963" s="161">
        <f>$I$968*O963/100</f>
        <v>4.5002399999999998</v>
      </c>
      <c r="J963" s="1"/>
      <c r="K963" s="2">
        <f>I963*$C963</f>
        <v>1665.0888</v>
      </c>
      <c r="M963" s="11"/>
      <c r="N963" s="11"/>
      <c r="O963" s="38">
        <v>68</v>
      </c>
      <c r="P963" s="478">
        <f>E963/O963</f>
        <v>6.147058823529411E-2</v>
      </c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>
      <c r="A964" s="3" t="s">
        <v>404</v>
      </c>
      <c r="B964" s="1"/>
      <c r="C964" s="12">
        <f>4</f>
        <v>4</v>
      </c>
      <c r="D964" s="12"/>
      <c r="E964" s="161">
        <v>5.78</v>
      </c>
      <c r="F964" s="1"/>
      <c r="G964" s="275">
        <f>E964*C964</f>
        <v>23.12</v>
      </c>
      <c r="H964" s="275"/>
      <c r="I964" s="161">
        <f>$I$968*O964/100</f>
        <v>6.2209199999999996</v>
      </c>
      <c r="J964" s="1"/>
      <c r="K964" s="2">
        <f>I964*$C964</f>
        <v>24.883679999999998</v>
      </c>
      <c r="M964" s="11"/>
      <c r="N964" s="11"/>
      <c r="O964" s="38">
        <v>94</v>
      </c>
      <c r="P964" s="478">
        <f>E964/O964</f>
        <v>6.1489361702127661E-2</v>
      </c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>
      <c r="A965" s="3" t="s">
        <v>405</v>
      </c>
      <c r="B965" s="1"/>
      <c r="C965" s="12">
        <f>128+39</f>
        <v>167</v>
      </c>
      <c r="D965" s="12"/>
      <c r="E965" s="161">
        <v>9.16</v>
      </c>
      <c r="F965" s="1"/>
      <c r="G965" s="275">
        <f>E965*C965</f>
        <v>1529.72</v>
      </c>
      <c r="H965" s="275"/>
      <c r="I965" s="161">
        <f>$I$968*O965/100</f>
        <v>9.8608200000000004</v>
      </c>
      <c r="J965" s="1"/>
      <c r="K965" s="2">
        <f>I965*$C965</f>
        <v>1646.75694</v>
      </c>
      <c r="M965" s="11"/>
      <c r="N965" s="11"/>
      <c r="O965" s="38">
        <v>149</v>
      </c>
      <c r="P965" s="478">
        <f>E965/O965</f>
        <v>6.1476510067114097E-2</v>
      </c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>
      <c r="A966" s="3" t="s">
        <v>406</v>
      </c>
      <c r="B966" s="1"/>
      <c r="C966" s="12">
        <f>47</f>
        <v>47</v>
      </c>
      <c r="D966" s="12"/>
      <c r="E966" s="161">
        <v>21.76</v>
      </c>
      <c r="F966" s="1"/>
      <c r="G966" s="275">
        <f>E966*C966</f>
        <v>1022.72</v>
      </c>
      <c r="H966" s="275"/>
      <c r="I966" s="161">
        <f>$I$968*O966/100</f>
        <v>23.427720000000001</v>
      </c>
      <c r="J966" s="1"/>
      <c r="K966" s="2">
        <f>I966*$C966</f>
        <v>1101.10284</v>
      </c>
      <c r="M966" s="11"/>
      <c r="N966" s="11"/>
      <c r="O966" s="38">
        <v>354</v>
      </c>
      <c r="P966" s="478">
        <f>E966/O966</f>
        <v>6.1468926553672323E-2</v>
      </c>
      <c r="Q966" s="11" t="s">
        <v>13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>
      <c r="A967" s="1"/>
      <c r="B967" s="1"/>
      <c r="C967" s="12"/>
      <c r="D967" s="12"/>
      <c r="E967" s="161"/>
      <c r="F967" s="1"/>
      <c r="G967" s="275"/>
      <c r="H967" s="275"/>
      <c r="I967" s="161"/>
      <c r="J967" s="1"/>
      <c r="K967" s="2"/>
      <c r="M967" s="11"/>
      <c r="N967" s="11"/>
      <c r="O967" s="38"/>
      <c r="P967" s="38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>
      <c r="A968" s="1" t="s">
        <v>407</v>
      </c>
      <c r="B968" s="1"/>
      <c r="C968" s="127">
        <f>363706+292497+2160+112145+73788+6445+101667+34034+586+824</f>
        <v>987852</v>
      </c>
      <c r="D968" s="182">
        <f>ROUND(($D$971/$C$971)*C968,0)</f>
        <v>999683</v>
      </c>
      <c r="E968" s="276">
        <f>$E$942</f>
        <v>6.1459999999999999</v>
      </c>
      <c r="F968" s="1" t="s">
        <v>178</v>
      </c>
      <c r="G968" s="277">
        <f>ROUND(C968*E968/100,0)</f>
        <v>60713</v>
      </c>
      <c r="H968" s="277">
        <f>ROUND(D968*E968/100,0)</f>
        <v>61441</v>
      </c>
      <c r="I968" s="276">
        <v>6.6180000000000003</v>
      </c>
      <c r="J968" s="1" t="s">
        <v>178</v>
      </c>
      <c r="K968" s="2">
        <f>ROUND(I968*C968/100,0)</f>
        <v>65376</v>
      </c>
      <c r="M968" s="11"/>
      <c r="N968" s="11"/>
      <c r="O968" s="38"/>
      <c r="P968" s="38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>
      <c r="A969" s="1" t="s">
        <v>408</v>
      </c>
      <c r="B969" s="1"/>
      <c r="C969" s="127">
        <f>127566+324980+1320+22848+897247+169940+277177+682+1364+39325+272844+4120+11377+30360+264+2496+87808+16790+31152+28120+432+22016+6708+19364+62+124+3575+25641</f>
        <v>2425702</v>
      </c>
      <c r="D969" s="182">
        <f>ROUND(($D$971/$C$971)*C969,0)</f>
        <v>2454753</v>
      </c>
      <c r="E969" s="284" t="s">
        <v>13</v>
      </c>
      <c r="F969" s="1" t="s">
        <v>13</v>
      </c>
      <c r="G969" s="277" t="s">
        <v>13</v>
      </c>
      <c r="H969" s="277">
        <f>ROUND(D969*E969/100,0)</f>
        <v>0</v>
      </c>
      <c r="I969" s="284">
        <v>0</v>
      </c>
      <c r="J969" s="1" t="s">
        <v>178</v>
      </c>
      <c r="K969" s="2">
        <v>0</v>
      </c>
      <c r="M969" s="11"/>
      <c r="N969" s="11"/>
      <c r="O969" s="38"/>
      <c r="P969" s="38">
        <v>211950</v>
      </c>
      <c r="Q969" s="2">
        <f>C969*0.06146</f>
        <v>149083.64491999999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>
      <c r="A970" s="1" t="s">
        <v>166</v>
      </c>
      <c r="B970" s="1"/>
      <c r="C970" s="127">
        <f>54+1950</f>
        <v>2004</v>
      </c>
      <c r="D970" s="182">
        <v>2369</v>
      </c>
      <c r="E970" s="278"/>
      <c r="F970" s="1"/>
      <c r="G970" s="2"/>
      <c r="H970" s="2"/>
      <c r="I970" s="278"/>
      <c r="J970" s="1"/>
      <c r="K970" s="2"/>
      <c r="M970" s="11"/>
      <c r="N970" s="11"/>
      <c r="O970" s="38"/>
      <c r="P970" s="38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>
      <c r="A971" s="3" t="s">
        <v>295</v>
      </c>
      <c r="C971" s="127">
        <f>C968+C969</f>
        <v>3413554</v>
      </c>
      <c r="D971" s="127">
        <v>3454436.4805654008</v>
      </c>
      <c r="E971" s="132"/>
      <c r="F971" s="11"/>
      <c r="G971" s="135">
        <f>SUM(G952:G969)</f>
        <v>212173.34</v>
      </c>
      <c r="H971" s="135">
        <f>SUM(H952:H969)</f>
        <v>63790.22</v>
      </c>
      <c r="I971" s="132"/>
      <c r="J971" s="11"/>
      <c r="K971" s="135">
        <f>SUM(K952:K969)</f>
        <v>228355.72609999997</v>
      </c>
      <c r="M971" s="11"/>
      <c r="N971" s="11"/>
      <c r="O971" s="38"/>
      <c r="P971" s="38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>
      <c r="A972" s="3" t="s">
        <v>296</v>
      </c>
      <c r="C972" s="127" t="e">
        <f>#REF!</f>
        <v>#REF!</v>
      </c>
      <c r="D972" s="127">
        <v>0</v>
      </c>
      <c r="E972" s="132"/>
      <c r="F972" s="11"/>
      <c r="G972" s="135" t="e">
        <f>#REF!</f>
        <v>#REF!</v>
      </c>
      <c r="H972" s="135">
        <v>0</v>
      </c>
      <c r="I972" s="132"/>
      <c r="J972" s="11"/>
      <c r="K972" s="135" t="e">
        <f>G972</f>
        <v>#REF!</v>
      </c>
      <c r="M972" s="307"/>
      <c r="N972" s="307"/>
      <c r="O972" s="150"/>
      <c r="P972" s="38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6.5" thickBot="1">
      <c r="A973" s="1" t="s">
        <v>1</v>
      </c>
      <c r="B973" s="1"/>
      <c r="C973" s="256" t="e">
        <f>C971+C972</f>
        <v>#REF!</v>
      </c>
      <c r="D973" s="256">
        <f>D971+D972</f>
        <v>3454436.4805654008</v>
      </c>
      <c r="E973" s="280"/>
      <c r="F973" s="281"/>
      <c r="G973" s="137" t="e">
        <f>G971+G972</f>
        <v>#REF!</v>
      </c>
      <c r="H973" s="137">
        <f>H971+H972</f>
        <v>63790.22</v>
      </c>
      <c r="I973" s="280"/>
      <c r="J973" s="281"/>
      <c r="K973" s="137" t="e">
        <f>K971+K972</f>
        <v>#REF!</v>
      </c>
      <c r="M973" s="274"/>
      <c r="N973" s="274"/>
      <c r="O973" s="333"/>
      <c r="P973" s="38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6.5" thickTop="1">
      <c r="A974" s="1"/>
      <c r="B974" s="1"/>
      <c r="C974" s="16"/>
      <c r="D974" s="16"/>
      <c r="E974" s="285"/>
      <c r="F974" s="14"/>
      <c r="G974" s="20"/>
      <c r="H974" s="20"/>
      <c r="I974" s="285" t="s">
        <v>13</v>
      </c>
      <c r="J974" s="14"/>
      <c r="K974" s="20" t="s">
        <v>13</v>
      </c>
      <c r="M974" s="11"/>
      <c r="N974" s="11"/>
      <c r="O974" s="38"/>
      <c r="P974" s="38" t="s">
        <v>13</v>
      </c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>
      <c r="A975" s="156" t="s">
        <v>303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11"/>
      <c r="N975" s="11"/>
      <c r="O975" s="38"/>
      <c r="P975" s="38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>
      <c r="A976" s="1" t="s">
        <v>304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11"/>
      <c r="N976" s="11"/>
      <c r="O976" s="38"/>
      <c r="P976" s="38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>
      <c r="A977" s="1"/>
      <c r="B977" s="1"/>
      <c r="C977" s="1"/>
      <c r="D977" s="1"/>
      <c r="E977" s="282"/>
      <c r="F977" s="1"/>
      <c r="G977" s="1"/>
      <c r="H977" s="1"/>
      <c r="I977" s="282"/>
      <c r="J977" s="1"/>
      <c r="K977" s="1"/>
      <c r="M977" s="11"/>
      <c r="N977" s="11"/>
      <c r="O977" s="38"/>
      <c r="P977" s="38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>
      <c r="A978" s="1" t="s">
        <v>292</v>
      </c>
      <c r="B978" s="1"/>
      <c r="C978" s="12"/>
      <c r="D978" s="12"/>
      <c r="E978" s="161"/>
      <c r="F978" s="1"/>
      <c r="G978" s="275">
        <v>0</v>
      </c>
      <c r="H978" s="275">
        <v>0</v>
      </c>
      <c r="I978" s="161"/>
      <c r="J978" s="1"/>
      <c r="K978" s="2">
        <f>G978</f>
        <v>0</v>
      </c>
      <c r="M978" s="11"/>
      <c r="N978" s="11"/>
      <c r="O978" s="38"/>
      <c r="P978" s="38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>
      <c r="A979" s="1" t="s">
        <v>299</v>
      </c>
      <c r="B979" s="1"/>
      <c r="C979" s="127">
        <v>0</v>
      </c>
      <c r="D979" s="182">
        <f>ROUND(($D$982/$C$982)*C979,0)</f>
        <v>0</v>
      </c>
      <c r="E979" s="276">
        <f>$E$942</f>
        <v>6.1459999999999999</v>
      </c>
      <c r="F979" s="1" t="s">
        <v>178</v>
      </c>
      <c r="G979" s="277">
        <f>ROUND(C979*E979/100,0)</f>
        <v>0</v>
      </c>
      <c r="H979" s="277">
        <f>ROUND(D979*E979/100,0)</f>
        <v>0</v>
      </c>
      <c r="I979" s="276">
        <f>I968</f>
        <v>6.6180000000000003</v>
      </c>
      <c r="J979" s="1" t="s">
        <v>178</v>
      </c>
      <c r="K979" s="2">
        <f>ROUND(I979*D979/100,0)</f>
        <v>0</v>
      </c>
      <c r="M979" s="11"/>
      <c r="N979" s="11"/>
      <c r="O979" s="38"/>
      <c r="P979" s="38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>
      <c r="A980" s="1" t="s">
        <v>300</v>
      </c>
      <c r="B980" s="1"/>
      <c r="C980" s="127">
        <v>1030127</v>
      </c>
      <c r="D980" s="182">
        <f>ROUND(($D$982/$C$982)*C980,0)</f>
        <v>984893</v>
      </c>
      <c r="E980" s="284">
        <f>E979</f>
        <v>6.1459999999999999</v>
      </c>
      <c r="F980" s="1" t="s">
        <v>178</v>
      </c>
      <c r="G980" s="277">
        <f>ROUND(C980*E980/100,0)</f>
        <v>63312</v>
      </c>
      <c r="H980" s="277">
        <f>ROUND(D980*E980/100,0)</f>
        <v>60532</v>
      </c>
      <c r="I980" s="284">
        <f>I979</f>
        <v>6.6180000000000003</v>
      </c>
      <c r="J980" s="1" t="s">
        <v>178</v>
      </c>
      <c r="K980" s="2">
        <f>ROUND(I980*$C980/100,0)</f>
        <v>68174</v>
      </c>
      <c r="M980" s="11"/>
      <c r="N980" s="11"/>
      <c r="O980" s="38"/>
      <c r="P980" s="38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>
      <c r="A981" s="1" t="s">
        <v>166</v>
      </c>
      <c r="B981" s="1"/>
      <c r="C981" s="127">
        <v>1042</v>
      </c>
      <c r="D981" s="182">
        <v>1032</v>
      </c>
      <c r="E981" s="278"/>
      <c r="F981" s="1"/>
      <c r="G981" s="2"/>
      <c r="H981" s="2"/>
      <c r="I981" s="278"/>
      <c r="J981" s="1"/>
      <c r="K981" s="2"/>
      <c r="M981" s="11"/>
      <c r="N981" s="11"/>
      <c r="O981" s="38"/>
      <c r="P981" s="38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>
      <c r="A982" s="3" t="s">
        <v>295</v>
      </c>
      <c r="C982" s="127">
        <f>C979+C980</f>
        <v>1030127</v>
      </c>
      <c r="D982" s="127">
        <v>984893.270531249</v>
      </c>
      <c r="E982" s="132"/>
      <c r="F982" s="11"/>
      <c r="G982" s="135">
        <f>SUM(G978:G980)</f>
        <v>63312</v>
      </c>
      <c r="H982" s="135">
        <f>SUM(H978:H980)</f>
        <v>60532</v>
      </c>
      <c r="I982" s="132"/>
      <c r="J982" s="11"/>
      <c r="K982" s="135">
        <f>SUM(K978:K980)</f>
        <v>68174</v>
      </c>
      <c r="M982" s="11"/>
      <c r="N982" s="11"/>
      <c r="O982" s="38"/>
      <c r="P982" s="38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>
      <c r="A983" s="3" t="s">
        <v>296</v>
      </c>
      <c r="C983" s="127" t="e">
        <f>#REF!</f>
        <v>#REF!</v>
      </c>
      <c r="D983" s="127">
        <v>0</v>
      </c>
      <c r="E983" s="132"/>
      <c r="F983" s="11"/>
      <c r="G983" s="135" t="e">
        <f>#REF!</f>
        <v>#REF!</v>
      </c>
      <c r="H983" s="135">
        <v>0</v>
      </c>
      <c r="I983" s="132"/>
      <c r="J983" s="11"/>
      <c r="K983" s="135" t="e">
        <f>G983</f>
        <v>#REF!</v>
      </c>
      <c r="M983" s="307"/>
      <c r="N983" s="307"/>
      <c r="O983" s="150"/>
      <c r="P983" s="38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6.5" thickBot="1">
      <c r="A984" s="1" t="s">
        <v>1</v>
      </c>
      <c r="B984" s="1"/>
      <c r="C984" s="256" t="e">
        <f>C982+C983</f>
        <v>#REF!</v>
      </c>
      <c r="D984" s="256">
        <f>D982+D983</f>
        <v>984893.270531249</v>
      </c>
      <c r="E984" s="280"/>
      <c r="F984" s="281"/>
      <c r="G984" s="137" t="e">
        <f>G982+G983</f>
        <v>#REF!</v>
      </c>
      <c r="H984" s="137">
        <f>H982+H983</f>
        <v>60532</v>
      </c>
      <c r="I984" s="280"/>
      <c r="J984" s="281"/>
      <c r="K984" s="137" t="e">
        <f>K982+K983</f>
        <v>#REF!</v>
      </c>
      <c r="M984" s="274"/>
      <c r="N984" s="274"/>
      <c r="O984" s="333"/>
      <c r="P984" s="38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6.5" thickTop="1">
      <c r="A985" s="1"/>
      <c r="B985" s="1"/>
      <c r="C985" s="16"/>
      <c r="D985" s="16"/>
      <c r="E985" s="285"/>
      <c r="F985" s="14"/>
      <c r="G985" s="20"/>
      <c r="H985" s="20"/>
      <c r="I985" s="285" t="s">
        <v>13</v>
      </c>
      <c r="J985" s="14"/>
      <c r="K985" s="20" t="s">
        <v>13</v>
      </c>
      <c r="M985" s="11"/>
      <c r="N985" s="11"/>
      <c r="O985" s="38"/>
      <c r="P985" s="38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>
      <c r="A986" s="156" t="s">
        <v>305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13</v>
      </c>
      <c r="M986" s="11"/>
      <c r="N986" s="11"/>
      <c r="O986" s="38"/>
      <c r="P986" s="38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>
      <c r="A987" s="1" t="s">
        <v>80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11"/>
      <c r="N987" s="11"/>
      <c r="O987" s="38"/>
      <c r="P987" s="38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11"/>
      <c r="N988" s="11"/>
      <c r="O988" s="38"/>
      <c r="P988" s="38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>
      <c r="A989" s="1" t="s">
        <v>306</v>
      </c>
      <c r="B989" s="1"/>
      <c r="C989" s="12">
        <v>192</v>
      </c>
      <c r="D989" s="182">
        <v>190</v>
      </c>
      <c r="E989" s="161">
        <v>3.5</v>
      </c>
      <c r="F989" s="1"/>
      <c r="G989" s="2">
        <f>ROUND(E989*C989,0)</f>
        <v>672</v>
      </c>
      <c r="H989" s="2">
        <f>ROUND(E989*D989,0)</f>
        <v>665</v>
      </c>
      <c r="I989" s="161">
        <f>'Blocking - detail'!I960</f>
        <v>3.5</v>
      </c>
      <c r="J989" s="1"/>
      <c r="K989" s="2">
        <f>ROUND(I989*$C989,0)</f>
        <v>672</v>
      </c>
      <c r="M989" s="42">
        <f>I989*D989</f>
        <v>665</v>
      </c>
      <c r="N989" s="11"/>
      <c r="O989" s="288"/>
      <c r="P989" s="288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>
      <c r="A990" s="1" t="s">
        <v>307</v>
      </c>
      <c r="B990" s="1"/>
      <c r="C990" s="12">
        <v>146</v>
      </c>
      <c r="D990" s="182">
        <v>145</v>
      </c>
      <c r="E990" s="161">
        <v>6.5</v>
      </c>
      <c r="F990" s="1"/>
      <c r="G990" s="2">
        <f>ROUND(E990*C990,0)</f>
        <v>949</v>
      </c>
      <c r="H990" s="2">
        <f>ROUND(E990*D990,0)</f>
        <v>943</v>
      </c>
      <c r="I990" s="161">
        <f>'Blocking - detail'!I961</f>
        <v>6.5</v>
      </c>
      <c r="J990" s="1"/>
      <c r="K990" s="2">
        <f>ROUND(I990*$C990,0)</f>
        <v>949</v>
      </c>
      <c r="M990" s="42">
        <f>I990*D990</f>
        <v>942.5</v>
      </c>
      <c r="N990" s="11"/>
      <c r="O990" s="288"/>
      <c r="P990" s="288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>
      <c r="A991" s="1" t="s">
        <v>308</v>
      </c>
      <c r="B991" s="1"/>
      <c r="C991" s="12">
        <f>SUM(C989:C990)</f>
        <v>338</v>
      </c>
      <c r="D991" s="182">
        <v>335</v>
      </c>
      <c r="E991" s="237"/>
      <c r="F991" s="1"/>
      <c r="G991" s="277"/>
      <c r="H991" s="277"/>
      <c r="I991" s="237"/>
      <c r="J991" s="1"/>
      <c r="K991" s="2"/>
      <c r="M991" s="11"/>
      <c r="N991" s="11"/>
      <c r="O991" s="288"/>
      <c r="P991" s="288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>
      <c r="A992" s="1" t="s">
        <v>268</v>
      </c>
      <c r="B992" s="1"/>
      <c r="C992" s="12">
        <f>88297+144017</f>
        <v>232314</v>
      </c>
      <c r="D992" s="182">
        <v>235030</v>
      </c>
      <c r="E992" s="190">
        <v>7.2930000000000001</v>
      </c>
      <c r="F992" s="1" t="s">
        <v>178</v>
      </c>
      <c r="G992" s="277">
        <f>ROUND(C992*E992/100,0)</f>
        <v>16943</v>
      </c>
      <c r="H992" s="277">
        <f>ROUND(D992*E992/100,0)</f>
        <v>17141</v>
      </c>
      <c r="I992" s="190">
        <v>7.88</v>
      </c>
      <c r="J992" s="2" t="s">
        <v>178</v>
      </c>
      <c r="K992" s="2">
        <f>ROUND(I992*$C992/100,0)</f>
        <v>18306</v>
      </c>
      <c r="M992" s="42">
        <f>(I992/100)*D992</f>
        <v>18520.363999999998</v>
      </c>
      <c r="N992" s="11"/>
      <c r="O992" s="288"/>
      <c r="P992" s="288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>
      <c r="A993" s="1" t="s">
        <v>185</v>
      </c>
      <c r="B993" s="1"/>
      <c r="C993" s="182">
        <f>SUM(C992)</f>
        <v>232314</v>
      </c>
      <c r="D993" s="182">
        <f>SUM(D992)</f>
        <v>235030</v>
      </c>
      <c r="E993" s="12"/>
      <c r="F993" s="12"/>
      <c r="G993" s="277">
        <f>SUM(G989:G992)</f>
        <v>18564</v>
      </c>
      <c r="H993" s="277">
        <f>SUM(H989:H992)</f>
        <v>18749</v>
      </c>
      <c r="I993" s="12"/>
      <c r="J993" s="2"/>
      <c r="K993" s="277">
        <f>SUM(K989:K992)</f>
        <v>19927</v>
      </c>
      <c r="M993" s="279">
        <f>SUM(M989:M992)</f>
        <v>20127.863999999998</v>
      </c>
      <c r="N993" s="11"/>
      <c r="O993" s="38"/>
      <c r="P993" s="38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>
      <c r="A994" s="1" t="s">
        <v>167</v>
      </c>
      <c r="B994" s="1"/>
      <c r="C994" s="212" t="e">
        <f>#REF!</f>
        <v>#REF!</v>
      </c>
      <c r="D994" s="212">
        <v>0</v>
      </c>
      <c r="E994" s="290"/>
      <c r="F994" s="290"/>
      <c r="G994" s="291" t="e">
        <f>#REF!</f>
        <v>#REF!</v>
      </c>
      <c r="H994" s="291">
        <v>0</v>
      </c>
      <c r="I994" s="290"/>
      <c r="J994" s="290"/>
      <c r="K994" s="291" t="e">
        <f>G994</f>
        <v>#REF!</v>
      </c>
      <c r="M994" s="152"/>
      <c r="N994" s="152"/>
      <c r="O994" s="153"/>
      <c r="P994" s="38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6.5" thickBot="1">
      <c r="A995" s="1" t="s">
        <v>186</v>
      </c>
      <c r="B995" s="1"/>
      <c r="C995" s="229" t="e">
        <f>C993+C994</f>
        <v>#REF!</v>
      </c>
      <c r="D995" s="229">
        <f>D992+D994</f>
        <v>235030</v>
      </c>
      <c r="E995" s="208"/>
      <c r="F995" s="208"/>
      <c r="G995" s="175" t="e">
        <f>G993+G994</f>
        <v>#REF!</v>
      </c>
      <c r="H995" s="175">
        <f>H993+H994</f>
        <v>18749</v>
      </c>
      <c r="I995" s="208"/>
      <c r="J995" s="208"/>
      <c r="K995" s="175" t="e">
        <f>K993+K994</f>
        <v>#REF!</v>
      </c>
      <c r="M995" s="154"/>
      <c r="N995" s="140" t="s">
        <v>213</v>
      </c>
      <c r="O995" s="33" t="e">
        <f>#REF!*1000</f>
        <v>#REF!</v>
      </c>
      <c r="P995" s="38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6.5" thickTop="1">
      <c r="A996" s="1"/>
      <c r="B996" s="176"/>
      <c r="C996" s="1"/>
      <c r="D996" s="1"/>
      <c r="E996" s="1"/>
      <c r="F996" s="1"/>
      <c r="G996" s="1"/>
      <c r="H996" s="1"/>
      <c r="I996" s="1" t="s">
        <v>13</v>
      </c>
      <c r="J996" s="1"/>
      <c r="K996" s="2" t="s">
        <v>13</v>
      </c>
      <c r="M996" s="11"/>
      <c r="N996" s="140" t="s">
        <v>114</v>
      </c>
      <c r="O996" s="279" t="e">
        <f>O995-K995</f>
        <v>#REF!</v>
      </c>
      <c r="P996" s="139" t="e">
        <f>(O995-K995)/K995</f>
        <v>#REF!</v>
      </c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>
      <c r="A997" s="125" t="s">
        <v>309</v>
      </c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M997" s="11"/>
      <c r="N997" s="11"/>
      <c r="O997" s="38"/>
      <c r="P997" s="38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>
      <c r="A998" s="166" t="s">
        <v>310</v>
      </c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1"/>
      <c r="Z998" s="11"/>
      <c r="AA998" s="11"/>
      <c r="AB998" s="11"/>
      <c r="AC998" s="11"/>
    </row>
    <row r="999" spans="1:29">
      <c r="A999" s="293" t="s">
        <v>311</v>
      </c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1"/>
      <c r="Z999" s="11"/>
      <c r="AA999" s="11"/>
      <c r="AB999" s="11"/>
      <c r="AC999" s="11"/>
    </row>
    <row r="1000" spans="1:29">
      <c r="A1000" s="3" t="s">
        <v>312</v>
      </c>
      <c r="G1000" s="126"/>
      <c r="H1000" s="126"/>
      <c r="M1000" s="141"/>
      <c r="N1000" s="141"/>
      <c r="O1000" s="141"/>
      <c r="P1000" s="38"/>
      <c r="Q1000" s="142"/>
      <c r="R1000" s="143"/>
      <c r="S1000" s="294"/>
      <c r="T1000" s="145"/>
      <c r="U1000" s="141"/>
      <c r="V1000" s="141"/>
      <c r="W1000" s="141"/>
      <c r="X1000" s="141"/>
      <c r="Y1000" s="11"/>
      <c r="Z1000" s="11"/>
      <c r="AA1000" s="11"/>
      <c r="AB1000" s="11"/>
      <c r="AC1000" s="11"/>
    </row>
    <row r="1001" spans="1:29">
      <c r="A1001" s="3" t="s">
        <v>158</v>
      </c>
      <c r="C1001" s="127">
        <f>10803</f>
        <v>10803</v>
      </c>
      <c r="D1001" s="127">
        <f>ROUND(($D$1030/$C$1030)*C1001,0)</f>
        <v>10983</v>
      </c>
      <c r="E1001" s="128">
        <v>8.7799999999999994</v>
      </c>
      <c r="G1001" s="2">
        <f>ROUND(E1001*$C1001,0)</f>
        <v>94850</v>
      </c>
      <c r="H1001" s="2">
        <f>ROUND(E1001*$D1001,0)</f>
        <v>96431</v>
      </c>
      <c r="I1001" s="128" t="e">
        <f>E1001+(E1001*$P$1032)</f>
        <v>#REF!</v>
      </c>
      <c r="K1001" s="2" t="e">
        <f>ROUND(I1001*$C1001,0)</f>
        <v>#REF!</v>
      </c>
      <c r="M1001" s="42" t="e">
        <f>I1001*D1001</f>
        <v>#REF!</v>
      </c>
      <c r="N1001" s="11"/>
      <c r="O1001" s="144"/>
      <c r="P1001" s="38"/>
      <c r="Q1001" s="266"/>
      <c r="R1001" s="146"/>
      <c r="S1001" s="147"/>
      <c r="T1001" s="141"/>
      <c r="U1001" s="144"/>
      <c r="V1001" s="144"/>
      <c r="W1001" s="295"/>
      <c r="X1001" s="144"/>
      <c r="Y1001" s="11"/>
      <c r="Z1001" s="11"/>
      <c r="AA1001" s="11"/>
      <c r="AB1001" s="11"/>
      <c r="AC1001" s="11"/>
    </row>
    <row r="1002" spans="1:29">
      <c r="A1002" s="3" t="s">
        <v>159</v>
      </c>
      <c r="C1002" s="127">
        <f>1449</f>
        <v>1449</v>
      </c>
      <c r="D1002" s="127">
        <f>ROUND(($D$1030/$C$1030)*C1002,0)</f>
        <v>1473</v>
      </c>
      <c r="E1002" s="128">
        <v>16.079999999999998</v>
      </c>
      <c r="G1002" s="2">
        <f>ROUND(E1002*$C1002,0)</f>
        <v>23300</v>
      </c>
      <c r="H1002" s="2">
        <f>ROUND(E1002*$D1002,0)</f>
        <v>23686</v>
      </c>
      <c r="I1002" s="128" t="e">
        <f>E1002+(E1002*$P$1032)</f>
        <v>#REF!</v>
      </c>
      <c r="K1002" s="2" t="e">
        <f>ROUND(I1002*$C1002,0)</f>
        <v>#REF!</v>
      </c>
      <c r="M1002" s="42" t="e">
        <f>I1002*D1002</f>
        <v>#REF!</v>
      </c>
      <c r="N1002" s="11"/>
      <c r="O1002" s="144"/>
      <c r="P1002" s="38"/>
      <c r="Q1002" s="266"/>
      <c r="R1002" s="146"/>
      <c r="S1002" s="141"/>
      <c r="T1002" s="141"/>
      <c r="U1002" s="144"/>
      <c r="V1002" s="144"/>
      <c r="W1002" s="295"/>
      <c r="X1002" s="144"/>
      <c r="Y1002" s="11"/>
      <c r="Z1002" s="11"/>
      <c r="AA1002" s="11"/>
      <c r="AB1002" s="11"/>
      <c r="AC1002" s="11"/>
    </row>
    <row r="1003" spans="1:29">
      <c r="A1003" s="3" t="s">
        <v>160</v>
      </c>
      <c r="C1003" s="127">
        <v>36</v>
      </c>
      <c r="D1003" s="127">
        <f>ROUND(($D$1030/$C$1030)*C1003,0)</f>
        <v>37</v>
      </c>
      <c r="E1003" s="128">
        <v>32.53</v>
      </c>
      <c r="G1003" s="2">
        <f>ROUND(E1003*$C1003,0)</f>
        <v>1171</v>
      </c>
      <c r="H1003" s="2">
        <f>ROUND(E1003*$D1003,0)</f>
        <v>1204</v>
      </c>
      <c r="I1003" s="128" t="e">
        <f>E1003+(E1003*$P$1032)</f>
        <v>#REF!</v>
      </c>
      <c r="K1003" s="2" t="e">
        <f>ROUND(I1003*$C1003,0)</f>
        <v>#REF!</v>
      </c>
      <c r="M1003" s="42" t="e">
        <f>I1003*D1003</f>
        <v>#REF!</v>
      </c>
      <c r="N1003" s="11"/>
      <c r="O1003" s="144"/>
      <c r="P1003" s="38"/>
      <c r="Q1003" s="266"/>
      <c r="R1003" s="146"/>
      <c r="S1003" s="141"/>
      <c r="T1003" s="141"/>
      <c r="U1003" s="144"/>
      <c r="V1003" s="144"/>
      <c r="W1003" s="295"/>
      <c r="X1003" s="144"/>
      <c r="Y1003" s="11"/>
      <c r="Z1003" s="11"/>
      <c r="AA1003" s="11"/>
      <c r="AB1003" s="11"/>
      <c r="AC1003" s="11"/>
    </row>
    <row r="1004" spans="1:29">
      <c r="A1004" s="3" t="s">
        <v>313</v>
      </c>
      <c r="C1004" s="127"/>
      <c r="D1004" s="127"/>
      <c r="E1004" s="296"/>
      <c r="G1004" s="126"/>
      <c r="H1004" s="126"/>
      <c r="I1004" s="296"/>
      <c r="N1004" s="11"/>
      <c r="O1004" s="144"/>
      <c r="P1004" s="38"/>
      <c r="Q1004" s="11"/>
      <c r="R1004" s="150"/>
      <c r="S1004" s="141"/>
      <c r="T1004" s="141"/>
      <c r="U1004" s="144"/>
      <c r="V1004" s="144"/>
      <c r="W1004" s="295"/>
      <c r="X1004" s="144"/>
      <c r="Y1004" s="11"/>
      <c r="Z1004" s="11"/>
      <c r="AA1004" s="11"/>
      <c r="AB1004" s="11"/>
      <c r="AC1004" s="11"/>
    </row>
    <row r="1005" spans="1:29">
      <c r="A1005" s="3" t="s">
        <v>158</v>
      </c>
      <c r="C1005" s="127">
        <f>5042</f>
        <v>5042</v>
      </c>
      <c r="D1005" s="127">
        <f>ROUND(($D$1030/$C$1030)*C1005,0)</f>
        <v>5126</v>
      </c>
      <c r="E1005" s="128">
        <v>8.23</v>
      </c>
      <c r="G1005" s="2">
        <f>ROUND(E1005*$C1005,0)</f>
        <v>41496</v>
      </c>
      <c r="H1005" s="2">
        <f>ROUND(E1005*$D1005,0)</f>
        <v>42187</v>
      </c>
      <c r="I1005" s="128" t="e">
        <f>E1005+(E1005*$P$1032)</f>
        <v>#REF!</v>
      </c>
      <c r="K1005" s="2" t="e">
        <f>ROUND(I1005*$C1005,0)</f>
        <v>#REF!</v>
      </c>
      <c r="M1005" s="42" t="e">
        <f>I1005*D1005</f>
        <v>#REF!</v>
      </c>
      <c r="N1005" s="11"/>
      <c r="O1005" s="144"/>
      <c r="P1005" s="38"/>
      <c r="Q1005" s="266"/>
      <c r="R1005" s="146"/>
      <c r="S1005" s="11"/>
      <c r="T1005" s="11"/>
      <c r="U1005" s="144"/>
      <c r="V1005" s="144"/>
      <c r="W1005" s="295"/>
      <c r="X1005" s="144"/>
      <c r="Y1005" s="11"/>
      <c r="Z1005" s="11"/>
      <c r="AA1005" s="11"/>
      <c r="AB1005" s="11"/>
      <c r="AC1005" s="11"/>
    </row>
    <row r="1006" spans="1:29">
      <c r="A1006" s="3" t="s">
        <v>159</v>
      </c>
      <c r="C1006" s="127">
        <v>0</v>
      </c>
      <c r="D1006" s="127">
        <f>ROUND(($D$1030/$C$1030)*C1006,0)</f>
        <v>0</v>
      </c>
      <c r="E1006" s="128">
        <v>15</v>
      </c>
      <c r="G1006" s="2">
        <f>ROUND(E1006*$C1006,0)</f>
        <v>0</v>
      </c>
      <c r="H1006" s="2">
        <f>ROUND(E1006*$D1006,0)</f>
        <v>0</v>
      </c>
      <c r="I1006" s="128" t="e">
        <f>E1006+(E1006*$P$1032)</f>
        <v>#REF!</v>
      </c>
      <c r="K1006" s="2" t="e">
        <f>ROUND(I1006*$C1006,0)</f>
        <v>#REF!</v>
      </c>
      <c r="M1006" s="42" t="e">
        <f>I1006*D1006</f>
        <v>#REF!</v>
      </c>
      <c r="N1006" s="11"/>
      <c r="O1006" s="144"/>
      <c r="P1006" s="38"/>
      <c r="Q1006" s="266"/>
      <c r="R1006" s="146"/>
      <c r="S1006" s="11"/>
      <c r="T1006" s="11"/>
      <c r="U1006" s="144"/>
      <c r="V1006" s="144"/>
      <c r="W1006" s="295"/>
      <c r="X1006" s="144"/>
      <c r="Y1006" s="11"/>
      <c r="Z1006" s="11"/>
      <c r="AA1006" s="11"/>
      <c r="AB1006" s="11"/>
      <c r="AC1006" s="11"/>
    </row>
    <row r="1007" spans="1:29">
      <c r="A1007" s="293" t="s">
        <v>314</v>
      </c>
      <c r="C1007" s="127"/>
      <c r="D1007" s="127"/>
      <c r="E1007" s="128"/>
      <c r="G1007" s="2"/>
      <c r="H1007" s="2"/>
      <c r="I1007" s="128"/>
      <c r="K1007" s="2"/>
      <c r="N1007" s="11"/>
      <c r="O1007" s="144"/>
      <c r="P1007" s="38"/>
      <c r="Q1007" s="11"/>
      <c r="R1007" s="11"/>
      <c r="S1007" s="11"/>
      <c r="T1007" s="11"/>
      <c r="U1007" s="11"/>
      <c r="V1007" s="11"/>
      <c r="W1007" s="295"/>
      <c r="X1007" s="11"/>
      <c r="Y1007" s="11"/>
      <c r="Z1007" s="11"/>
      <c r="AA1007" s="11"/>
      <c r="AB1007" s="11"/>
      <c r="AC1007" s="11"/>
    </row>
    <row r="1008" spans="1:29">
      <c r="A1008" s="3" t="s">
        <v>312</v>
      </c>
      <c r="C1008" s="127"/>
      <c r="D1008" s="127"/>
      <c r="E1008" s="296"/>
      <c r="G1008" s="126"/>
      <c r="H1008" s="126"/>
      <c r="I1008" s="296"/>
      <c r="N1008" s="11"/>
      <c r="O1008" s="38"/>
      <c r="P1008" s="38"/>
      <c r="Q1008" s="11"/>
      <c r="R1008" s="11"/>
      <c r="S1008" s="11"/>
      <c r="T1008" s="11"/>
      <c r="U1008" s="11"/>
      <c r="V1008" s="11"/>
      <c r="W1008" s="295"/>
      <c r="X1008" s="11"/>
      <c r="Y1008" s="11"/>
      <c r="Z1008" s="11"/>
      <c r="AA1008" s="11"/>
      <c r="AB1008" s="11"/>
      <c r="AC1008" s="11"/>
    </row>
    <row r="1009" spans="1:29">
      <c r="A1009" s="3" t="s">
        <v>158</v>
      </c>
      <c r="C1009" s="127">
        <f>471</f>
        <v>471</v>
      </c>
      <c r="D1009" s="127">
        <f>ROUND(($D$1030/$C$1030)*C1009,0)</f>
        <v>479</v>
      </c>
      <c r="E1009" s="128">
        <v>11.47</v>
      </c>
      <c r="G1009" s="2">
        <f>ROUND(E1009*$C1009,0)</f>
        <v>5402</v>
      </c>
      <c r="H1009" s="2">
        <f>ROUND(E1009*$D1009,0)</f>
        <v>5494</v>
      </c>
      <c r="I1009" s="128" t="e">
        <f>E1009+(E1009*$P$1032)</f>
        <v>#REF!</v>
      </c>
      <c r="K1009" s="2" t="e">
        <f>ROUND(I1009*$C1009,0)</f>
        <v>#REF!</v>
      </c>
      <c r="M1009" s="42" t="e">
        <f>I1009*D1009</f>
        <v>#REF!</v>
      </c>
      <c r="N1009" s="11"/>
      <c r="O1009" s="144"/>
      <c r="P1009" s="38"/>
      <c r="Q1009" s="266"/>
      <c r="R1009" s="146"/>
      <c r="S1009" s="11"/>
      <c r="T1009" s="11"/>
      <c r="U1009" s="144"/>
      <c r="V1009" s="144"/>
      <c r="W1009" s="295"/>
      <c r="X1009" s="144"/>
      <c r="Y1009" s="11"/>
      <c r="Z1009" s="11"/>
      <c r="AA1009" s="11"/>
      <c r="AB1009" s="11"/>
      <c r="AC1009" s="11"/>
    </row>
    <row r="1010" spans="1:29">
      <c r="A1010" s="3" t="s">
        <v>159</v>
      </c>
      <c r="C1010" s="127">
        <f>456</f>
        <v>456</v>
      </c>
      <c r="D1010" s="127">
        <f>ROUND(($D$1030/$C$1030)*C1010,0)</f>
        <v>464</v>
      </c>
      <c r="E1010" s="128">
        <v>19.260000000000002</v>
      </c>
      <c r="G1010" s="2">
        <f>ROUND(E1010*$C1010,0)</f>
        <v>8783</v>
      </c>
      <c r="H1010" s="2">
        <f>ROUND(E1010*$D1010,0)</f>
        <v>8937</v>
      </c>
      <c r="I1010" s="128" t="e">
        <f>E1010+(E1010*$P$1032)</f>
        <v>#REF!</v>
      </c>
      <c r="K1010" s="2" t="e">
        <f>ROUND(I1010*$C1010,0)</f>
        <v>#REF!</v>
      </c>
      <c r="M1010" s="42" t="e">
        <f>I1010*D1010</f>
        <v>#REF!</v>
      </c>
      <c r="N1010" s="11"/>
      <c r="O1010" s="144"/>
      <c r="P1010" s="38"/>
      <c r="Q1010" s="266"/>
      <c r="R1010" s="146"/>
      <c r="S1010" s="292"/>
      <c r="T1010" s="292"/>
      <c r="U1010" s="144"/>
      <c r="V1010" s="144"/>
      <c r="W1010" s="295"/>
      <c r="X1010" s="144"/>
      <c r="Y1010" s="11"/>
      <c r="Z1010" s="11"/>
      <c r="AA1010" s="11"/>
      <c r="AB1010" s="11"/>
      <c r="AC1010" s="11"/>
    </row>
    <row r="1011" spans="1:29">
      <c r="A1011" s="3" t="s">
        <v>160</v>
      </c>
      <c r="C1011" s="127">
        <v>0</v>
      </c>
      <c r="D1011" s="127">
        <f>ROUND(($D$1030/$C$1030)*C1011,0)</f>
        <v>0</v>
      </c>
      <c r="E1011" s="128">
        <v>35.75</v>
      </c>
      <c r="G1011" s="2">
        <f>ROUND(E1011*$C1011,0)</f>
        <v>0</v>
      </c>
      <c r="H1011" s="2">
        <f>ROUND(E1011*$D1011,0)</f>
        <v>0</v>
      </c>
      <c r="I1011" s="128" t="e">
        <f>E1011+(E1011*$P$1032)</f>
        <v>#REF!</v>
      </c>
      <c r="K1011" s="2" t="e">
        <f>ROUND(I1011*$C1011,0)</f>
        <v>#REF!</v>
      </c>
      <c r="M1011" s="42" t="e">
        <f>I1011*D1011</f>
        <v>#REF!</v>
      </c>
      <c r="N1011" s="11"/>
      <c r="O1011" s="144"/>
      <c r="P1011" s="38"/>
      <c r="Q1011" s="266"/>
      <c r="R1011" s="146"/>
      <c r="S1011" s="292"/>
      <c r="T1011" s="292"/>
      <c r="U1011" s="144"/>
      <c r="V1011" s="144"/>
      <c r="W1011" s="295"/>
      <c r="X1011" s="144"/>
      <c r="Y1011" s="11"/>
      <c r="Z1011" s="11"/>
      <c r="AA1011" s="11"/>
      <c r="AB1011" s="11"/>
      <c r="AC1011" s="11"/>
    </row>
    <row r="1012" spans="1:29">
      <c r="A1012" s="3" t="s">
        <v>313</v>
      </c>
      <c r="C1012" s="127"/>
      <c r="D1012" s="127"/>
      <c r="E1012" s="296"/>
      <c r="G1012" s="126"/>
      <c r="H1012" s="126"/>
      <c r="I1012" s="296"/>
      <c r="M1012" s="11"/>
      <c r="N1012" s="11"/>
      <c r="O1012" s="11"/>
      <c r="P1012" s="298"/>
      <c r="Q1012" s="298"/>
      <c r="R1012" s="480"/>
      <c r="S1012" s="292"/>
      <c r="T1012" s="292"/>
      <c r="U1012" s="300"/>
      <c r="V1012" s="11"/>
      <c r="W1012" s="295"/>
      <c r="X1012" s="11"/>
      <c r="Y1012" s="11"/>
      <c r="Z1012" s="11"/>
      <c r="AA1012" s="11"/>
      <c r="AB1012" s="11"/>
      <c r="AC1012" s="11"/>
    </row>
    <row r="1013" spans="1:29">
      <c r="A1013" s="3" t="s">
        <v>158</v>
      </c>
      <c r="C1013" s="127">
        <v>0</v>
      </c>
      <c r="D1013" s="127">
        <f>ROUND(($D$1030/$C$1030)*C1013,0)</f>
        <v>0</v>
      </c>
      <c r="E1013" s="128">
        <v>10.86</v>
      </c>
      <c r="G1013" s="2">
        <f>ROUND(E1013*$C1013,0)</f>
        <v>0</v>
      </c>
      <c r="H1013" s="2">
        <f>ROUND(E1013*$D1013,0)</f>
        <v>0</v>
      </c>
      <c r="I1013" s="128" t="e">
        <f>E1013+(E1013*$P$1032)</f>
        <v>#REF!</v>
      </c>
      <c r="K1013" s="2" t="e">
        <f>ROUND(I1013*$C1013,0)</f>
        <v>#REF!</v>
      </c>
      <c r="M1013" s="42" t="e">
        <f>I1013*D1013</f>
        <v>#REF!</v>
      </c>
      <c r="N1013" s="11"/>
      <c r="O1013" s="144"/>
      <c r="P1013" s="38"/>
      <c r="Q1013" s="266"/>
      <c r="R1013" s="146"/>
      <c r="S1013" s="292"/>
      <c r="T1013" s="292"/>
      <c r="U1013" s="144"/>
      <c r="V1013" s="144"/>
      <c r="W1013" s="295"/>
      <c r="X1013" s="144"/>
      <c r="Y1013" s="11"/>
      <c r="Z1013" s="11"/>
      <c r="AA1013" s="11"/>
      <c r="AB1013" s="11"/>
      <c r="AC1013" s="11"/>
    </row>
    <row r="1014" spans="1:29">
      <c r="A1014" s="3" t="s">
        <v>159</v>
      </c>
      <c r="C1014" s="127">
        <v>0</v>
      </c>
      <c r="D1014" s="127">
        <f>ROUND(($D$1030/$C$1030)*C1014,0)</f>
        <v>0</v>
      </c>
      <c r="E1014" s="128">
        <v>18.21</v>
      </c>
      <c r="G1014" s="2">
        <f>ROUND(E1014*$C1014,0)</f>
        <v>0</v>
      </c>
      <c r="H1014" s="2">
        <f>ROUND(E1014*$D1014,0)</f>
        <v>0</v>
      </c>
      <c r="I1014" s="128" t="e">
        <f>E1014+(E1014*$P$1032)</f>
        <v>#REF!</v>
      </c>
      <c r="K1014" s="2" t="e">
        <f>ROUND(I1014*$C1014,0)</f>
        <v>#REF!</v>
      </c>
      <c r="M1014" s="42" t="e">
        <f>I1014*D1014</f>
        <v>#REF!</v>
      </c>
      <c r="N1014" s="11"/>
      <c r="O1014" s="144"/>
      <c r="P1014" s="38"/>
      <c r="Q1014" s="266"/>
      <c r="R1014" s="146"/>
      <c r="S1014" s="292"/>
      <c r="T1014" s="292"/>
      <c r="U1014" s="144"/>
      <c r="V1014" s="144"/>
      <c r="W1014" s="295"/>
      <c r="X1014" s="144"/>
      <c r="Y1014" s="11"/>
      <c r="Z1014" s="11"/>
      <c r="AA1014" s="11"/>
      <c r="AB1014" s="11"/>
      <c r="AC1014" s="11"/>
    </row>
    <row r="1015" spans="1:29">
      <c r="A1015" s="293" t="s">
        <v>315</v>
      </c>
      <c r="B1015" s="166"/>
      <c r="C1015" s="127"/>
      <c r="D1015" s="127"/>
      <c r="E1015" s="296"/>
      <c r="F1015" s="166"/>
      <c r="G1015" s="166"/>
      <c r="H1015" s="166"/>
      <c r="I1015" s="296"/>
      <c r="J1015" s="166"/>
      <c r="K1015" s="166"/>
      <c r="M1015" s="11"/>
      <c r="N1015" s="11"/>
      <c r="O1015" s="11"/>
      <c r="P1015" s="298"/>
      <c r="Q1015" s="298"/>
      <c r="R1015" s="480"/>
      <c r="S1015" s="292"/>
      <c r="T1015" s="292"/>
      <c r="U1015" s="300"/>
      <c r="V1015" s="11"/>
      <c r="W1015" s="295"/>
      <c r="X1015" s="11"/>
      <c r="Y1015" s="11"/>
      <c r="Z1015" s="11"/>
      <c r="AA1015" s="11"/>
      <c r="AB1015" s="11"/>
      <c r="AC1015" s="11"/>
    </row>
    <row r="1016" spans="1:29">
      <c r="A1016" s="3" t="s">
        <v>312</v>
      </c>
      <c r="C1016" s="127"/>
      <c r="D1016" s="127"/>
      <c r="E1016" s="296"/>
      <c r="G1016" s="126"/>
      <c r="H1016" s="126"/>
      <c r="I1016" s="296"/>
      <c r="M1016" s="11"/>
      <c r="N1016" s="11"/>
      <c r="O1016" s="11"/>
      <c r="P1016" s="298"/>
      <c r="Q1016" s="298"/>
      <c r="R1016" s="480"/>
      <c r="S1016" s="292"/>
      <c r="T1016" s="292"/>
      <c r="U1016" s="300"/>
      <c r="V1016" s="11"/>
      <c r="W1016" s="295"/>
      <c r="X1016" s="11"/>
      <c r="Y1016" s="11"/>
      <c r="Z1016" s="11"/>
      <c r="AA1016" s="11"/>
      <c r="AB1016" s="11"/>
      <c r="AC1016" s="11"/>
    </row>
    <row r="1017" spans="1:29">
      <c r="A1017" s="3" t="s">
        <v>158</v>
      </c>
      <c r="C1017" s="127">
        <v>0</v>
      </c>
      <c r="D1017" s="127">
        <f>ROUND(($D$1030/$C$1030)*C1017,0)</f>
        <v>0</v>
      </c>
      <c r="E1017" s="128">
        <v>11.47</v>
      </c>
      <c r="G1017" s="2">
        <f>ROUND(E1017*$C1017,0)</f>
        <v>0</v>
      </c>
      <c r="H1017" s="2">
        <f>ROUND(E1017*$D1017,0)</f>
        <v>0</v>
      </c>
      <c r="I1017" s="128" t="e">
        <f>E1017+(E1017*$P$1032)</f>
        <v>#REF!</v>
      </c>
      <c r="K1017" s="2" t="e">
        <f>ROUND(I1017*$C1017,0)</f>
        <v>#REF!</v>
      </c>
      <c r="M1017" s="42" t="e">
        <f>I1017*D1017</f>
        <v>#REF!</v>
      </c>
      <c r="N1017" s="11"/>
      <c r="O1017" s="144"/>
      <c r="P1017" s="38"/>
      <c r="Q1017" s="266"/>
      <c r="R1017" s="146"/>
      <c r="S1017" s="292"/>
      <c r="T1017" s="292"/>
      <c r="U1017" s="144"/>
      <c r="V1017" s="144"/>
      <c r="W1017" s="295"/>
      <c r="X1017" s="144"/>
      <c r="Y1017" s="11"/>
      <c r="Z1017" s="11"/>
      <c r="AA1017" s="11"/>
      <c r="AB1017" s="11"/>
      <c r="AC1017" s="11"/>
    </row>
    <row r="1018" spans="1:29">
      <c r="A1018" s="3" t="s">
        <v>159</v>
      </c>
      <c r="C1018" s="127">
        <v>0</v>
      </c>
      <c r="D1018" s="127">
        <f>ROUND(($D$1030/$C$1030)*C1018,0)</f>
        <v>0</v>
      </c>
      <c r="E1018" s="128">
        <v>18.649999999999999</v>
      </c>
      <c r="G1018" s="2">
        <f>ROUND(E1018*$C1018,0)</f>
        <v>0</v>
      </c>
      <c r="H1018" s="2">
        <f>ROUND(E1018*$D1018,0)</f>
        <v>0</v>
      </c>
      <c r="I1018" s="128" t="e">
        <f>E1018+(E1018*$P$1032)</f>
        <v>#REF!</v>
      </c>
      <c r="K1018" s="2" t="e">
        <f>ROUND(I1018*$C1018,0)</f>
        <v>#REF!</v>
      </c>
      <c r="M1018" s="42" t="e">
        <f>I1018*D1018</f>
        <v>#REF!</v>
      </c>
      <c r="N1018" s="11"/>
      <c r="O1018" s="144"/>
      <c r="P1018" s="38"/>
      <c r="Q1018" s="266"/>
      <c r="R1018" s="146"/>
      <c r="S1018" s="292"/>
      <c r="T1018" s="292"/>
      <c r="U1018" s="144"/>
      <c r="V1018" s="144"/>
      <c r="W1018" s="295"/>
      <c r="X1018" s="144"/>
      <c r="Y1018" s="11"/>
      <c r="Z1018" s="11"/>
      <c r="AA1018" s="11"/>
      <c r="AB1018" s="11"/>
      <c r="AC1018" s="11"/>
    </row>
    <row r="1019" spans="1:29">
      <c r="A1019" s="3" t="s">
        <v>160</v>
      </c>
      <c r="C1019" s="127">
        <v>0</v>
      </c>
      <c r="D1019" s="127">
        <f>ROUND(($D$1030/$C$1030)*C1019,0)</f>
        <v>0</v>
      </c>
      <c r="E1019" s="128">
        <v>35.130000000000003</v>
      </c>
      <c r="G1019" s="2">
        <f>ROUND(E1019*$C1019,0)</f>
        <v>0</v>
      </c>
      <c r="H1019" s="2">
        <f>ROUND(E1019*$D1019,0)</f>
        <v>0</v>
      </c>
      <c r="I1019" s="128" t="e">
        <f>E1019+(E1019*$P$1032)</f>
        <v>#REF!</v>
      </c>
      <c r="K1019" s="2" t="e">
        <f>ROUND(I1019*$C1019,0)</f>
        <v>#REF!</v>
      </c>
      <c r="M1019" s="42" t="e">
        <f>I1019*D1019</f>
        <v>#REF!</v>
      </c>
      <c r="N1019" s="11"/>
      <c r="O1019" s="144"/>
      <c r="P1019" s="38"/>
      <c r="Q1019" s="266"/>
      <c r="R1019" s="146"/>
      <c r="S1019" s="292"/>
      <c r="T1019" s="292"/>
      <c r="U1019" s="144"/>
      <c r="V1019" s="144"/>
      <c r="W1019" s="295"/>
      <c r="X1019" s="144"/>
      <c r="Y1019" s="11"/>
      <c r="Z1019" s="11"/>
      <c r="AA1019" s="11"/>
      <c r="AB1019" s="11"/>
      <c r="AC1019" s="11"/>
    </row>
    <row r="1020" spans="1:29">
      <c r="A1020" s="3" t="s">
        <v>313</v>
      </c>
      <c r="C1020" s="127"/>
      <c r="D1020" s="127"/>
      <c r="E1020" s="296"/>
      <c r="G1020" s="126"/>
      <c r="H1020" s="126"/>
      <c r="I1020" s="296"/>
      <c r="M1020" s="11"/>
      <c r="N1020" s="11"/>
      <c r="O1020" s="11"/>
      <c r="P1020" s="298"/>
      <c r="Q1020" s="298"/>
      <c r="R1020" s="480"/>
      <c r="S1020" s="292"/>
      <c r="T1020" s="292"/>
      <c r="U1020" s="300"/>
      <c r="V1020" s="11"/>
      <c r="W1020" s="295"/>
      <c r="X1020" s="11"/>
      <c r="Y1020" s="11"/>
      <c r="Z1020" s="11"/>
      <c r="AA1020" s="11"/>
      <c r="AB1020" s="11"/>
      <c r="AC1020" s="11"/>
    </row>
    <row r="1021" spans="1:29">
      <c r="A1021" s="3" t="s">
        <v>158</v>
      </c>
      <c r="C1021" s="127">
        <v>0</v>
      </c>
      <c r="D1021" s="127">
        <f>ROUND(($D$1030/$C$1030)*C1021,0)</f>
        <v>0</v>
      </c>
      <c r="E1021" s="128">
        <v>10.86</v>
      </c>
      <c r="G1021" s="2">
        <f>ROUND(E1021*$C1021,0)</f>
        <v>0</v>
      </c>
      <c r="H1021" s="2">
        <f>ROUND(E1021*$D1021,0)</f>
        <v>0</v>
      </c>
      <c r="I1021" s="128" t="e">
        <f>E1021+(E1021*$P$1032)</f>
        <v>#REF!</v>
      </c>
      <c r="K1021" s="2" t="e">
        <f>ROUND(I1021*$C1021,0)</f>
        <v>#REF!</v>
      </c>
      <c r="M1021" s="42" t="e">
        <f>I1021*D1021</f>
        <v>#REF!</v>
      </c>
      <c r="N1021" s="11"/>
      <c r="O1021" s="144"/>
      <c r="P1021" s="38"/>
      <c r="Q1021" s="266"/>
      <c r="R1021" s="146"/>
      <c r="S1021" s="292"/>
      <c r="T1021" s="292"/>
      <c r="U1021" s="144"/>
      <c r="V1021" s="144"/>
      <c r="W1021" s="295"/>
      <c r="X1021" s="144"/>
      <c r="Y1021" s="11"/>
      <c r="Z1021" s="11"/>
      <c r="AA1021" s="11"/>
      <c r="AB1021" s="11"/>
      <c r="AC1021" s="11"/>
    </row>
    <row r="1022" spans="1:29">
      <c r="A1022" s="3" t="s">
        <v>159</v>
      </c>
      <c r="C1022" s="127">
        <v>0</v>
      </c>
      <c r="D1022" s="127">
        <f>ROUND(($D$1030/$C$1030)*C1022,0)</f>
        <v>0</v>
      </c>
      <c r="E1022" s="128">
        <v>17.600000000000001</v>
      </c>
      <c r="G1022" s="2">
        <f>ROUND(E1022*$C1022,0)</f>
        <v>0</v>
      </c>
      <c r="H1022" s="2">
        <f>ROUND(E1022*$D1022,0)</f>
        <v>0</v>
      </c>
      <c r="I1022" s="128" t="e">
        <f>E1022+(E1022*$P$1032)</f>
        <v>#REF!</v>
      </c>
      <c r="K1022" s="2" t="e">
        <f>ROUND(I1022*$C1022,0)</f>
        <v>#REF!</v>
      </c>
      <c r="M1022" s="42" t="e">
        <f>I1022*D1022</f>
        <v>#REF!</v>
      </c>
      <c r="N1022" s="11"/>
      <c r="O1022" s="144"/>
      <c r="P1022" s="38"/>
      <c r="Q1022" s="266"/>
      <c r="R1022" s="146"/>
      <c r="S1022" s="292"/>
      <c r="T1022" s="292"/>
      <c r="U1022" s="144"/>
      <c r="V1022" s="144"/>
      <c r="W1022" s="295"/>
      <c r="X1022" s="144"/>
      <c r="Y1022" s="11"/>
      <c r="Z1022" s="11"/>
      <c r="AA1022" s="11"/>
      <c r="AB1022" s="11"/>
      <c r="AC1022" s="11"/>
    </row>
    <row r="1023" spans="1:29">
      <c r="A1023" s="293" t="s">
        <v>316</v>
      </c>
      <c r="B1023" s="166"/>
      <c r="C1023" s="127"/>
      <c r="D1023" s="127"/>
      <c r="E1023" s="296"/>
      <c r="F1023" s="166"/>
      <c r="G1023" s="166"/>
      <c r="H1023" s="166"/>
      <c r="I1023" s="296"/>
      <c r="J1023" s="166"/>
      <c r="K1023" s="166"/>
      <c r="M1023" s="11"/>
      <c r="N1023" s="11"/>
      <c r="O1023" s="11"/>
      <c r="P1023" s="298"/>
      <c r="Q1023" s="298"/>
      <c r="R1023" s="480"/>
      <c r="S1023" s="292"/>
      <c r="T1023" s="292"/>
      <c r="U1023" s="300"/>
      <c r="V1023" s="11"/>
      <c r="W1023" s="295"/>
      <c r="X1023" s="11"/>
      <c r="Y1023" s="11"/>
      <c r="Z1023" s="11"/>
      <c r="AA1023" s="11"/>
      <c r="AB1023" s="11"/>
      <c r="AC1023" s="11"/>
    </row>
    <row r="1024" spans="1:29">
      <c r="A1024" s="3" t="s">
        <v>158</v>
      </c>
      <c r="C1024" s="127">
        <f>1999</f>
        <v>1999</v>
      </c>
      <c r="D1024" s="127">
        <f>ROUND(($D$1030/$C$1030)*C1024,0)</f>
        <v>2032</v>
      </c>
      <c r="E1024" s="128">
        <v>9.18</v>
      </c>
      <c r="G1024" s="2">
        <f>ROUND(E1024*$C1024,0)</f>
        <v>18351</v>
      </c>
      <c r="H1024" s="2">
        <f>ROUND(E1024*$D1024,0)</f>
        <v>18654</v>
      </c>
      <c r="I1024" s="128" t="e">
        <f>E1024+(E1024*$P$1032)</f>
        <v>#REF!</v>
      </c>
      <c r="K1024" s="2" t="e">
        <f>ROUND(I1024*$C1024,0)</f>
        <v>#REF!</v>
      </c>
      <c r="M1024" s="42" t="e">
        <f>I1024*D1024</f>
        <v>#REF!</v>
      </c>
      <c r="N1024" s="11"/>
      <c r="O1024" s="144"/>
      <c r="P1024" s="38"/>
      <c r="Q1024" s="266"/>
      <c r="R1024" s="146"/>
      <c r="S1024" s="292"/>
      <c r="T1024" s="292"/>
      <c r="U1024" s="144"/>
      <c r="V1024" s="144"/>
      <c r="W1024" s="295"/>
      <c r="X1024" s="144"/>
      <c r="Y1024" s="11"/>
      <c r="Z1024" s="11"/>
      <c r="AA1024" s="11"/>
      <c r="AB1024" s="11"/>
      <c r="AC1024" s="11"/>
    </row>
    <row r="1025" spans="1:29">
      <c r="A1025" s="3" t="s">
        <v>159</v>
      </c>
      <c r="C1025" s="127">
        <f>1691</f>
        <v>1691</v>
      </c>
      <c r="D1025" s="127">
        <f>ROUND(($D$1030/$C$1030)*C1025,0)</f>
        <v>1719</v>
      </c>
      <c r="E1025" s="128">
        <v>16.079999999999998</v>
      </c>
      <c r="G1025" s="2">
        <f>ROUND(E1025*$C1025,0)</f>
        <v>27191</v>
      </c>
      <c r="H1025" s="2">
        <f>ROUND(E1025*$D1025,0)</f>
        <v>27642</v>
      </c>
      <c r="I1025" s="128" t="e">
        <f>E1025+(E1025*$P$1032)</f>
        <v>#REF!</v>
      </c>
      <c r="K1025" s="2" t="e">
        <f>ROUND(I1025*$C1025,0)</f>
        <v>#REF!</v>
      </c>
      <c r="M1025" s="42" t="e">
        <f>I1025*D1025</f>
        <v>#REF!</v>
      </c>
      <c r="N1025" s="11"/>
      <c r="O1025" s="144"/>
      <c r="P1025" s="38"/>
      <c r="Q1025" s="266"/>
      <c r="R1025" s="146"/>
      <c r="S1025" s="292"/>
      <c r="T1025" s="292"/>
      <c r="U1025" s="144"/>
      <c r="V1025" s="144"/>
      <c r="W1025" s="295"/>
      <c r="X1025" s="144"/>
      <c r="Y1025" s="11"/>
      <c r="Z1025" s="11"/>
      <c r="AA1025" s="11"/>
      <c r="AB1025" s="11"/>
      <c r="AC1025" s="11"/>
    </row>
    <row r="1026" spans="1:29">
      <c r="A1026" s="3" t="s">
        <v>160</v>
      </c>
      <c r="C1026" s="127">
        <v>0</v>
      </c>
      <c r="D1026" s="127">
        <f>ROUND(($D$1030/$C$1030)*C1026,0)</f>
        <v>0</v>
      </c>
      <c r="E1026" s="128">
        <v>34.340000000000003</v>
      </c>
      <c r="G1026" s="2">
        <f>ROUND(E1026*$C1026,0)</f>
        <v>0</v>
      </c>
      <c r="H1026" s="2">
        <f>ROUND(E1026*$D1026,0)</f>
        <v>0</v>
      </c>
      <c r="I1026" s="128" t="e">
        <f>E1026+(E1026*$P$1032)</f>
        <v>#REF!</v>
      </c>
      <c r="K1026" s="2" t="e">
        <f>ROUND(I1026*$C1026,0)</f>
        <v>#REF!</v>
      </c>
      <c r="M1026" s="42" t="e">
        <f>I1026*D1026</f>
        <v>#REF!</v>
      </c>
      <c r="N1026" s="11"/>
      <c r="O1026" s="144"/>
      <c r="P1026" s="38"/>
      <c r="Q1026" s="266"/>
      <c r="R1026" s="146"/>
      <c r="S1026" s="292"/>
      <c r="T1026" s="292"/>
      <c r="U1026" s="144"/>
      <c r="V1026" s="144"/>
      <c r="W1026" s="295"/>
      <c r="X1026" s="144"/>
      <c r="Y1026" s="11"/>
      <c r="Z1026" s="11"/>
      <c r="AA1026" s="11"/>
      <c r="AB1026" s="11"/>
      <c r="AC1026" s="11"/>
    </row>
    <row r="1027" spans="1:29">
      <c r="A1027" s="5" t="s">
        <v>317</v>
      </c>
      <c r="C1027" s="127"/>
      <c r="D1027" s="127"/>
      <c r="E1027" s="128"/>
      <c r="G1027" s="2"/>
      <c r="H1027" s="2"/>
      <c r="I1027" s="128"/>
      <c r="K1027" s="2"/>
      <c r="M1027" s="11"/>
      <c r="N1027" s="11"/>
      <c r="O1027" s="11"/>
      <c r="P1027" s="298"/>
      <c r="Q1027" s="298"/>
      <c r="R1027" s="481"/>
      <c r="S1027" s="292"/>
      <c r="T1027" s="292"/>
      <c r="U1027" s="300"/>
      <c r="V1027" s="11"/>
      <c r="W1027" s="295"/>
      <c r="X1027" s="11"/>
      <c r="Y1027" s="11"/>
      <c r="Z1027" s="11"/>
      <c r="AA1027" s="11"/>
      <c r="AB1027" s="11"/>
      <c r="AC1027" s="11"/>
    </row>
    <row r="1028" spans="1:29">
      <c r="A1028" s="3" t="s">
        <v>318</v>
      </c>
      <c r="C1028" s="127">
        <f>96</f>
        <v>96</v>
      </c>
      <c r="D1028" s="127">
        <f>ROUND(($D$1030/$C$1030)*C1028,0)</f>
        <v>98</v>
      </c>
      <c r="E1028" s="128">
        <v>32.950000000000003</v>
      </c>
      <c r="G1028" s="2">
        <f>ROUND(E1028*$C1028,0)</f>
        <v>3163</v>
      </c>
      <c r="H1028" s="2">
        <f>ROUND(E1028*$D1028,0)</f>
        <v>3229</v>
      </c>
      <c r="I1028" s="128" t="e">
        <f>E1028+(E1028*$P$1032)</f>
        <v>#REF!</v>
      </c>
      <c r="K1028" s="2" t="e">
        <f>ROUND(I1028*$C1028,0)</f>
        <v>#REF!</v>
      </c>
      <c r="M1028" s="42" t="e">
        <f>I1028*D1028</f>
        <v>#REF!</v>
      </c>
      <c r="N1028" s="11"/>
      <c r="O1028" s="144"/>
      <c r="P1028" s="38"/>
      <c r="Q1028" s="266"/>
      <c r="R1028" s="146"/>
      <c r="S1028" s="292"/>
      <c r="T1028" s="292"/>
      <c r="U1028" s="144"/>
      <c r="V1028" s="144"/>
      <c r="W1028" s="295"/>
      <c r="X1028" s="144"/>
      <c r="Y1028" s="11"/>
      <c r="Z1028" s="11"/>
      <c r="AA1028" s="11"/>
      <c r="AB1028" s="11"/>
      <c r="AC1028" s="11"/>
    </row>
    <row r="1029" spans="1:29">
      <c r="A1029" s="3" t="s">
        <v>166</v>
      </c>
      <c r="C1029" s="127">
        <f>74+91+41+12+35+35+27+62+12</f>
        <v>389</v>
      </c>
      <c r="D1029" s="127">
        <v>588</v>
      </c>
      <c r="E1029" s="302"/>
      <c r="G1029" s="2"/>
      <c r="H1029" s="2"/>
      <c r="I1029" s="302"/>
      <c r="K1029" s="2"/>
      <c r="N1029" s="11"/>
      <c r="O1029" s="144"/>
      <c r="P1029" s="303"/>
      <c r="Q1029" s="11"/>
      <c r="R1029" s="150"/>
      <c r="S1029" s="141"/>
      <c r="T1029" s="141"/>
      <c r="U1029" s="144"/>
      <c r="V1029" s="144"/>
      <c r="W1029" s="144"/>
      <c r="X1029" s="144"/>
      <c r="Y1029" s="11"/>
      <c r="Z1029" s="11"/>
      <c r="AA1029" s="11"/>
      <c r="AB1029" s="11"/>
      <c r="AC1029" s="11"/>
    </row>
    <row r="1030" spans="1:29">
      <c r="A1030" s="3" t="s">
        <v>185</v>
      </c>
      <c r="C1030" s="127">
        <f>2042049</f>
        <v>2042049</v>
      </c>
      <c r="D1030" s="127">
        <v>2075987.7990116791</v>
      </c>
      <c r="E1030" s="132"/>
      <c r="F1030" s="11"/>
      <c r="G1030" s="135">
        <f>SUM(G1001:G1028)</f>
        <v>223707</v>
      </c>
      <c r="H1030" s="135">
        <f>SUM(H1001:H1028)</f>
        <v>227464</v>
      </c>
      <c r="I1030" s="132"/>
      <c r="J1030" s="11"/>
      <c r="K1030" s="135" t="e">
        <f>SUM(K1001:K1028)</f>
        <v>#REF!</v>
      </c>
      <c r="M1030" s="42" t="e">
        <f>SUM(M1001:M1029)</f>
        <v>#REF!</v>
      </c>
      <c r="N1030" s="11"/>
      <c r="O1030" s="144"/>
      <c r="P1030" s="482"/>
      <c r="Q1030" s="11"/>
      <c r="R1030" s="150"/>
      <c r="S1030" s="141"/>
      <c r="T1030" s="141"/>
      <c r="U1030" s="151"/>
      <c r="V1030" s="141"/>
      <c r="W1030" s="141"/>
      <c r="X1030" s="141"/>
      <c r="Y1030" s="11"/>
      <c r="Z1030" s="11"/>
      <c r="AA1030" s="11"/>
      <c r="AB1030" s="11"/>
      <c r="AC1030" s="11"/>
    </row>
    <row r="1031" spans="1:29">
      <c r="A1031" s="3" t="s">
        <v>167</v>
      </c>
      <c r="C1031" s="127" t="e">
        <f>#REF!</f>
        <v>#REF!</v>
      </c>
      <c r="D1031" s="127">
        <v>0</v>
      </c>
      <c r="E1031" s="132"/>
      <c r="F1031" s="11"/>
      <c r="G1031" s="135" t="e">
        <f>#REF!</f>
        <v>#REF!</v>
      </c>
      <c r="H1031" s="135">
        <v>0</v>
      </c>
      <c r="I1031" s="132"/>
      <c r="J1031" s="11"/>
      <c r="K1031" s="135" t="e">
        <f>G1031</f>
        <v>#REF!</v>
      </c>
      <c r="M1031" s="152"/>
      <c r="N1031" s="307"/>
      <c r="O1031" s="150"/>
      <c r="P1031" s="141"/>
      <c r="Q1031" s="141"/>
      <c r="R1031" s="146"/>
      <c r="S1031" s="144"/>
      <c r="T1031" s="141"/>
      <c r="U1031" s="11"/>
      <c r="V1031" s="11"/>
      <c r="W1031" s="11"/>
      <c r="X1031" s="11"/>
      <c r="Y1031" s="11"/>
      <c r="Z1031" s="11"/>
      <c r="AA1031" s="11"/>
      <c r="AB1031" s="11"/>
      <c r="AC1031" s="11"/>
    </row>
    <row r="1032" spans="1:29" ht="16.5" thickBot="1">
      <c r="A1032" s="3" t="s">
        <v>1</v>
      </c>
      <c r="C1032" s="136" t="e">
        <f>C1030+C1031</f>
        <v>#REF!</v>
      </c>
      <c r="D1032" s="136">
        <f>D1030+D1031</f>
        <v>2075987.7990116791</v>
      </c>
      <c r="E1032" s="137"/>
      <c r="F1032" s="137"/>
      <c r="G1032" s="137" t="e">
        <f>G1030+G1031</f>
        <v>#REF!</v>
      </c>
      <c r="H1032" s="137">
        <f>H1030+H1031</f>
        <v>227464</v>
      </c>
      <c r="I1032" s="137"/>
      <c r="J1032" s="137"/>
      <c r="K1032" s="137" t="e">
        <f>K1030+K1031</f>
        <v>#REF!</v>
      </c>
      <c r="M1032" s="154"/>
      <c r="N1032" s="140" t="s">
        <v>213</v>
      </c>
      <c r="O1032" s="33" t="e">
        <f>#REF!*1000</f>
        <v>#REF!</v>
      </c>
      <c r="P1032" s="8" t="e">
        <f>(O1032-G1032)/G1032+0.00276</f>
        <v>#REF!</v>
      </c>
      <c r="Q1032" s="141"/>
      <c r="R1032" s="141"/>
      <c r="S1032" s="141"/>
      <c r="T1032" s="141"/>
      <c r="U1032" s="11"/>
      <c r="V1032" s="11"/>
      <c r="W1032" s="11"/>
      <c r="X1032" s="11"/>
      <c r="Y1032" s="11"/>
      <c r="Z1032" s="11"/>
      <c r="AA1032" s="11"/>
      <c r="AB1032" s="11"/>
      <c r="AC1032" s="11"/>
    </row>
    <row r="1033" spans="1:29" ht="16.5" thickTop="1">
      <c r="C1033" s="138"/>
      <c r="D1033" s="138"/>
      <c r="E1033" s="138"/>
      <c r="F1033" s="138"/>
      <c r="G1033" s="126"/>
      <c r="H1033" s="126"/>
      <c r="I1033" s="138" t="s">
        <v>13</v>
      </c>
      <c r="J1033" s="138"/>
      <c r="K1033" s="2" t="s">
        <v>13</v>
      </c>
      <c r="M1033" s="140"/>
      <c r="N1033" s="140" t="s">
        <v>114</v>
      </c>
      <c r="O1033" s="279" t="e">
        <f>O1032-K1032</f>
        <v>#REF!</v>
      </c>
      <c r="P1033" s="157" t="e">
        <f>(O1032-K1032)/K1032</f>
        <v>#REF!</v>
      </c>
      <c r="Q1033" s="141"/>
      <c r="R1033" s="141"/>
      <c r="S1033" s="141"/>
      <c r="T1033" s="141"/>
      <c r="U1033" s="11"/>
      <c r="V1033" s="11"/>
      <c r="W1033" s="11"/>
      <c r="X1033" s="11"/>
      <c r="Y1033" s="11"/>
      <c r="Z1033" s="11"/>
      <c r="AA1033" s="11"/>
      <c r="AB1033" s="11"/>
      <c r="AC1033" s="11"/>
    </row>
    <row r="1034" spans="1:29">
      <c r="A1034" s="166"/>
      <c r="B1034" s="176"/>
      <c r="C1034" s="308"/>
      <c r="D1034" s="308"/>
      <c r="E1034" s="309"/>
      <c r="F1034" s="2"/>
      <c r="G1034" s="2"/>
      <c r="H1034" s="2"/>
      <c r="I1034" s="309"/>
      <c r="J1034" s="166"/>
      <c r="K1034" s="2"/>
      <c r="M1034" s="11"/>
      <c r="N1034" s="11"/>
      <c r="O1034" s="38"/>
      <c r="P1034" s="38"/>
      <c r="Q1034" s="11"/>
      <c r="R1034" s="11"/>
      <c r="S1034" s="11"/>
      <c r="T1034" s="11"/>
      <c r="U1034" s="11"/>
      <c r="V1034" s="11"/>
      <c r="W1034" s="11"/>
      <c r="X1034" s="11"/>
    </row>
    <row r="1035" spans="1:29" s="4" customFormat="1" ht="19.899999999999999" customHeight="1" thickBot="1">
      <c r="A1035" s="310" t="s">
        <v>319</v>
      </c>
      <c r="B1035" s="311"/>
      <c r="C1035" s="312" t="e">
        <f>C27+C91+C176+C474+C508+C627+C760+C787+C925+C936+C947+C995+C1032</f>
        <v>#REF!</v>
      </c>
      <c r="D1035" s="312" t="e">
        <f>D27+D91+D176+D474+D508+D627+D760+D787+D925+D936+D947+D995+D1032</f>
        <v>#REF!</v>
      </c>
      <c r="E1035" s="313"/>
      <c r="F1035" s="314"/>
      <c r="G1035" s="314" t="e">
        <f>G27+G91+G176+G474+G508+G627+G760+G787+G925+G936+G947+G995+G1032</f>
        <v>#REF!</v>
      </c>
      <c r="H1035" s="314" t="e">
        <f>H27+H91+H176+H474+H508+H627+H760+H787+H925+H936+H947+H995+H1032</f>
        <v>#REF!</v>
      </c>
      <c r="I1035" s="313"/>
      <c r="J1035" s="314"/>
      <c r="K1035" s="314" t="e">
        <f>K27+K91+K176+K474+K508+K627+K760+K787+K925+K936+K947+K995+K1032</f>
        <v>#REF!</v>
      </c>
      <c r="M1035" s="11"/>
      <c r="N1035" s="6" t="s">
        <v>213</v>
      </c>
      <c r="O1035" s="321" t="e">
        <f>O27+O91+O176+O508+O627+O815+O898+O925+O936+O947+O995+O1032</f>
        <v>#REF!</v>
      </c>
      <c r="P1035" s="38"/>
      <c r="Q1035" s="6"/>
      <c r="R1035" s="6"/>
      <c r="S1035" s="6"/>
      <c r="T1035" s="6"/>
      <c r="U1035" s="6"/>
      <c r="V1035" s="6"/>
      <c r="W1035" s="6"/>
      <c r="X1035" s="6"/>
    </row>
    <row r="1036" spans="1:29" ht="16.5" thickTop="1">
      <c r="A1036" s="1"/>
      <c r="B1036" s="176"/>
      <c r="C1036" s="12"/>
      <c r="D1036" s="12"/>
      <c r="E1036" s="200"/>
      <c r="F1036" s="2"/>
      <c r="G1036" s="2"/>
      <c r="H1036" s="2"/>
      <c r="I1036" s="216" t="s">
        <v>13</v>
      </c>
      <c r="J1036" s="1"/>
      <c r="K1036" s="2" t="s">
        <v>13</v>
      </c>
      <c r="M1036" s="11"/>
      <c r="N1036" s="11" t="s">
        <v>114</v>
      </c>
      <c r="O1036" s="38" t="e">
        <f>O1035-K1035</f>
        <v>#REF!</v>
      </c>
      <c r="P1036" s="177" t="e">
        <f>(O1035-K1038)/K1038</f>
        <v>#REF!</v>
      </c>
      <c r="Q1036" s="11"/>
      <c r="R1036" s="11"/>
      <c r="S1036" s="11"/>
      <c r="T1036" s="11"/>
      <c r="U1036" s="11"/>
      <c r="V1036" s="11"/>
      <c r="W1036" s="11"/>
      <c r="X1036" s="11"/>
    </row>
    <row r="1037" spans="1:29">
      <c r="A1037" s="1" t="s">
        <v>14</v>
      </c>
      <c r="B1037" s="176"/>
      <c r="C1037" s="316"/>
      <c r="D1037" s="316"/>
      <c r="E1037" s="317"/>
      <c r="F1037" s="318"/>
      <c r="G1037" s="318" t="e">
        <f>#REF!+#REF!+#REF!+#REF!+#REF!</f>
        <v>#REF!</v>
      </c>
      <c r="H1037" s="318">
        <v>311006.74</v>
      </c>
      <c r="I1037" s="319"/>
      <c r="J1037" s="320"/>
      <c r="K1037" s="318" t="e">
        <f>G1037</f>
        <v>#REF!</v>
      </c>
      <c r="M1037" s="11"/>
      <c r="Q1037" s="11"/>
      <c r="R1037" s="11"/>
      <c r="S1037" s="11"/>
      <c r="T1037" s="11"/>
      <c r="U1037" s="11"/>
      <c r="V1037" s="11"/>
      <c r="W1037" s="11"/>
      <c r="X1037" s="11"/>
    </row>
    <row r="1038" spans="1:29" s="4" customFormat="1" ht="19.899999999999999" customHeight="1" thickBot="1">
      <c r="A1038" s="322" t="s">
        <v>320</v>
      </c>
      <c r="B1038" s="323"/>
      <c r="C1038" s="324" t="e">
        <f>C1035+C1037</f>
        <v>#REF!</v>
      </c>
      <c r="D1038" s="324" t="e">
        <f>D1035+D1037</f>
        <v>#REF!</v>
      </c>
      <c r="E1038" s="325"/>
      <c r="F1038" s="326"/>
      <c r="G1038" s="327" t="e">
        <f>G1035+G1037</f>
        <v>#REF!</v>
      </c>
      <c r="H1038" s="342" t="e">
        <f>H1035+H1037</f>
        <v>#REF!</v>
      </c>
      <c r="I1038" s="328"/>
      <c r="J1038" s="326"/>
      <c r="K1038" s="342" t="e">
        <f>K1035+K1037</f>
        <v>#REF!</v>
      </c>
      <c r="M1038" s="6"/>
      <c r="Q1038" s="6"/>
      <c r="R1038" s="6"/>
      <c r="S1038" s="6"/>
      <c r="T1038" s="6"/>
      <c r="U1038" s="6"/>
      <c r="V1038" s="6"/>
      <c r="W1038" s="6"/>
      <c r="X1038" s="6"/>
    </row>
    <row r="1039" spans="1:29" ht="16.5" thickTop="1">
      <c r="A1039" s="1"/>
      <c r="B1039" s="176"/>
      <c r="C1039" s="12"/>
      <c r="D1039" s="12"/>
      <c r="E1039" s="329" t="s">
        <v>13</v>
      </c>
      <c r="F1039" s="2"/>
      <c r="G1039" s="2" t="s">
        <v>13</v>
      </c>
      <c r="H1039" s="2" t="s">
        <v>13</v>
      </c>
      <c r="I1039" s="200"/>
      <c r="J1039" s="1"/>
      <c r="K1039" s="2"/>
      <c r="M1039" s="11"/>
      <c r="N1039" s="11"/>
      <c r="O1039" s="38"/>
      <c r="P1039" s="38"/>
      <c r="Q1039" s="11"/>
      <c r="R1039" s="11"/>
      <c r="S1039" s="11"/>
      <c r="T1039" s="11"/>
      <c r="U1039" s="11"/>
      <c r="V1039" s="11"/>
      <c r="W1039" s="11"/>
      <c r="X1039" s="11"/>
    </row>
    <row r="1040" spans="1:29">
      <c r="C1040" s="330"/>
      <c r="D1040" s="330"/>
      <c r="E1040" s="133"/>
      <c r="H1040" s="331"/>
      <c r="K1040" s="127"/>
      <c r="M1040" s="11"/>
      <c r="N1040" s="11"/>
      <c r="O1040" s="38"/>
      <c r="P1040" s="38"/>
      <c r="Q1040" s="11"/>
      <c r="R1040" s="11"/>
      <c r="S1040" s="11"/>
      <c r="T1040" s="11"/>
      <c r="U1040" s="11"/>
      <c r="V1040" s="11"/>
      <c r="W1040" s="11"/>
      <c r="X1040" s="11"/>
    </row>
    <row r="1041" spans="1:24">
      <c r="A1041" s="332"/>
      <c r="M1041" s="11"/>
      <c r="N1041" s="11"/>
      <c r="O1041" s="38"/>
      <c r="P1041" s="38"/>
      <c r="Q1041" s="11"/>
      <c r="R1041" s="11"/>
      <c r="S1041" s="11"/>
      <c r="T1041" s="11"/>
      <c r="U1041" s="11"/>
      <c r="V1041" s="11"/>
      <c r="W1041" s="11"/>
      <c r="X1041" s="11"/>
    </row>
    <row r="1042" spans="1:24">
      <c r="A1042" s="1" t="s">
        <v>71</v>
      </c>
      <c r="B1042" s="3" t="s">
        <v>321</v>
      </c>
      <c r="C1042" s="127" t="e">
        <f>#REF!</f>
        <v>#REF!</v>
      </c>
      <c r="D1042" s="127">
        <v>4081125563.3743143</v>
      </c>
      <c r="G1042" s="42" t="e">
        <f>#REF!</f>
        <v>#REF!</v>
      </c>
      <c r="H1042" s="42">
        <v>239244616.27999997</v>
      </c>
      <c r="M1042" s="11"/>
      <c r="N1042" s="11"/>
      <c r="O1042" s="38"/>
      <c r="P1042" s="38"/>
      <c r="Q1042" s="11"/>
      <c r="R1042" s="11"/>
      <c r="S1042" s="11"/>
      <c r="T1042" s="11"/>
      <c r="U1042" s="11"/>
      <c r="V1042" s="11"/>
      <c r="W1042" s="11"/>
      <c r="X1042" s="11"/>
    </row>
    <row r="1043" spans="1:24">
      <c r="B1043" s="3" t="s">
        <v>322</v>
      </c>
      <c r="C1043" s="127" t="e">
        <f>#REF!</f>
        <v>#REF!</v>
      </c>
      <c r="D1043" s="127">
        <v>4081125563.3743143</v>
      </c>
      <c r="G1043" s="42" t="e">
        <f>#REF!</f>
        <v>#REF!</v>
      </c>
      <c r="H1043" s="42">
        <v>239244616.27999997</v>
      </c>
      <c r="M1043" s="11"/>
      <c r="N1043" s="11"/>
      <c r="O1043" s="38"/>
      <c r="P1043" s="38"/>
      <c r="Q1043" s="11"/>
      <c r="R1043" s="11"/>
      <c r="S1043" s="11"/>
      <c r="T1043" s="11"/>
      <c r="U1043" s="11"/>
      <c r="V1043" s="11"/>
      <c r="W1043" s="11"/>
      <c r="X1043" s="11"/>
    </row>
    <row r="1044" spans="1:24">
      <c r="M1044" s="11"/>
      <c r="N1044" s="11"/>
      <c r="O1044" s="38"/>
      <c r="P1044" s="38"/>
      <c r="Q1044" s="11"/>
      <c r="R1044" s="11"/>
      <c r="S1044" s="11"/>
      <c r="T1044" s="11"/>
      <c r="U1044" s="11"/>
      <c r="V1044" s="11"/>
      <c r="W1044" s="11"/>
      <c r="X1044" s="11"/>
    </row>
    <row r="1045" spans="1:24">
      <c r="B1045" s="3" t="s">
        <v>111</v>
      </c>
      <c r="C1045" s="127" t="e">
        <f>C1038-C1043</f>
        <v>#REF!</v>
      </c>
      <c r="D1045" s="127" t="e">
        <f>D1038-D1043</f>
        <v>#REF!</v>
      </c>
      <c r="G1045" s="127" t="e">
        <f>G1038-G1043</f>
        <v>#REF!</v>
      </c>
      <c r="H1045" s="127" t="e">
        <f>H1038-H1043</f>
        <v>#REF!</v>
      </c>
      <c r="M1045" s="11"/>
      <c r="N1045" s="11"/>
      <c r="O1045" s="38"/>
      <c r="P1045" s="38"/>
      <c r="Q1045" s="11"/>
      <c r="R1045" s="11"/>
      <c r="S1045" s="11"/>
      <c r="T1045" s="11"/>
      <c r="U1045" s="11"/>
      <c r="V1045" s="11"/>
      <c r="W1045" s="11"/>
      <c r="X1045" s="11"/>
    </row>
    <row r="1046" spans="1:24">
      <c r="M1046" s="11"/>
      <c r="N1046" s="11"/>
      <c r="O1046" s="38"/>
      <c r="P1046" s="38"/>
      <c r="Q1046" s="11"/>
      <c r="R1046" s="11"/>
      <c r="S1046" s="11"/>
      <c r="T1046" s="11"/>
      <c r="U1046" s="11"/>
      <c r="V1046" s="11"/>
      <c r="W1046" s="11"/>
      <c r="X1046" s="11"/>
    </row>
    <row r="1048" spans="1:24">
      <c r="B1048" s="3" t="s">
        <v>323</v>
      </c>
      <c r="C1048" s="127">
        <f>C24+C83+C157+C483+C587+C737+C768+C922+C933+C944+C991+C1029</f>
        <v>1499468</v>
      </c>
      <c r="D1048" s="127">
        <f>D24+D83+D157+D483+D587+D737+D768+D922+D933+D944+D991+D1029</f>
        <v>1458185.8409090908</v>
      </c>
    </row>
    <row r="1049" spans="1:24">
      <c r="B1049" s="3" t="s">
        <v>18</v>
      </c>
      <c r="C1049" s="127">
        <f>((C83+C186+C271+C483+C737+C768+C922+C933+C944+C991+C1029)/12)+C358+C587+C24</f>
        <v>160240.41666666669</v>
      </c>
      <c r="D1049" s="127">
        <f>((D83+D186+D271+D483+D737+D768+D922+D933+D944+D991+D1029)/12)+D358+D587+D24</f>
        <v>129032.00757575758</v>
      </c>
    </row>
    <row r="1051" spans="1:24">
      <c r="B1051" s="3" t="s">
        <v>111</v>
      </c>
      <c r="C1051" s="127">
        <v>-31827.666666666672</v>
      </c>
      <c r="D1051" s="127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transitionEvaluation="1" transitionEntry="1" codeName="Sheet10">
    <tabColor indexed="13"/>
  </sheetPr>
  <dimension ref="A1:AE1022"/>
  <sheetViews>
    <sheetView workbookViewId="0"/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33" customWidth="1"/>
    <col min="16" max="16" width="11.75" style="33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109" t="s">
        <v>13</v>
      </c>
      <c r="B1" s="110"/>
      <c r="C1" s="110"/>
      <c r="D1" s="110"/>
      <c r="E1" s="111"/>
      <c r="F1" s="111"/>
      <c r="G1" s="110"/>
      <c r="H1" s="110"/>
      <c r="I1" s="111"/>
      <c r="J1" s="110"/>
      <c r="K1" s="110"/>
    </row>
    <row r="2" spans="1:31" ht="18">
      <c r="A2" s="109" t="s">
        <v>73</v>
      </c>
      <c r="B2" s="110"/>
      <c r="C2" s="110"/>
      <c r="D2" s="110"/>
      <c r="E2" s="111"/>
      <c r="F2" s="111"/>
      <c r="G2" s="110"/>
      <c r="H2" s="110"/>
      <c r="I2" s="111"/>
      <c r="J2" s="110"/>
      <c r="K2" s="110"/>
    </row>
    <row r="3" spans="1:31" ht="18">
      <c r="A3" s="109" t="s">
        <v>150</v>
      </c>
      <c r="B3" s="110"/>
      <c r="C3" s="110"/>
      <c r="D3" s="110"/>
      <c r="E3" s="111"/>
      <c r="F3" s="111"/>
      <c r="G3" s="110"/>
      <c r="H3" s="110"/>
      <c r="I3" s="111"/>
      <c r="J3" s="110"/>
      <c r="K3" s="110"/>
    </row>
    <row r="4" spans="1:31">
      <c r="A4" s="112" t="s">
        <v>118</v>
      </c>
      <c r="B4" s="113"/>
      <c r="C4" s="113"/>
      <c r="D4" s="113"/>
      <c r="E4" s="114"/>
      <c r="F4" s="114"/>
      <c r="G4" s="113"/>
      <c r="H4" s="113"/>
      <c r="I4" s="114"/>
      <c r="J4" s="113"/>
      <c r="K4" s="113"/>
    </row>
    <row r="5" spans="1:31">
      <c r="A5" s="115" t="s">
        <v>151</v>
      </c>
      <c r="B5" s="113"/>
      <c r="C5" s="113"/>
      <c r="D5" s="113"/>
      <c r="E5" s="114"/>
      <c r="F5" s="114"/>
      <c r="G5" s="113"/>
      <c r="H5" s="113"/>
      <c r="I5" s="114"/>
      <c r="J5" s="113"/>
      <c r="K5" s="113"/>
    </row>
    <row r="6" spans="1:31">
      <c r="A6" s="115"/>
      <c r="B6" s="113"/>
      <c r="C6" s="113"/>
      <c r="D6" s="113"/>
      <c r="E6" s="114"/>
      <c r="F6" s="114"/>
      <c r="G6" s="113"/>
      <c r="H6" s="113"/>
      <c r="I6" s="114"/>
      <c r="J6" s="113"/>
      <c r="K6" s="113"/>
    </row>
    <row r="7" spans="1:31">
      <c r="A7" s="115"/>
      <c r="B7" s="113"/>
      <c r="C7" s="113"/>
      <c r="D7" s="113"/>
      <c r="E7" s="114"/>
      <c r="F7" s="114"/>
      <c r="G7" s="113"/>
      <c r="H7" s="113"/>
      <c r="I7" s="114"/>
      <c r="J7" s="113"/>
      <c r="K7" s="113"/>
    </row>
    <row r="8" spans="1:31">
      <c r="A8" s="113"/>
      <c r="B8" s="113"/>
      <c r="C8" s="113"/>
      <c r="D8" s="113"/>
      <c r="E8" s="114"/>
      <c r="F8" s="114"/>
      <c r="G8" s="113"/>
      <c r="H8" s="113"/>
      <c r="I8" s="114"/>
      <c r="J8" s="113"/>
      <c r="K8" s="113"/>
    </row>
    <row r="9" spans="1:31">
      <c r="A9" s="116"/>
      <c r="B9" s="116"/>
      <c r="C9" s="117"/>
      <c r="D9" s="117"/>
      <c r="E9" s="118"/>
      <c r="F9" s="118"/>
      <c r="G9" s="119" t="s">
        <v>85</v>
      </c>
      <c r="H9" s="120"/>
      <c r="I9" s="118"/>
      <c r="J9" s="119"/>
      <c r="K9" s="119"/>
    </row>
    <row r="10" spans="1:31">
      <c r="A10" s="116"/>
      <c r="B10" s="116"/>
      <c r="C10" s="117" t="s">
        <v>152</v>
      </c>
      <c r="D10" s="117"/>
      <c r="E10" s="119" t="s">
        <v>85</v>
      </c>
      <c r="F10" s="118"/>
      <c r="G10" s="121" t="s">
        <v>153</v>
      </c>
      <c r="H10" s="120" t="s">
        <v>85</v>
      </c>
      <c r="I10" s="119" t="s">
        <v>120</v>
      </c>
      <c r="J10" s="117"/>
      <c r="K10" s="119" t="s">
        <v>120</v>
      </c>
    </row>
    <row r="11" spans="1:31">
      <c r="A11" s="116"/>
      <c r="B11" s="116"/>
      <c r="C11" s="122" t="s">
        <v>119</v>
      </c>
      <c r="D11" s="117" t="s">
        <v>152</v>
      </c>
      <c r="E11" s="123" t="s">
        <v>4</v>
      </c>
      <c r="F11" s="124"/>
      <c r="G11" s="123" t="s">
        <v>119</v>
      </c>
      <c r="H11" s="119" t="s">
        <v>153</v>
      </c>
      <c r="I11" s="123" t="s">
        <v>4</v>
      </c>
      <c r="J11" s="123"/>
      <c r="K11" s="123" t="s">
        <v>153</v>
      </c>
      <c r="M11" s="121" t="s">
        <v>154</v>
      </c>
    </row>
    <row r="12" spans="1:31">
      <c r="A12" s="125" t="s">
        <v>155</v>
      </c>
      <c r="G12" s="126"/>
      <c r="H12" s="126"/>
    </row>
    <row r="13" spans="1:31">
      <c r="A13" s="3" t="s">
        <v>156</v>
      </c>
      <c r="G13" s="126"/>
      <c r="H13" s="126"/>
    </row>
    <row r="14" spans="1:31">
      <c r="G14" s="126"/>
      <c r="H14" s="126"/>
    </row>
    <row r="15" spans="1:31">
      <c r="A15" s="3" t="s">
        <v>157</v>
      </c>
      <c r="G15" s="126"/>
      <c r="H15" s="126"/>
    </row>
    <row r="16" spans="1:31">
      <c r="A16" s="3" t="s">
        <v>158</v>
      </c>
      <c r="C16" s="127">
        <f t="shared" ref="C16:D18" si="0">C33+C50+C67</f>
        <v>30615</v>
      </c>
      <c r="D16" s="127">
        <f t="shared" si="0"/>
        <v>30989</v>
      </c>
      <c r="E16" s="128">
        <v>9.6</v>
      </c>
      <c r="G16" s="2">
        <f t="shared" ref="G16:H18" si="1">G33+G50+G67</f>
        <v>293904</v>
      </c>
      <c r="H16" s="2">
        <f t="shared" si="1"/>
        <v>297494</v>
      </c>
      <c r="I16" s="128">
        <v>9.6</v>
      </c>
      <c r="K16" s="2">
        <f>K33+K50+K67</f>
        <v>297494</v>
      </c>
      <c r="M16" s="42">
        <f>I16*D16</f>
        <v>297494.39999999997</v>
      </c>
      <c r="N16" s="3">
        <v>76</v>
      </c>
      <c r="O16" s="48">
        <f>N16*D16</f>
        <v>2355164</v>
      </c>
      <c r="P16" s="129">
        <f>N16*$O$25</f>
        <v>-2.3212565360957803E-15</v>
      </c>
      <c r="Q16" s="129">
        <f>C16*P16</f>
        <v>-7.1065268852572319E-11</v>
      </c>
      <c r="R16" s="130">
        <f>ROUND(E16+P16,2)</f>
        <v>9.6</v>
      </c>
      <c r="AE16" s="42"/>
    </row>
    <row r="17" spans="1:31">
      <c r="A17" s="3" t="s">
        <v>159</v>
      </c>
      <c r="C17" s="127">
        <f t="shared" si="0"/>
        <v>4904</v>
      </c>
      <c r="D17" s="127">
        <f t="shared" si="0"/>
        <v>5043</v>
      </c>
      <c r="E17" s="128">
        <v>18.28</v>
      </c>
      <c r="G17" s="2">
        <f t="shared" si="1"/>
        <v>89645</v>
      </c>
      <c r="H17" s="2">
        <f t="shared" si="1"/>
        <v>92186</v>
      </c>
      <c r="I17" s="128">
        <v>18.28</v>
      </c>
      <c r="K17" s="2">
        <f>K34+K51+K68</f>
        <v>92186</v>
      </c>
      <c r="M17" s="42">
        <f>I17*D17</f>
        <v>92186.040000000008</v>
      </c>
      <c r="N17" s="3">
        <v>172</v>
      </c>
      <c r="O17" s="48">
        <f>N17*D17</f>
        <v>867396</v>
      </c>
      <c r="P17" s="129">
        <f>N17*$O$25</f>
        <v>-5.2533700553746604E-15</v>
      </c>
      <c r="Q17" s="129">
        <f>C17*P17</f>
        <v>-2.5762526751557335E-11</v>
      </c>
      <c r="R17" s="130">
        <f>ROUND(E17+P17,2)</f>
        <v>18.28</v>
      </c>
      <c r="AE17" s="42"/>
    </row>
    <row r="18" spans="1:31">
      <c r="A18" s="3" t="s">
        <v>160</v>
      </c>
      <c r="C18" s="127">
        <f t="shared" si="0"/>
        <v>657</v>
      </c>
      <c r="D18" s="127">
        <f t="shared" si="0"/>
        <v>677</v>
      </c>
      <c r="E18" s="128">
        <v>37.82</v>
      </c>
      <c r="G18" s="2">
        <f t="shared" si="1"/>
        <v>24848</v>
      </c>
      <c r="H18" s="2">
        <f t="shared" si="1"/>
        <v>25605</v>
      </c>
      <c r="I18" s="128">
        <v>37.82</v>
      </c>
      <c r="K18" s="2">
        <f>K35+K52+K69</f>
        <v>25605</v>
      </c>
      <c r="M18" s="42">
        <f>I18*D18</f>
        <v>25604.14</v>
      </c>
      <c r="N18" s="3">
        <v>412</v>
      </c>
      <c r="O18" s="48">
        <f>N18*D18</f>
        <v>278924</v>
      </c>
      <c r="P18" s="129">
        <f>N18*$O$25</f>
        <v>-1.2583653853571861E-14</v>
      </c>
      <c r="Q18" s="129">
        <f>C18*P18</f>
        <v>-8.2674605817967132E-12</v>
      </c>
      <c r="R18" s="130">
        <f>ROUND(E18+P18,2)</f>
        <v>37.82</v>
      </c>
      <c r="AE18" s="42"/>
    </row>
    <row r="19" spans="1:31">
      <c r="A19" s="3" t="s">
        <v>161</v>
      </c>
      <c r="C19" s="127"/>
      <c r="D19" s="127"/>
      <c r="E19" s="128"/>
      <c r="G19" s="2"/>
      <c r="H19" s="2"/>
      <c r="I19" s="128"/>
      <c r="K19" s="2"/>
      <c r="M19" s="42"/>
      <c r="O19" s="3"/>
      <c r="P19" s="129"/>
      <c r="Q19" s="129"/>
      <c r="R19" s="131"/>
      <c r="AE19" s="42"/>
    </row>
    <row r="20" spans="1:31">
      <c r="A20" s="3" t="s">
        <v>162</v>
      </c>
      <c r="C20" s="127">
        <f t="shared" ref="C20:D25" si="2">C37+C54+C71</f>
        <v>2070</v>
      </c>
      <c r="D20" s="127">
        <f t="shared" si="2"/>
        <v>2097</v>
      </c>
      <c r="E20" s="128">
        <v>10.92</v>
      </c>
      <c r="G20" s="2">
        <f t="shared" ref="G20:H23" si="3">G37+G54+G71</f>
        <v>22604</v>
      </c>
      <c r="H20" s="2">
        <f t="shared" si="3"/>
        <v>22899</v>
      </c>
      <c r="I20" s="128">
        <v>10.92</v>
      </c>
      <c r="K20" s="2">
        <f>K37+K54+K71</f>
        <v>22899</v>
      </c>
      <c r="M20" s="42">
        <f>I20*D20</f>
        <v>22899.24</v>
      </c>
      <c r="N20" s="3">
        <v>31</v>
      </c>
      <c r="O20" s="48">
        <f>N20*D20</f>
        <v>65007</v>
      </c>
      <c r="P20" s="129">
        <f>N20*$O$25</f>
        <v>-9.4682832393380513E-16</v>
      </c>
      <c r="Q20" s="129">
        <f>C20*P20</f>
        <v>-1.9599346305429768E-12</v>
      </c>
      <c r="R20" s="130">
        <f>ROUND(E20+P20,2)</f>
        <v>10.92</v>
      </c>
      <c r="AE20" s="42"/>
    </row>
    <row r="21" spans="1:31">
      <c r="A21" s="3" t="s">
        <v>163</v>
      </c>
      <c r="C21" s="127">
        <f t="shared" si="2"/>
        <v>1813</v>
      </c>
      <c r="D21" s="127">
        <f t="shared" si="2"/>
        <v>1858</v>
      </c>
      <c r="E21" s="128">
        <v>16.04</v>
      </c>
      <c r="G21" s="2">
        <f t="shared" si="3"/>
        <v>29080</v>
      </c>
      <c r="H21" s="2">
        <f t="shared" si="3"/>
        <v>29802</v>
      </c>
      <c r="I21" s="128">
        <v>16.04</v>
      </c>
      <c r="K21" s="2">
        <f>K38+K55+K72</f>
        <v>29802</v>
      </c>
      <c r="M21" s="42">
        <f>I21*D21</f>
        <v>29802.32</v>
      </c>
      <c r="N21" s="3">
        <v>85</v>
      </c>
      <c r="O21" s="48">
        <f>N21*D21</f>
        <v>157930</v>
      </c>
      <c r="P21" s="129">
        <f>N21*$O$25</f>
        <v>-2.5961421785281753E-15</v>
      </c>
      <c r="Q21" s="129">
        <f>C21*P21</f>
        <v>-4.7068057696715822E-12</v>
      </c>
      <c r="R21" s="130">
        <f>ROUND(E21+P21,2)</f>
        <v>16.04</v>
      </c>
      <c r="AE21" s="42"/>
    </row>
    <row r="22" spans="1:31">
      <c r="A22" s="3" t="s">
        <v>164</v>
      </c>
      <c r="C22" s="127">
        <f t="shared" si="2"/>
        <v>481</v>
      </c>
      <c r="D22" s="127">
        <f t="shared" si="2"/>
        <v>495</v>
      </c>
      <c r="E22" s="128">
        <v>25.88</v>
      </c>
      <c r="G22" s="2">
        <f t="shared" si="3"/>
        <v>12449</v>
      </c>
      <c r="H22" s="2">
        <f t="shared" si="3"/>
        <v>12811</v>
      </c>
      <c r="I22" s="128">
        <v>25.88</v>
      </c>
      <c r="K22" s="2">
        <f>K39+K56+K73</f>
        <v>12811</v>
      </c>
      <c r="M22" s="42">
        <f>I22*D22</f>
        <v>12810.6</v>
      </c>
      <c r="N22" s="3">
        <v>176</v>
      </c>
      <c r="O22" s="48">
        <f>N22*D22</f>
        <v>87120</v>
      </c>
      <c r="P22" s="129">
        <f>N22*$O$25</f>
        <v>-5.3755414520112801E-15</v>
      </c>
      <c r="Q22" s="129">
        <f>C22*P22</f>
        <v>-2.5856354384174258E-12</v>
      </c>
      <c r="R22" s="130">
        <f>ROUND(E22+P22,2)</f>
        <v>25.88</v>
      </c>
      <c r="AE22" s="42"/>
    </row>
    <row r="23" spans="1:31">
      <c r="A23" s="3" t="s">
        <v>165</v>
      </c>
      <c r="C23" s="127">
        <f t="shared" si="2"/>
        <v>632</v>
      </c>
      <c r="D23" s="127">
        <f t="shared" si="2"/>
        <v>647</v>
      </c>
      <c r="E23" s="132">
        <v>1</v>
      </c>
      <c r="F23" s="11"/>
      <c r="G23" s="2">
        <f t="shared" si="3"/>
        <v>632</v>
      </c>
      <c r="H23" s="2">
        <f t="shared" si="3"/>
        <v>647</v>
      </c>
      <c r="I23" s="132">
        <v>1</v>
      </c>
      <c r="J23" s="11"/>
      <c r="K23" s="2">
        <f>K40+K57+K74</f>
        <v>647</v>
      </c>
      <c r="M23" s="42">
        <f>I23*D23</f>
        <v>647</v>
      </c>
      <c r="O23" s="48">
        <f>SUM(O16:O22)</f>
        <v>3811541</v>
      </c>
      <c r="P23" s="3"/>
      <c r="Q23" s="129">
        <f>SUM(Q16:Q22)</f>
        <v>-1.1434763202455836E-10</v>
      </c>
      <c r="AE23" s="42"/>
    </row>
    <row r="24" spans="1:31">
      <c r="A24" s="3" t="s">
        <v>166</v>
      </c>
      <c r="C24" s="127">
        <f t="shared" si="2"/>
        <v>2828</v>
      </c>
      <c r="D24" s="127">
        <f t="shared" si="2"/>
        <v>2797.0833333333335</v>
      </c>
      <c r="E24" s="128"/>
      <c r="G24" s="2"/>
      <c r="H24" s="2"/>
      <c r="I24" s="128"/>
      <c r="K24" s="2"/>
      <c r="M24" s="42"/>
      <c r="O24" s="42">
        <v>-1.1641532182693481E-10</v>
      </c>
      <c r="P24" s="3"/>
      <c r="AE24" s="42"/>
    </row>
    <row r="25" spans="1:31">
      <c r="A25" s="3" t="s">
        <v>15</v>
      </c>
      <c r="C25" s="127">
        <f t="shared" si="2"/>
        <v>3727613.5</v>
      </c>
      <c r="D25" s="127">
        <f t="shared" si="2"/>
        <v>3794904.7279999279</v>
      </c>
      <c r="E25" s="132"/>
      <c r="F25" s="11"/>
      <c r="G25" s="2">
        <f>G42+G59+G76</f>
        <v>473162</v>
      </c>
      <c r="H25" s="2">
        <f>H42+H59+H76</f>
        <v>481444</v>
      </c>
      <c r="I25" s="132"/>
      <c r="J25" s="11"/>
      <c r="K25" s="133">
        <f>K42+K59+K76</f>
        <v>481444</v>
      </c>
      <c r="M25" s="42">
        <f>SUM(M16:M24)</f>
        <v>481443.73999999993</v>
      </c>
      <c r="O25" s="134">
        <f>O24/O23</f>
        <v>-3.0542849159155002E-17</v>
      </c>
      <c r="P25" s="3"/>
      <c r="AE25" s="42"/>
    </row>
    <row r="26" spans="1:31">
      <c r="A26" s="3" t="s">
        <v>167</v>
      </c>
      <c r="C26" s="127">
        <f>C43+C60+C77</f>
        <v>7475.3644456641432</v>
      </c>
      <c r="D26" s="127">
        <v>0</v>
      </c>
      <c r="E26" s="132"/>
      <c r="F26" s="11"/>
      <c r="G26" s="135">
        <f>G43+G60+G77</f>
        <v>758.26673033638372</v>
      </c>
      <c r="H26" s="135">
        <v>0</v>
      </c>
      <c r="I26" s="132"/>
      <c r="J26" s="11"/>
      <c r="K26" s="135">
        <f>K43+K60+K77</f>
        <v>0</v>
      </c>
      <c r="AE26" s="42"/>
    </row>
    <row r="27" spans="1:31" ht="16.5" thickBot="1">
      <c r="A27" s="3" t="s">
        <v>1</v>
      </c>
      <c r="C27" s="136">
        <f>C25+C26</f>
        <v>3735088.864445664</v>
      </c>
      <c r="D27" s="136">
        <f>D25+D26</f>
        <v>3794904.7279999279</v>
      </c>
      <c r="E27" s="137"/>
      <c r="F27" s="137"/>
      <c r="G27" s="137">
        <f>G25+G26</f>
        <v>473920.26673033636</v>
      </c>
      <c r="H27" s="137">
        <f>H25+H26</f>
        <v>481444</v>
      </c>
      <c r="I27" s="137"/>
      <c r="J27" s="137"/>
      <c r="K27" s="137">
        <f>K25+K26</f>
        <v>481444</v>
      </c>
      <c r="N27" s="3" t="s">
        <v>168</v>
      </c>
      <c r="O27" s="33" t="e">
        <f>#REF!*1000</f>
        <v>#REF!</v>
      </c>
      <c r="Q27" s="8"/>
      <c r="AE27" s="42"/>
    </row>
    <row r="28" spans="1:31" ht="16.5" thickTop="1">
      <c r="C28" s="138"/>
      <c r="D28" s="138"/>
      <c r="E28" s="138"/>
      <c r="F28" s="138"/>
      <c r="G28" s="126"/>
      <c r="H28" s="126"/>
      <c r="I28" s="1" t="s">
        <v>13</v>
      </c>
      <c r="J28" s="138"/>
      <c r="K28" s="2" t="s">
        <v>13</v>
      </c>
      <c r="N28" s="3" t="s">
        <v>114</v>
      </c>
      <c r="O28" s="33" t="e">
        <f>O27-K27</f>
        <v>#REF!</v>
      </c>
      <c r="P28" s="8" t="e">
        <f>(O27-K27)/K27</f>
        <v>#REF!</v>
      </c>
      <c r="Q28" s="8"/>
      <c r="AE28" s="42"/>
    </row>
    <row r="29" spans="1:31">
      <c r="A29" s="125" t="s">
        <v>155</v>
      </c>
      <c r="G29" s="126"/>
      <c r="H29" s="126"/>
      <c r="O29" s="139" t="e">
        <f>O28/(K16+K17+K18+K20+K21+K22)</f>
        <v>#REF!</v>
      </c>
      <c r="P29" s="3"/>
      <c r="AE29" s="42"/>
    </row>
    <row r="30" spans="1:31">
      <c r="A30" s="3" t="s">
        <v>169</v>
      </c>
      <c r="G30" s="126"/>
      <c r="H30" s="126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AE30" s="42"/>
    </row>
    <row r="31" spans="1:31">
      <c r="E31" s="127"/>
      <c r="G31" s="126"/>
      <c r="H31" s="126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0"/>
      <c r="AE31" s="42"/>
    </row>
    <row r="32" spans="1:31">
      <c r="A32" s="3" t="s">
        <v>157</v>
      </c>
      <c r="G32" s="126"/>
      <c r="H32" s="126"/>
      <c r="M32" s="141"/>
      <c r="N32" s="141"/>
      <c r="O32" s="141"/>
      <c r="P32" s="38"/>
      <c r="Q32" s="142"/>
      <c r="R32" s="143"/>
      <c r="S32" s="144"/>
      <c r="T32" s="145"/>
      <c r="U32" s="141"/>
      <c r="V32" s="141"/>
      <c r="W32" s="141"/>
      <c r="X32" s="140"/>
      <c r="AE32" s="42"/>
    </row>
    <row r="33" spans="1:31">
      <c r="A33" s="3" t="s">
        <v>158</v>
      </c>
      <c r="C33" s="127">
        <f>14258+124</f>
        <v>14382</v>
      </c>
      <c r="D33" s="127">
        <f>ROUND(C33*($D$42/$C$42),0)</f>
        <v>14272</v>
      </c>
      <c r="E33" s="128">
        <v>9.6</v>
      </c>
      <c r="G33" s="2">
        <f>ROUND(E33*$C33,0)</f>
        <v>138067</v>
      </c>
      <c r="H33" s="2">
        <f>ROUND(E33*$D33,0)</f>
        <v>137011</v>
      </c>
      <c r="I33" s="128">
        <f>$I$16</f>
        <v>9.6</v>
      </c>
      <c r="K33" s="2">
        <f>ROUND(I33*$D33,0)</f>
        <v>137011</v>
      </c>
      <c r="M33" s="11"/>
      <c r="N33" s="11"/>
      <c r="O33" s="144"/>
      <c r="P33" s="38"/>
      <c r="Q33" s="141"/>
      <c r="R33" s="146"/>
      <c r="S33" s="147"/>
      <c r="T33" s="141"/>
      <c r="U33" s="144"/>
      <c r="V33" s="144"/>
      <c r="W33" s="148"/>
      <c r="X33" s="149"/>
      <c r="AE33" s="42"/>
    </row>
    <row r="34" spans="1:31">
      <c r="A34" s="3" t="s">
        <v>159</v>
      </c>
      <c r="C34" s="127">
        <f>262+12</f>
        <v>274</v>
      </c>
      <c r="D34" s="127">
        <f>ROUND(C34*($D$42/$C$42),0)</f>
        <v>272</v>
      </c>
      <c r="E34" s="128">
        <v>18.28</v>
      </c>
      <c r="G34" s="2">
        <f>ROUND(E34*$C34,0)</f>
        <v>5009</v>
      </c>
      <c r="H34" s="2">
        <f>ROUND(E34*$D34,0)</f>
        <v>4972</v>
      </c>
      <c r="I34" s="128">
        <f>$I$17</f>
        <v>18.28</v>
      </c>
      <c r="K34" s="2">
        <f>ROUND(I34*$D34,0)</f>
        <v>4972</v>
      </c>
      <c r="M34" s="11"/>
      <c r="N34" s="11"/>
      <c r="O34" s="144"/>
      <c r="P34" s="38"/>
      <c r="Q34" s="11"/>
      <c r="R34" s="150"/>
      <c r="S34" s="141"/>
      <c r="T34" s="141"/>
      <c r="U34" s="144"/>
      <c r="V34" s="144"/>
      <c r="W34" s="148"/>
      <c r="X34" s="149"/>
      <c r="AE34" s="42"/>
    </row>
    <row r="35" spans="1:31">
      <c r="A35" s="3" t="s">
        <v>160</v>
      </c>
      <c r="C35" s="127">
        <f>2</f>
        <v>2</v>
      </c>
      <c r="D35" s="127">
        <f>ROUND(C35*($D$42/$C$42),0)</f>
        <v>2</v>
      </c>
      <c r="E35" s="128">
        <v>37.82</v>
      </c>
      <c r="G35" s="2">
        <f>ROUND(E35*$C35,0)</f>
        <v>76</v>
      </c>
      <c r="H35" s="2">
        <f>ROUND(E35*$D35,0)</f>
        <v>76</v>
      </c>
      <c r="I35" s="128">
        <f>$I$18</f>
        <v>37.82</v>
      </c>
      <c r="K35" s="2">
        <f>ROUND(I35*$D35,0)</f>
        <v>76</v>
      </c>
      <c r="M35" s="11"/>
      <c r="N35" s="11"/>
      <c r="O35" s="144"/>
      <c r="P35" s="38"/>
      <c r="Q35" s="11"/>
      <c r="R35" s="150"/>
      <c r="S35" s="141"/>
      <c r="T35" s="141"/>
      <c r="U35" s="144"/>
      <c r="V35" s="144"/>
      <c r="W35" s="148"/>
      <c r="X35" s="149"/>
      <c r="AE35" s="42"/>
    </row>
    <row r="36" spans="1:31">
      <c r="A36" s="3" t="s">
        <v>161</v>
      </c>
      <c r="C36" s="127"/>
      <c r="D36" s="127"/>
      <c r="E36" s="128"/>
      <c r="G36" s="2"/>
      <c r="H36" s="2"/>
      <c r="I36" s="128"/>
      <c r="K36" s="2"/>
      <c r="M36" s="11"/>
      <c r="N36" s="11"/>
      <c r="O36" s="144"/>
      <c r="P36" s="38"/>
      <c r="Q36" s="11"/>
      <c r="R36" s="150"/>
      <c r="S36" s="141"/>
      <c r="T36" s="141"/>
      <c r="U36" s="144"/>
      <c r="V36" s="144"/>
      <c r="W36" s="148"/>
      <c r="X36" s="149"/>
      <c r="AE36" s="42"/>
    </row>
    <row r="37" spans="1:31">
      <c r="A37" s="3" t="s">
        <v>162</v>
      </c>
      <c r="C37" s="127">
        <f>921</f>
        <v>921</v>
      </c>
      <c r="D37" s="127">
        <f>ROUND(C37*($D$42/$C$42),0)</f>
        <v>914</v>
      </c>
      <c r="E37" s="128">
        <v>10.92</v>
      </c>
      <c r="G37" s="2">
        <f>ROUND(E37*$C37,0)</f>
        <v>10057</v>
      </c>
      <c r="H37" s="2">
        <f>ROUND(E37*$D37,0)</f>
        <v>9981</v>
      </c>
      <c r="I37" s="128">
        <f>$I$20</f>
        <v>10.92</v>
      </c>
      <c r="K37" s="2">
        <f>ROUND(I37*$D37,0)</f>
        <v>9981</v>
      </c>
      <c r="M37" s="11"/>
      <c r="N37" s="11"/>
      <c r="O37" s="144"/>
      <c r="P37" s="38"/>
      <c r="Q37" s="11"/>
      <c r="R37" s="150"/>
      <c r="S37" s="141"/>
      <c r="T37" s="141"/>
      <c r="U37" s="144"/>
      <c r="V37" s="144"/>
      <c r="W37" s="148"/>
      <c r="X37" s="149"/>
      <c r="AE37" s="42"/>
    </row>
    <row r="38" spans="1:31">
      <c r="A38" s="3" t="s">
        <v>163</v>
      </c>
      <c r="C38" s="127">
        <f>234</f>
        <v>234</v>
      </c>
      <c r="D38" s="127">
        <f>ROUND(C38*($D$42/$C$42),0)</f>
        <v>232</v>
      </c>
      <c r="E38" s="128">
        <v>16.04</v>
      </c>
      <c r="G38" s="2">
        <f>ROUND(E38*$C38,0)</f>
        <v>3753</v>
      </c>
      <c r="H38" s="2">
        <f>ROUND(E38*$D38,0)</f>
        <v>3721</v>
      </c>
      <c r="I38" s="128">
        <f>$I$21</f>
        <v>16.04</v>
      </c>
      <c r="K38" s="2">
        <f>ROUND(I38*$D38,0)</f>
        <v>3721</v>
      </c>
      <c r="M38" s="11"/>
      <c r="N38" s="11"/>
      <c r="O38" s="144"/>
      <c r="P38" s="38"/>
      <c r="Q38" s="11"/>
      <c r="R38" s="150"/>
      <c r="S38" s="141"/>
      <c r="T38" s="141"/>
      <c r="U38" s="144"/>
      <c r="V38" s="144"/>
      <c r="W38" s="148"/>
      <c r="X38" s="149"/>
      <c r="AE38" s="42"/>
    </row>
    <row r="39" spans="1:31">
      <c r="A39" s="3" t="s">
        <v>164</v>
      </c>
      <c r="C39" s="127">
        <f>12</f>
        <v>12</v>
      </c>
      <c r="D39" s="127">
        <f>ROUND(C39*($D$42/$C$42),0)</f>
        <v>12</v>
      </c>
      <c r="E39" s="128">
        <v>25.88</v>
      </c>
      <c r="G39" s="2">
        <f>ROUND(E39*$C39,0)</f>
        <v>311</v>
      </c>
      <c r="H39" s="2">
        <f>ROUND(E39*$D39,0)</f>
        <v>311</v>
      </c>
      <c r="I39" s="128">
        <f>$I$22</f>
        <v>25.88</v>
      </c>
      <c r="K39" s="2">
        <f>ROUND(I39*$D39,0)</f>
        <v>311</v>
      </c>
      <c r="M39" s="11"/>
      <c r="N39" s="11"/>
      <c r="O39" s="144"/>
      <c r="P39" s="38"/>
      <c r="Q39" s="11"/>
      <c r="R39" s="150"/>
      <c r="S39" s="141"/>
      <c r="T39" s="141"/>
      <c r="U39" s="144"/>
      <c r="V39" s="144"/>
      <c r="W39" s="148"/>
      <c r="X39" s="149"/>
      <c r="AE39" s="42"/>
    </row>
    <row r="40" spans="1:31">
      <c r="A40" s="3" t="s">
        <v>165</v>
      </c>
      <c r="C40" s="127">
        <f>125+12+2</f>
        <v>139</v>
      </c>
      <c r="D40" s="127">
        <f>ROUND(C40*($D$42/$C$42),0)</f>
        <v>138</v>
      </c>
      <c r="E40" s="132">
        <v>1</v>
      </c>
      <c r="F40" s="11"/>
      <c r="G40" s="135">
        <f>ROUND(E40*$C40,0)</f>
        <v>139</v>
      </c>
      <c r="H40" s="135">
        <f>ROUND(E40*$D40,0)</f>
        <v>138</v>
      </c>
      <c r="I40" s="132">
        <f>$I$23</f>
        <v>1</v>
      </c>
      <c r="J40" s="11"/>
      <c r="K40" s="135">
        <f>ROUND(I40*$D40,0)</f>
        <v>138</v>
      </c>
      <c r="M40" s="141"/>
      <c r="N40" s="141"/>
      <c r="O40" s="144"/>
      <c r="P40" s="38"/>
      <c r="Q40" s="11"/>
      <c r="R40" s="141"/>
      <c r="S40" s="141"/>
      <c r="T40" s="141"/>
      <c r="U40" s="144"/>
      <c r="V40" s="144"/>
      <c r="W40" s="144"/>
      <c r="X40" s="149"/>
      <c r="AE40" s="42"/>
    </row>
    <row r="41" spans="1:31">
      <c r="A41" s="3" t="s">
        <v>166</v>
      </c>
      <c r="C41" s="127">
        <v>1293</v>
      </c>
      <c r="D41" s="127">
        <v>1276.1666666666667</v>
      </c>
      <c r="E41" s="128"/>
      <c r="G41" s="2"/>
      <c r="H41" s="2"/>
      <c r="I41" s="128"/>
      <c r="K41" s="2"/>
      <c r="M41" s="141"/>
      <c r="N41" s="141"/>
      <c r="O41" s="141"/>
      <c r="P41" s="141"/>
      <c r="Q41" s="141"/>
      <c r="R41" s="141"/>
      <c r="S41" s="141"/>
      <c r="T41" s="141"/>
      <c r="U41" s="151"/>
      <c r="V41" s="141"/>
      <c r="W41" s="141"/>
      <c r="X41" s="140"/>
      <c r="AE41" s="42"/>
    </row>
    <row r="42" spans="1:31">
      <c r="A42" s="3" t="s">
        <v>15</v>
      </c>
      <c r="C42" s="127">
        <v>1187224</v>
      </c>
      <c r="D42" s="127">
        <v>1178171.795773752</v>
      </c>
      <c r="E42" s="132"/>
      <c r="F42" s="11"/>
      <c r="G42" s="135">
        <f>SUM(G33:G40)</f>
        <v>157412</v>
      </c>
      <c r="H42" s="135">
        <f>SUM(H33:H40)</f>
        <v>156210</v>
      </c>
      <c r="I42" s="132"/>
      <c r="J42" s="11"/>
      <c r="K42" s="135">
        <f>SUM(K33:K40)</f>
        <v>156210</v>
      </c>
      <c r="M42" s="141"/>
      <c r="N42" s="141"/>
      <c r="O42" s="150"/>
      <c r="P42" s="141"/>
      <c r="Q42" s="11"/>
      <c r="R42" s="11"/>
      <c r="S42" s="11"/>
      <c r="T42" s="141"/>
      <c r="U42" s="141"/>
      <c r="V42" s="141"/>
      <c r="W42" s="141"/>
      <c r="X42" s="140"/>
      <c r="AE42" s="42"/>
    </row>
    <row r="43" spans="1:31">
      <c r="A43" s="3" t="s">
        <v>167</v>
      </c>
      <c r="C43" s="127">
        <v>718.56078337023234</v>
      </c>
      <c r="D43" s="127">
        <v>0</v>
      </c>
      <c r="E43" s="132"/>
      <c r="F43" s="11"/>
      <c r="G43" s="135">
        <v>42.574697195479054</v>
      </c>
      <c r="H43" s="135">
        <v>0</v>
      </c>
      <c r="I43" s="132"/>
      <c r="J43" s="11"/>
      <c r="K43" s="135">
        <v>0</v>
      </c>
      <c r="M43" s="152"/>
      <c r="N43" s="152"/>
      <c r="O43" s="153"/>
      <c r="P43" s="140"/>
      <c r="Q43" s="140"/>
      <c r="R43" s="146"/>
      <c r="S43" s="144"/>
      <c r="T43" s="141"/>
      <c r="U43" s="140"/>
      <c r="V43" s="140"/>
      <c r="W43" s="140"/>
      <c r="X43" s="140"/>
      <c r="AE43" s="42"/>
    </row>
    <row r="44" spans="1:31" ht="16.5" thickBot="1">
      <c r="A44" s="3" t="s">
        <v>1</v>
      </c>
      <c r="C44" s="136">
        <f>C42+C43</f>
        <v>1187942.5607833702</v>
      </c>
      <c r="D44" s="136">
        <f>SUM(D42:D43)</f>
        <v>1178171.795773752</v>
      </c>
      <c r="E44" s="137"/>
      <c r="F44" s="137"/>
      <c r="G44" s="137">
        <f>G42+G43</f>
        <v>157454.57469719546</v>
      </c>
      <c r="H44" s="137">
        <f>H42+H43</f>
        <v>156210</v>
      </c>
      <c r="I44" s="137"/>
      <c r="J44" s="137"/>
      <c r="K44" s="137">
        <f>K42+K43</f>
        <v>156210</v>
      </c>
      <c r="M44" s="154"/>
      <c r="N44" s="154"/>
      <c r="O44" s="155"/>
      <c r="P44" s="140"/>
      <c r="Q44" s="140"/>
      <c r="R44" s="141"/>
      <c r="S44" s="141"/>
      <c r="T44" s="141"/>
      <c r="U44" s="140"/>
      <c r="V44" s="140"/>
      <c r="W44" s="140"/>
      <c r="X44" s="140"/>
      <c r="AE44" s="42"/>
    </row>
    <row r="45" spans="1:31" ht="16.5" thickTop="1">
      <c r="C45" s="138"/>
      <c r="D45" s="138"/>
      <c r="E45" s="138"/>
      <c r="F45" s="138"/>
      <c r="G45" s="126"/>
      <c r="H45" s="126"/>
      <c r="I45" s="1" t="s">
        <v>13</v>
      </c>
      <c r="J45" s="138"/>
      <c r="K45" s="2" t="s">
        <v>13</v>
      </c>
      <c r="P45" s="38"/>
      <c r="Q45" s="11"/>
      <c r="R45" s="11"/>
      <c r="S45" s="11"/>
      <c r="T45" s="141"/>
      <c r="U45" s="141"/>
      <c r="V45" s="141"/>
      <c r="W45" s="141"/>
      <c r="X45" s="141"/>
      <c r="Y45" s="11"/>
      <c r="Z45" s="11"/>
      <c r="AE45" s="42"/>
    </row>
    <row r="46" spans="1:31">
      <c r="A46" s="125" t="s">
        <v>155</v>
      </c>
      <c r="G46" s="126"/>
      <c r="H46" s="126"/>
      <c r="P46" s="38"/>
      <c r="Q46" s="11"/>
      <c r="R46" s="11"/>
      <c r="S46" s="11"/>
      <c r="T46" s="141"/>
      <c r="U46" s="141"/>
      <c r="V46" s="141"/>
      <c r="W46" s="141"/>
      <c r="X46" s="141"/>
      <c r="Y46" s="11"/>
      <c r="Z46" s="11"/>
      <c r="AE46" s="42"/>
    </row>
    <row r="47" spans="1:31">
      <c r="A47" s="3" t="s">
        <v>170</v>
      </c>
      <c r="G47" s="126"/>
      <c r="H47" s="126"/>
      <c r="M47" s="140"/>
      <c r="N47" s="140"/>
      <c r="O47" s="140"/>
      <c r="P47" s="141"/>
      <c r="Q47" s="141"/>
      <c r="R47" s="141"/>
      <c r="S47" s="141"/>
      <c r="T47" s="141"/>
      <c r="U47" s="141"/>
      <c r="V47" s="141"/>
      <c r="W47" s="141"/>
      <c r="X47" s="141"/>
      <c r="Y47" s="11"/>
      <c r="Z47" s="11"/>
      <c r="AE47" s="42"/>
    </row>
    <row r="48" spans="1:31">
      <c r="G48" s="126"/>
      <c r="H48" s="126"/>
      <c r="M48" s="140"/>
      <c r="N48" s="140"/>
      <c r="O48" s="140"/>
      <c r="P48" s="141"/>
      <c r="Q48" s="141"/>
      <c r="R48" s="141"/>
      <c r="S48" s="141"/>
      <c r="T48" s="141"/>
      <c r="U48" s="141"/>
      <c r="V48" s="141"/>
      <c r="W48" s="141"/>
      <c r="X48" s="141"/>
      <c r="Y48" s="11"/>
      <c r="Z48" s="11"/>
      <c r="AE48" s="42"/>
    </row>
    <row r="49" spans="1:31">
      <c r="A49" s="3" t="s">
        <v>157</v>
      </c>
      <c r="G49" s="126"/>
      <c r="H49" s="126"/>
      <c r="M49" s="140"/>
      <c r="N49" s="140"/>
      <c r="O49" s="140"/>
      <c r="P49" s="38"/>
      <c r="Q49" s="142"/>
      <c r="R49" s="143"/>
      <c r="S49" s="144"/>
      <c r="T49" s="145"/>
      <c r="U49" s="141"/>
      <c r="V49" s="141"/>
      <c r="W49" s="141"/>
      <c r="X49" s="141"/>
      <c r="Y49" s="11"/>
      <c r="Z49" s="11"/>
      <c r="AE49" s="42"/>
    </row>
    <row r="50" spans="1:31">
      <c r="A50" s="3" t="s">
        <v>158</v>
      </c>
      <c r="C50" s="127">
        <f>8661+12+6864+36</f>
        <v>15573</v>
      </c>
      <c r="D50" s="127">
        <f>ROUND(C50*($D$59/$C$59),0)</f>
        <v>16032</v>
      </c>
      <c r="E50" s="128">
        <v>9.6</v>
      </c>
      <c r="G50" s="2">
        <f>ROUND(E50*$C50,0)</f>
        <v>149501</v>
      </c>
      <c r="H50" s="2">
        <f>ROUND(E50*$D50,0)</f>
        <v>153907</v>
      </c>
      <c r="I50" s="128">
        <f>$I$16</f>
        <v>9.6</v>
      </c>
      <c r="K50" s="2">
        <f>ROUND(I50*$D50,0)</f>
        <v>153907</v>
      </c>
      <c r="O50" s="149"/>
      <c r="P50" s="38"/>
      <c r="Q50" s="141"/>
      <c r="R50" s="146"/>
      <c r="S50" s="147"/>
      <c r="T50" s="141"/>
      <c r="U50" s="144"/>
      <c r="V50" s="144"/>
      <c r="W50" s="148"/>
      <c r="X50" s="144"/>
      <c r="Y50" s="11"/>
      <c r="Z50" s="11"/>
      <c r="AE50" s="42"/>
    </row>
    <row r="51" spans="1:31">
      <c r="A51" s="3" t="s">
        <v>159</v>
      </c>
      <c r="C51" s="127">
        <f>3458+252+477</f>
        <v>4187</v>
      </c>
      <c r="D51" s="127">
        <f>ROUND(C51*($D$59/$C$59),0)</f>
        <v>4311</v>
      </c>
      <c r="E51" s="128">
        <v>18.28</v>
      </c>
      <c r="G51" s="2">
        <f>ROUND(E51*$C51,0)</f>
        <v>76538</v>
      </c>
      <c r="H51" s="2">
        <f>ROUND(E51*$D51,0)</f>
        <v>78805</v>
      </c>
      <c r="I51" s="128">
        <f>$I$17</f>
        <v>18.28</v>
      </c>
      <c r="K51" s="2">
        <f>ROUND(I51*$D51,0)</f>
        <v>78805</v>
      </c>
      <c r="O51" s="149"/>
      <c r="P51" s="38"/>
      <c r="Q51" s="11"/>
      <c r="R51" s="150"/>
      <c r="S51" s="141"/>
      <c r="T51" s="141"/>
      <c r="U51" s="144"/>
      <c r="V51" s="144"/>
      <c r="W51" s="148"/>
      <c r="X51" s="144"/>
      <c r="Y51" s="11"/>
      <c r="Z51" s="11"/>
      <c r="AE51" s="42"/>
    </row>
    <row r="52" spans="1:31">
      <c r="A52" s="3" t="s">
        <v>160</v>
      </c>
      <c r="C52" s="127">
        <f>511+48+36+12</f>
        <v>607</v>
      </c>
      <c r="D52" s="127">
        <f>ROUND(C52*($D$59/$C$59),0)</f>
        <v>625</v>
      </c>
      <c r="E52" s="128">
        <v>37.82</v>
      </c>
      <c r="G52" s="2">
        <f>ROUND(E52*$C52,0)</f>
        <v>22957</v>
      </c>
      <c r="H52" s="2">
        <f>ROUND(E52*$D52,0)</f>
        <v>23638</v>
      </c>
      <c r="I52" s="128">
        <f>$I$18</f>
        <v>37.82</v>
      </c>
      <c r="K52" s="2">
        <f>ROUND(I52*$D52,0)</f>
        <v>23638</v>
      </c>
      <c r="O52" s="149"/>
      <c r="P52" s="38"/>
      <c r="Q52" s="11"/>
      <c r="R52" s="150"/>
      <c r="S52" s="141"/>
      <c r="T52" s="141"/>
      <c r="U52" s="144"/>
      <c r="V52" s="144"/>
      <c r="W52" s="148"/>
      <c r="X52" s="144"/>
      <c r="Y52" s="11"/>
      <c r="Z52" s="11"/>
      <c r="AE52" s="42"/>
    </row>
    <row r="53" spans="1:31">
      <c r="A53" s="3" t="s">
        <v>161</v>
      </c>
      <c r="C53" s="127"/>
      <c r="D53" s="127"/>
      <c r="E53" s="128"/>
      <c r="G53" s="2"/>
      <c r="H53" s="2"/>
      <c r="I53" s="128"/>
      <c r="K53" s="2"/>
      <c r="O53" s="149"/>
      <c r="P53" s="38"/>
      <c r="Q53" s="11"/>
      <c r="R53" s="150"/>
      <c r="S53" s="141"/>
      <c r="T53" s="141"/>
      <c r="U53" s="144"/>
      <c r="V53" s="144"/>
      <c r="W53" s="148"/>
      <c r="X53" s="144"/>
      <c r="Y53" s="11"/>
      <c r="Z53" s="11"/>
      <c r="AE53" s="42"/>
    </row>
    <row r="54" spans="1:31">
      <c r="A54" s="3" t="s">
        <v>162</v>
      </c>
      <c r="C54" s="127">
        <f>634+503</f>
        <v>1137</v>
      </c>
      <c r="D54" s="127">
        <f>ROUND(C54*($D$59/$C$59),0)</f>
        <v>1171</v>
      </c>
      <c r="E54" s="128">
        <v>10.92</v>
      </c>
      <c r="G54" s="2">
        <f>ROUND(E54*$C54,0)</f>
        <v>12416</v>
      </c>
      <c r="H54" s="2">
        <f>ROUND(E54*$D54,0)</f>
        <v>12787</v>
      </c>
      <c r="I54" s="128">
        <f>$I$20</f>
        <v>10.92</v>
      </c>
      <c r="K54" s="2">
        <f>ROUND(I54*$D54,0)</f>
        <v>12787</v>
      </c>
      <c r="O54" s="149"/>
      <c r="P54" s="38"/>
      <c r="Q54" s="11"/>
      <c r="R54" s="150"/>
      <c r="S54" s="141"/>
      <c r="T54" s="141"/>
      <c r="U54" s="144"/>
      <c r="V54" s="144"/>
      <c r="W54" s="148"/>
      <c r="X54" s="144"/>
      <c r="Y54" s="11"/>
      <c r="Z54" s="11"/>
      <c r="AE54" s="42"/>
    </row>
    <row r="55" spans="1:31">
      <c r="A55" s="3" t="s">
        <v>163</v>
      </c>
      <c r="C55" s="127">
        <f>1234+237</f>
        <v>1471</v>
      </c>
      <c r="D55" s="127">
        <f>ROUND(C55*($D$59/$C$59),0)</f>
        <v>1514</v>
      </c>
      <c r="E55" s="128">
        <v>16.04</v>
      </c>
      <c r="G55" s="2">
        <f>ROUND(E55*$C55,0)</f>
        <v>23595</v>
      </c>
      <c r="H55" s="2">
        <f>ROUND(E55*$D55,0)</f>
        <v>24285</v>
      </c>
      <c r="I55" s="128">
        <f>$I$21</f>
        <v>16.04</v>
      </c>
      <c r="K55" s="2">
        <f>ROUND(I55*$D55,0)</f>
        <v>24285</v>
      </c>
      <c r="O55" s="149"/>
      <c r="P55" s="38"/>
      <c r="Q55" s="11"/>
      <c r="R55" s="150"/>
      <c r="S55" s="141"/>
      <c r="T55" s="141"/>
      <c r="U55" s="144"/>
      <c r="V55" s="144"/>
      <c r="W55" s="148"/>
      <c r="X55" s="144"/>
      <c r="Y55" s="11"/>
      <c r="Z55" s="11"/>
      <c r="AE55" s="42"/>
    </row>
    <row r="56" spans="1:31">
      <c r="A56" s="3" t="s">
        <v>164</v>
      </c>
      <c r="C56" s="127">
        <f>385+48</f>
        <v>433</v>
      </c>
      <c r="D56" s="127">
        <f>ROUND(C56*($D$59/$C$59),0)</f>
        <v>446</v>
      </c>
      <c r="E56" s="128">
        <v>25.88</v>
      </c>
      <c r="G56" s="2">
        <f>ROUND(E56*$C56,0)</f>
        <v>11206</v>
      </c>
      <c r="H56" s="2">
        <f>ROUND(E56*$D56,0)</f>
        <v>11542</v>
      </c>
      <c r="I56" s="128">
        <f>$I$22</f>
        <v>25.88</v>
      </c>
      <c r="K56" s="2">
        <f>ROUND(I56*$D56,0)</f>
        <v>11542</v>
      </c>
      <c r="O56" s="149"/>
      <c r="P56" s="38"/>
      <c r="Q56" s="11"/>
      <c r="R56" s="150"/>
      <c r="S56" s="141"/>
      <c r="T56" s="141"/>
      <c r="U56" s="144"/>
      <c r="V56" s="144"/>
      <c r="W56" s="148"/>
      <c r="X56" s="144"/>
      <c r="Y56" s="11"/>
      <c r="Z56" s="11"/>
      <c r="AE56" s="42"/>
    </row>
    <row r="57" spans="1:31">
      <c r="A57" s="3" t="s">
        <v>165</v>
      </c>
      <c r="C57" s="127">
        <f>12+252+48+36+12</f>
        <v>360</v>
      </c>
      <c r="D57" s="127">
        <f>ROUND(C57*($D$59/$C$59),0)</f>
        <v>371</v>
      </c>
      <c r="E57" s="132">
        <v>1</v>
      </c>
      <c r="F57" s="11"/>
      <c r="G57" s="135">
        <f>ROUND(E57*$C57,0)</f>
        <v>360</v>
      </c>
      <c r="H57" s="135">
        <f>ROUND(E57*$D57,0)</f>
        <v>371</v>
      </c>
      <c r="I57" s="132">
        <f>$I$23</f>
        <v>1</v>
      </c>
      <c r="J57" s="11"/>
      <c r="K57" s="135">
        <f>ROUND(I57*$D57,0)</f>
        <v>371</v>
      </c>
      <c r="M57" s="140"/>
      <c r="N57" s="140"/>
      <c r="O57" s="144"/>
      <c r="P57" s="38"/>
      <c r="Q57" s="11"/>
      <c r="R57" s="141"/>
      <c r="S57" s="141"/>
      <c r="T57" s="141"/>
      <c r="U57" s="144"/>
      <c r="V57" s="144"/>
      <c r="W57" s="144"/>
      <c r="X57" s="144"/>
      <c r="Y57" s="11"/>
      <c r="Z57" s="11"/>
      <c r="AE57" s="42"/>
    </row>
    <row r="58" spans="1:31">
      <c r="A58" s="3" t="s">
        <v>166</v>
      </c>
      <c r="C58" s="127">
        <v>1470</v>
      </c>
      <c r="D58" s="127">
        <v>1459</v>
      </c>
      <c r="E58" s="128"/>
      <c r="G58" s="2"/>
      <c r="H58" s="2"/>
      <c r="I58" s="128"/>
      <c r="K58" s="2"/>
      <c r="M58" s="140"/>
      <c r="N58" s="140"/>
      <c r="O58" s="140"/>
      <c r="P58" s="141"/>
      <c r="Q58" s="141"/>
      <c r="R58" s="141"/>
      <c r="S58" s="141"/>
      <c r="T58" s="141"/>
      <c r="U58" s="151"/>
      <c r="V58" s="141"/>
      <c r="W58" s="141"/>
      <c r="X58" s="141"/>
      <c r="Y58" s="11"/>
      <c r="Z58" s="11"/>
      <c r="AE58" s="42"/>
    </row>
    <row r="59" spans="1:31">
      <c r="A59" s="3" t="s">
        <v>15</v>
      </c>
      <c r="C59" s="127">
        <v>2378799.5</v>
      </c>
      <c r="D59" s="127">
        <v>2448984.1343942713</v>
      </c>
      <c r="E59" s="132"/>
      <c r="F59" s="11"/>
      <c r="G59" s="135">
        <f>SUM(G50:G57)</f>
        <v>296573</v>
      </c>
      <c r="H59" s="135">
        <f>SUM(H50:H57)</f>
        <v>305335</v>
      </c>
      <c r="I59" s="132"/>
      <c r="J59" s="11"/>
      <c r="K59" s="135">
        <f>SUM(K50:K57)</f>
        <v>305335</v>
      </c>
      <c r="M59" s="140"/>
      <c r="N59" s="140"/>
      <c r="O59" s="153"/>
      <c r="P59" s="141"/>
      <c r="Q59" s="11"/>
      <c r="R59" s="11"/>
      <c r="S59" s="11"/>
      <c r="T59" s="141"/>
      <c r="U59" s="141"/>
      <c r="V59" s="141"/>
      <c r="W59" s="141"/>
      <c r="X59" s="141"/>
      <c r="Y59" s="11"/>
      <c r="Z59" s="11"/>
      <c r="AE59" s="42"/>
    </row>
    <row r="60" spans="1:31">
      <c r="A60" s="3" t="s">
        <v>167</v>
      </c>
      <c r="C60" s="127">
        <v>10407.99096753577</v>
      </c>
      <c r="D60" s="127">
        <v>0</v>
      </c>
      <c r="E60" s="132"/>
      <c r="F60" s="11"/>
      <c r="G60" s="135">
        <v>1073.2189733021287</v>
      </c>
      <c r="H60" s="135">
        <v>0</v>
      </c>
      <c r="I60" s="132"/>
      <c r="J60" s="11"/>
      <c r="K60" s="135">
        <v>0</v>
      </c>
      <c r="M60" s="152"/>
      <c r="N60" s="152"/>
      <c r="O60" s="153"/>
      <c r="P60" s="141"/>
      <c r="Q60" s="141"/>
      <c r="R60" s="146"/>
      <c r="S60" s="144"/>
      <c r="T60" s="141"/>
      <c r="U60" s="141"/>
      <c r="V60" s="141"/>
      <c r="W60" s="141"/>
      <c r="X60" s="141"/>
      <c r="Y60" s="11"/>
      <c r="Z60" s="11"/>
      <c r="AE60" s="42"/>
    </row>
    <row r="61" spans="1:31" ht="16.5" thickBot="1">
      <c r="A61" s="3" t="s">
        <v>1</v>
      </c>
      <c r="C61" s="136">
        <f>C59+C60</f>
        <v>2389207.4909675359</v>
      </c>
      <c r="D61" s="136">
        <f>SUM(D59:D60)</f>
        <v>2448984.1343942713</v>
      </c>
      <c r="E61" s="137"/>
      <c r="F61" s="137"/>
      <c r="G61" s="137">
        <f>G59+G60</f>
        <v>297646.21897330211</v>
      </c>
      <c r="H61" s="137">
        <f>H59+H60</f>
        <v>305335</v>
      </c>
      <c r="I61" s="137"/>
      <c r="J61" s="137"/>
      <c r="K61" s="137">
        <f>K59+K60</f>
        <v>305335</v>
      </c>
      <c r="M61" s="154"/>
      <c r="N61" s="154"/>
      <c r="O61" s="155"/>
      <c r="P61" s="141"/>
      <c r="Q61" s="141"/>
      <c r="R61" s="141"/>
      <c r="S61" s="141"/>
      <c r="T61" s="141"/>
      <c r="U61" s="141"/>
      <c r="V61" s="141"/>
      <c r="W61" s="141"/>
      <c r="X61" s="141"/>
      <c r="Y61" s="11"/>
      <c r="Z61" s="11"/>
      <c r="AE61" s="42"/>
    </row>
    <row r="62" spans="1:31" ht="16.5" thickTop="1">
      <c r="C62" s="138"/>
      <c r="D62" s="138"/>
      <c r="E62" s="138"/>
      <c r="F62" s="138"/>
      <c r="G62" s="126"/>
      <c r="H62" s="126"/>
      <c r="I62" s="1" t="s">
        <v>13</v>
      </c>
      <c r="J62" s="138"/>
      <c r="K62" s="2" t="s">
        <v>13</v>
      </c>
      <c r="AE62" s="42"/>
    </row>
    <row r="63" spans="1:31">
      <c r="A63" s="125" t="s">
        <v>155</v>
      </c>
      <c r="G63" s="126"/>
      <c r="H63" s="126"/>
      <c r="AE63" s="42"/>
    </row>
    <row r="64" spans="1:31">
      <c r="A64" s="3" t="s">
        <v>171</v>
      </c>
      <c r="G64" s="126"/>
      <c r="H64" s="126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AE64" s="42"/>
    </row>
    <row r="65" spans="1:31">
      <c r="G65" s="126"/>
      <c r="H65" s="126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1"/>
      <c r="AE65" s="42"/>
    </row>
    <row r="66" spans="1:31">
      <c r="A66" s="3" t="s">
        <v>157</v>
      </c>
      <c r="G66" s="126"/>
      <c r="H66" s="126"/>
      <c r="M66" s="141"/>
      <c r="N66" s="141"/>
      <c r="O66" s="141"/>
      <c r="P66" s="38"/>
      <c r="Q66" s="142"/>
      <c r="R66" s="143"/>
      <c r="S66" s="144"/>
      <c r="T66" s="145"/>
      <c r="U66" s="141"/>
      <c r="V66" s="141"/>
      <c r="W66" s="141"/>
      <c r="X66" s="141"/>
      <c r="Y66" s="11"/>
      <c r="AE66" s="42"/>
    </row>
    <row r="67" spans="1:31">
      <c r="A67" s="3" t="s">
        <v>158</v>
      </c>
      <c r="C67" s="127">
        <f>336+192+132</f>
        <v>660</v>
      </c>
      <c r="D67" s="127">
        <f>ROUND(C67*($D$76/$C$76),0)</f>
        <v>685</v>
      </c>
      <c r="E67" s="128">
        <v>9.6</v>
      </c>
      <c r="G67" s="2">
        <f>ROUND(E67*$C67,0)</f>
        <v>6336</v>
      </c>
      <c r="H67" s="2">
        <f>ROUND(E67*$D67,0)</f>
        <v>6576</v>
      </c>
      <c r="I67" s="128">
        <f>$I$16</f>
        <v>9.6</v>
      </c>
      <c r="K67" s="2">
        <f>ROUND(I67*$D67,0)</f>
        <v>6576</v>
      </c>
      <c r="M67" s="11"/>
      <c r="N67" s="11"/>
      <c r="O67" s="144"/>
      <c r="P67" s="38"/>
      <c r="Q67" s="141"/>
      <c r="R67" s="146"/>
      <c r="S67" s="147"/>
      <c r="T67" s="141"/>
      <c r="U67" s="144"/>
      <c r="V67" s="144"/>
      <c r="W67" s="148"/>
      <c r="X67" s="144"/>
      <c r="Y67" s="11"/>
      <c r="AE67" s="42"/>
    </row>
    <row r="68" spans="1:31">
      <c r="A68" s="3" t="s">
        <v>159</v>
      </c>
      <c r="C68" s="127">
        <f>407+36</f>
        <v>443</v>
      </c>
      <c r="D68" s="127">
        <f>ROUND(C68*($D$76/$C$76),0)</f>
        <v>460</v>
      </c>
      <c r="E68" s="128">
        <v>18.28</v>
      </c>
      <c r="G68" s="2">
        <f>ROUND(E68*$C68,0)</f>
        <v>8098</v>
      </c>
      <c r="H68" s="2">
        <f>ROUND(E68*$D68,0)</f>
        <v>8409</v>
      </c>
      <c r="I68" s="128">
        <f>$I$17</f>
        <v>18.28</v>
      </c>
      <c r="K68" s="2">
        <f>ROUND(I68*$D68,0)</f>
        <v>8409</v>
      </c>
      <c r="M68" s="11"/>
      <c r="N68" s="11"/>
      <c r="O68" s="144"/>
      <c r="P68" s="38"/>
      <c r="Q68" s="11"/>
      <c r="R68" s="150"/>
      <c r="S68" s="141"/>
      <c r="T68" s="141"/>
      <c r="U68" s="144"/>
      <c r="V68" s="144"/>
      <c r="W68" s="148"/>
      <c r="X68" s="144"/>
      <c r="Y68" s="11"/>
      <c r="AE68" s="42"/>
    </row>
    <row r="69" spans="1:31">
      <c r="A69" s="3" t="s">
        <v>160</v>
      </c>
      <c r="C69" s="127">
        <f>48</f>
        <v>48</v>
      </c>
      <c r="D69" s="127">
        <f>ROUND(C69*($D$76/$C$76),0)</f>
        <v>50</v>
      </c>
      <c r="E69" s="128">
        <v>37.82</v>
      </c>
      <c r="G69" s="2">
        <f>ROUND(E69*$C69,0)</f>
        <v>1815</v>
      </c>
      <c r="H69" s="2">
        <f>ROUND(E69*$D69,0)</f>
        <v>1891</v>
      </c>
      <c r="I69" s="128">
        <f>$I$18</f>
        <v>37.82</v>
      </c>
      <c r="K69" s="2">
        <f>ROUND(I69*$D69,0)</f>
        <v>1891</v>
      </c>
      <c r="M69" s="11"/>
      <c r="N69" s="11"/>
      <c r="O69" s="144"/>
      <c r="P69" s="38"/>
      <c r="Q69" s="11"/>
      <c r="R69" s="150"/>
      <c r="S69" s="141"/>
      <c r="T69" s="141"/>
      <c r="U69" s="144"/>
      <c r="V69" s="144"/>
      <c r="W69" s="148"/>
      <c r="X69" s="144"/>
      <c r="Y69" s="11"/>
      <c r="AE69" s="42"/>
    </row>
    <row r="70" spans="1:31">
      <c r="A70" s="3" t="s">
        <v>161</v>
      </c>
      <c r="C70" s="127"/>
      <c r="D70" s="127"/>
      <c r="E70" s="128"/>
      <c r="G70" s="2"/>
      <c r="H70" s="2"/>
      <c r="I70" s="128"/>
      <c r="K70" s="2"/>
      <c r="M70" s="11"/>
      <c r="N70" s="11"/>
      <c r="O70" s="144"/>
      <c r="P70" s="38"/>
      <c r="Q70" s="11"/>
      <c r="R70" s="150"/>
      <c r="S70" s="141"/>
      <c r="T70" s="141"/>
      <c r="U70" s="144"/>
      <c r="V70" s="144"/>
      <c r="W70" s="148"/>
      <c r="X70" s="144"/>
      <c r="Y70" s="11"/>
      <c r="AE70" s="42"/>
    </row>
    <row r="71" spans="1:31">
      <c r="A71" s="3" t="s">
        <v>162</v>
      </c>
      <c r="C71" s="127">
        <f>12</f>
        <v>12</v>
      </c>
      <c r="D71" s="127">
        <f>ROUND(C71*($D$76/$C$76),0)</f>
        <v>12</v>
      </c>
      <c r="E71" s="128">
        <v>10.92</v>
      </c>
      <c r="G71" s="2">
        <f>ROUND(E71*$C71,0)</f>
        <v>131</v>
      </c>
      <c r="H71" s="2">
        <f>ROUND(E71*$D71,0)</f>
        <v>131</v>
      </c>
      <c r="I71" s="128">
        <f>$I$20</f>
        <v>10.92</v>
      </c>
      <c r="K71" s="2">
        <f>ROUND(I71*$D71,0)</f>
        <v>131</v>
      </c>
      <c r="M71" s="11"/>
      <c r="N71" s="11"/>
      <c r="O71" s="144"/>
      <c r="P71" s="38"/>
      <c r="Q71" s="11"/>
      <c r="R71" s="150"/>
      <c r="S71" s="141"/>
      <c r="T71" s="141"/>
      <c r="U71" s="144"/>
      <c r="V71" s="144"/>
      <c r="W71" s="148"/>
      <c r="X71" s="144"/>
      <c r="Y71" s="11"/>
      <c r="AE71" s="42"/>
    </row>
    <row r="72" spans="1:31">
      <c r="A72" s="3" t="s">
        <v>163</v>
      </c>
      <c r="C72" s="127">
        <f>96+12</f>
        <v>108</v>
      </c>
      <c r="D72" s="127">
        <f>ROUND(C72*($D$76/$C$76),0)</f>
        <v>112</v>
      </c>
      <c r="E72" s="128">
        <v>16.04</v>
      </c>
      <c r="G72" s="2">
        <f>ROUND(E72*$C72,0)</f>
        <v>1732</v>
      </c>
      <c r="H72" s="2">
        <f>ROUND(E72*$D72,0)</f>
        <v>1796</v>
      </c>
      <c r="I72" s="128">
        <f>$I$21</f>
        <v>16.04</v>
      </c>
      <c r="K72" s="2">
        <f>ROUND(I72*$D72,0)</f>
        <v>1796</v>
      </c>
      <c r="M72" s="11"/>
      <c r="N72" s="11"/>
      <c r="O72" s="144"/>
      <c r="P72" s="38"/>
      <c r="Q72" s="11"/>
      <c r="R72" s="150"/>
      <c r="S72" s="141"/>
      <c r="T72" s="141"/>
      <c r="U72" s="144"/>
      <c r="V72" s="144"/>
      <c r="W72" s="148"/>
      <c r="X72" s="144"/>
      <c r="Y72" s="11"/>
      <c r="AE72" s="42"/>
    </row>
    <row r="73" spans="1:31">
      <c r="A73" s="3" t="s">
        <v>164</v>
      </c>
      <c r="C73" s="127">
        <f>36</f>
        <v>36</v>
      </c>
      <c r="D73" s="127">
        <f>ROUND(C73*($D$76/$C$76),0)</f>
        <v>37</v>
      </c>
      <c r="E73" s="128">
        <v>25.88</v>
      </c>
      <c r="G73" s="2">
        <f>ROUND(E73*$C73,0)</f>
        <v>932</v>
      </c>
      <c r="H73" s="2">
        <f>ROUND(E73*$D73,0)</f>
        <v>958</v>
      </c>
      <c r="I73" s="128">
        <f>$I$22</f>
        <v>25.88</v>
      </c>
      <c r="K73" s="2">
        <f>ROUND(I73*$D73,0)</f>
        <v>958</v>
      </c>
      <c r="M73" s="11"/>
      <c r="N73" s="11"/>
      <c r="O73" s="144"/>
      <c r="P73" s="38"/>
      <c r="Q73" s="11"/>
      <c r="R73" s="150"/>
      <c r="S73" s="141"/>
      <c r="T73" s="141"/>
      <c r="U73" s="144"/>
      <c r="V73" s="144"/>
      <c r="W73" s="148"/>
      <c r="X73" s="144"/>
      <c r="Y73" s="11"/>
      <c r="AE73" s="42"/>
    </row>
    <row r="74" spans="1:31">
      <c r="A74" s="3" t="s">
        <v>165</v>
      </c>
      <c r="C74" s="127">
        <f>133</f>
        <v>133</v>
      </c>
      <c r="D74" s="127">
        <f>ROUND(C74*($D$76/$C$76),0)</f>
        <v>138</v>
      </c>
      <c r="E74" s="132">
        <v>1</v>
      </c>
      <c r="F74" s="11"/>
      <c r="G74" s="135">
        <f>ROUND(E74*$C74,0)</f>
        <v>133</v>
      </c>
      <c r="H74" s="135">
        <f>ROUND(E74*$D74,0)</f>
        <v>138</v>
      </c>
      <c r="I74" s="132">
        <f>$I$23</f>
        <v>1</v>
      </c>
      <c r="J74" s="11"/>
      <c r="K74" s="135">
        <f>ROUND(I74*$D74,0)</f>
        <v>138</v>
      </c>
      <c r="M74" s="141"/>
      <c r="N74" s="141"/>
      <c r="O74" s="144"/>
      <c r="P74" s="38"/>
      <c r="Q74" s="11"/>
      <c r="R74" s="141"/>
      <c r="S74" s="141"/>
      <c r="T74" s="141"/>
      <c r="U74" s="144"/>
      <c r="V74" s="144"/>
      <c r="W74" s="144"/>
      <c r="X74" s="144"/>
      <c r="Y74" s="11"/>
      <c r="AE74" s="42"/>
    </row>
    <row r="75" spans="1:31">
      <c r="A75" s="3" t="s">
        <v>166</v>
      </c>
      <c r="C75" s="127">
        <f>20+45</f>
        <v>65</v>
      </c>
      <c r="D75" s="127">
        <v>61.916666666666664</v>
      </c>
      <c r="E75" s="128"/>
      <c r="G75" s="2"/>
      <c r="H75" s="2"/>
      <c r="I75" s="128"/>
      <c r="K75" s="2"/>
      <c r="M75" s="141"/>
      <c r="N75" s="141"/>
      <c r="O75" s="141"/>
      <c r="P75" s="141"/>
      <c r="Q75" s="141"/>
      <c r="R75" s="141"/>
      <c r="S75" s="141"/>
      <c r="T75" s="141"/>
      <c r="U75" s="151"/>
      <c r="V75" s="141"/>
      <c r="W75" s="141"/>
      <c r="X75" s="141"/>
      <c r="Y75" s="11"/>
      <c r="AE75" s="42"/>
    </row>
    <row r="76" spans="1:31">
      <c r="A76" s="3" t="s">
        <v>15</v>
      </c>
      <c r="C76" s="127">
        <v>161590</v>
      </c>
      <c r="D76" s="127">
        <v>167748.79783190461</v>
      </c>
      <c r="E76" s="132"/>
      <c r="F76" s="11"/>
      <c r="G76" s="135">
        <f>SUM(G67:G74)</f>
        <v>19177</v>
      </c>
      <c r="H76" s="135">
        <f>SUM(H67:H74)</f>
        <v>19899</v>
      </c>
      <c r="I76" s="132"/>
      <c r="J76" s="11"/>
      <c r="K76" s="135">
        <f>SUM(K67:K74)</f>
        <v>19899</v>
      </c>
      <c r="M76" s="141"/>
      <c r="N76" s="141"/>
      <c r="O76" s="150"/>
      <c r="P76" s="141"/>
      <c r="Q76" s="11"/>
      <c r="R76" s="11"/>
      <c r="S76" s="11"/>
      <c r="T76" s="141"/>
      <c r="U76" s="141"/>
      <c r="V76" s="141"/>
      <c r="W76" s="141"/>
      <c r="X76" s="141"/>
      <c r="Y76" s="11"/>
      <c r="AE76" s="42"/>
    </row>
    <row r="77" spans="1:31">
      <c r="A77" s="3" t="s">
        <v>167</v>
      </c>
      <c r="C77" s="127">
        <v>-3651.1873052418596</v>
      </c>
      <c r="D77" s="127">
        <v>0</v>
      </c>
      <c r="E77" s="132"/>
      <c r="F77" s="11"/>
      <c r="G77" s="135">
        <v>-357.5269401612241</v>
      </c>
      <c r="H77" s="135">
        <v>0</v>
      </c>
      <c r="I77" s="132"/>
      <c r="J77" s="11"/>
      <c r="K77" s="135">
        <v>0</v>
      </c>
      <c r="M77" s="152"/>
      <c r="N77" s="152"/>
      <c r="O77" s="153"/>
      <c r="P77" s="141"/>
      <c r="Q77" s="141"/>
      <c r="R77" s="146"/>
      <c r="S77" s="144"/>
      <c r="T77" s="141"/>
      <c r="U77" s="140"/>
      <c r="V77" s="140"/>
      <c r="W77" s="140"/>
      <c r="X77" s="140"/>
      <c r="AE77" s="42"/>
    </row>
    <row r="78" spans="1:31" ht="16.5" thickBot="1">
      <c r="A78" s="3" t="s">
        <v>1</v>
      </c>
      <c r="C78" s="136">
        <f>C76+C77</f>
        <v>157938.81269475815</v>
      </c>
      <c r="D78" s="136">
        <f>SUM(D76:D77)</f>
        <v>167748.79783190461</v>
      </c>
      <c r="E78" s="137"/>
      <c r="F78" s="137"/>
      <c r="G78" s="137">
        <f>G76+G77</f>
        <v>18819.473059838776</v>
      </c>
      <c r="H78" s="137">
        <f>H76+H77</f>
        <v>19899</v>
      </c>
      <c r="I78" s="137"/>
      <c r="J78" s="137"/>
      <c r="K78" s="137">
        <f>K76+K77</f>
        <v>19899</v>
      </c>
      <c r="M78" s="154"/>
      <c r="N78" s="154"/>
      <c r="O78" s="155"/>
      <c r="P78" s="141"/>
      <c r="Q78" s="141"/>
      <c r="R78" s="141"/>
      <c r="S78" s="141"/>
      <c r="T78" s="141"/>
      <c r="U78" s="140"/>
      <c r="V78" s="140"/>
      <c r="W78" s="140"/>
      <c r="X78" s="140"/>
      <c r="AE78" s="42"/>
    </row>
    <row r="79" spans="1:31" ht="16.5" thickTop="1">
      <c r="C79" s="138"/>
      <c r="D79" s="138"/>
      <c r="E79" s="138"/>
      <c r="F79" s="138"/>
      <c r="G79" s="126"/>
      <c r="H79" s="126"/>
      <c r="I79" s="1" t="s">
        <v>13</v>
      </c>
      <c r="J79" s="138"/>
      <c r="K79" s="2" t="s">
        <v>13</v>
      </c>
      <c r="P79" s="38"/>
      <c r="Q79" s="11"/>
      <c r="R79" s="11"/>
      <c r="S79" s="11"/>
      <c r="T79" s="11"/>
      <c r="AE79" s="42"/>
    </row>
    <row r="80" spans="1:31">
      <c r="A80" s="156" t="s">
        <v>172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3">
        <f>K91/(D84+D85)</f>
        <v>7.0647540513858201E-2</v>
      </c>
      <c r="N80" s="157"/>
      <c r="R80" s="3" t="s">
        <v>13</v>
      </c>
      <c r="AE80" s="42"/>
    </row>
    <row r="81" spans="1:31">
      <c r="A81" s="1" t="s">
        <v>173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158"/>
      <c r="N81" s="159">
        <f>SUM(D84:D85)/SUM(D83)</f>
        <v>1285.9851569999828</v>
      </c>
      <c r="AE81" s="42"/>
    </row>
    <row r="82" spans="1:31">
      <c r="A82" s="160"/>
      <c r="B82" s="1"/>
      <c r="C82" s="1"/>
      <c r="D82" s="1"/>
      <c r="E82" s="12"/>
      <c r="F82" s="12"/>
      <c r="G82" s="1"/>
      <c r="H82" s="1"/>
      <c r="I82" s="12"/>
      <c r="J82" s="1"/>
      <c r="K82" s="1"/>
      <c r="O82" s="33" t="s">
        <v>13</v>
      </c>
      <c r="P82" s="33" t="s">
        <v>13</v>
      </c>
      <c r="AE82" s="42"/>
    </row>
    <row r="83" spans="1:31">
      <c r="A83" s="1" t="s">
        <v>174</v>
      </c>
      <c r="B83" s="1"/>
      <c r="C83" s="12">
        <f t="shared" ref="C83:D90" si="4">C96+C109+C122+C135</f>
        <v>1216043</v>
      </c>
      <c r="D83" s="12">
        <f t="shared" si="4"/>
        <v>1229864</v>
      </c>
      <c r="E83" s="161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161">
        <v>6</v>
      </c>
      <c r="J83" s="1"/>
      <c r="K83" s="2">
        <f t="shared" ref="K83:K90" si="6">K96+K109+K122+K135</f>
        <v>7379184</v>
      </c>
      <c r="M83" s="42">
        <f>I83*D83</f>
        <v>7379184</v>
      </c>
      <c r="O83" s="8">
        <f t="shared" ref="O83:O88" si="7">(I83-E83)/E83</f>
        <v>0.14285714285714285</v>
      </c>
      <c r="T83" s="3" t="s">
        <v>175</v>
      </c>
      <c r="U83" s="3" t="s">
        <v>120</v>
      </c>
      <c r="V83" s="3" t="s">
        <v>176</v>
      </c>
      <c r="W83" s="3" t="s">
        <v>126</v>
      </c>
      <c r="AE83" s="42"/>
    </row>
    <row r="84" spans="1:31">
      <c r="A84" s="1" t="s">
        <v>177</v>
      </c>
      <c r="B84" s="1"/>
      <c r="C84" s="12">
        <f t="shared" si="4"/>
        <v>638137013.30924332</v>
      </c>
      <c r="D84" s="12">
        <f t="shared" si="4"/>
        <v>643146746.60466242</v>
      </c>
      <c r="E84" s="162">
        <v>4.569</v>
      </c>
      <c r="F84" s="1" t="s">
        <v>178</v>
      </c>
      <c r="G84" s="2">
        <f t="shared" si="5"/>
        <v>29156479</v>
      </c>
      <c r="H84" s="2">
        <f t="shared" si="5"/>
        <v>29385375</v>
      </c>
      <c r="I84" s="162">
        <v>4.9139999999999997</v>
      </c>
      <c r="J84" s="1" t="s">
        <v>178</v>
      </c>
      <c r="K84" s="2">
        <f t="shared" si="6"/>
        <v>31604232</v>
      </c>
      <c r="M84" s="42">
        <f>(I84/100)*D84</f>
        <v>31604231.128153108</v>
      </c>
      <c r="O84" s="8">
        <f t="shared" si="7"/>
        <v>7.55088640840446E-2</v>
      </c>
      <c r="Q84" s="101">
        <f>(E85-E84)/E84</f>
        <v>0.57758809367476482</v>
      </c>
      <c r="S84" s="3" t="s">
        <v>7</v>
      </c>
      <c r="T84" s="42">
        <f>H83</f>
        <v>6456787</v>
      </c>
      <c r="U84" s="42">
        <f>K83</f>
        <v>7379184</v>
      </c>
      <c r="V84" s="49">
        <v>10560201.731189568</v>
      </c>
      <c r="W84" s="101">
        <f>U84/V84</f>
        <v>0.69877301474322895</v>
      </c>
      <c r="AE84" s="42"/>
    </row>
    <row r="85" spans="1:31">
      <c r="A85" s="1" t="s">
        <v>179</v>
      </c>
      <c r="B85" s="1"/>
      <c r="C85" s="12">
        <f t="shared" si="4"/>
        <v>930810309.69075668</v>
      </c>
      <c r="D85" s="12">
        <f t="shared" si="4"/>
        <v>938440102.52396452</v>
      </c>
      <c r="E85" s="162">
        <v>7.2080000000000002</v>
      </c>
      <c r="F85" s="1" t="s">
        <v>178</v>
      </c>
      <c r="G85" s="2">
        <f t="shared" si="5"/>
        <v>67092808</v>
      </c>
      <c r="H85" s="2">
        <f t="shared" si="5"/>
        <v>67642762</v>
      </c>
      <c r="I85" s="162">
        <v>7.7510000000000003</v>
      </c>
      <c r="J85" s="1" t="s">
        <v>178</v>
      </c>
      <c r="K85" s="2">
        <f t="shared" si="6"/>
        <v>72738492</v>
      </c>
      <c r="M85" s="42">
        <f>(I85/100)*D85</f>
        <v>72738492.346632496</v>
      </c>
      <c r="N85" s="163"/>
      <c r="O85" s="8">
        <f t="shared" si="7"/>
        <v>7.533296337402888E-2</v>
      </c>
      <c r="Q85" s="101">
        <f>(I85-I84)/I84</f>
        <v>0.57733007733007746</v>
      </c>
      <c r="S85" s="3" t="s">
        <v>180</v>
      </c>
      <c r="T85" s="49">
        <f>E84*(D84+D85)/100</f>
        <v>72262703.136686951</v>
      </c>
      <c r="U85" s="49">
        <f>I84*(D84+D85)/100</f>
        <v>77719177.766180709</v>
      </c>
      <c r="V85" s="49">
        <v>74901422.706720337</v>
      </c>
      <c r="W85" s="101">
        <f>U85/V85</f>
        <v>1.0376195131899351</v>
      </c>
      <c r="AE85" s="42"/>
    </row>
    <row r="86" spans="1:31">
      <c r="A86" s="1" t="s">
        <v>181</v>
      </c>
      <c r="B86" s="1"/>
      <c r="C86" s="12">
        <f t="shared" si="4"/>
        <v>6129</v>
      </c>
      <c r="D86" s="12">
        <f t="shared" si="4"/>
        <v>6540.0468369807459</v>
      </c>
      <c r="E86" s="164">
        <v>1.55</v>
      </c>
      <c r="F86" s="1"/>
      <c r="G86" s="2">
        <f t="shared" si="5"/>
        <v>9500</v>
      </c>
      <c r="H86" s="2">
        <f t="shared" si="5"/>
        <v>10137</v>
      </c>
      <c r="I86" s="164">
        <v>1.55</v>
      </c>
      <c r="J86" s="1"/>
      <c r="K86" s="2">
        <f t="shared" si="6"/>
        <v>10137</v>
      </c>
      <c r="M86" s="42">
        <f>I86*D86</f>
        <v>10137.072597320157</v>
      </c>
      <c r="N86" s="165"/>
      <c r="O86" s="8">
        <f t="shared" si="7"/>
        <v>0</v>
      </c>
      <c r="S86" s="3" t="s">
        <v>182</v>
      </c>
      <c r="T86" s="42">
        <f>H84+H85-T85</f>
        <v>24765433.863313049</v>
      </c>
      <c r="U86" s="42">
        <f>K84+K85-U85</f>
        <v>26623546.233819291</v>
      </c>
      <c r="V86" s="49">
        <v>33130328.65840701</v>
      </c>
      <c r="W86" s="101">
        <f>U86/V86</f>
        <v>0.80360042631401463</v>
      </c>
      <c r="AE86" s="42"/>
    </row>
    <row r="87" spans="1:31">
      <c r="A87" s="166" t="s">
        <v>183</v>
      </c>
      <c r="B87" s="166"/>
      <c r="C87" s="12">
        <f t="shared" si="4"/>
        <v>1017</v>
      </c>
      <c r="D87" s="12">
        <f t="shared" si="4"/>
        <v>1085.8002596400945</v>
      </c>
      <c r="E87" s="164">
        <v>3</v>
      </c>
      <c r="F87" s="166"/>
      <c r="G87" s="2">
        <f t="shared" si="5"/>
        <v>3051</v>
      </c>
      <c r="H87" s="2">
        <f t="shared" si="5"/>
        <v>3258</v>
      </c>
      <c r="I87" s="164">
        <v>3</v>
      </c>
      <c r="J87" s="166"/>
      <c r="K87" s="2">
        <f t="shared" si="6"/>
        <v>3258</v>
      </c>
      <c r="M87" s="42">
        <f>I87*D87</f>
        <v>3257.4007789202833</v>
      </c>
      <c r="O87" s="8">
        <f t="shared" si="7"/>
        <v>0</v>
      </c>
      <c r="AE87" s="42"/>
    </row>
    <row r="88" spans="1:31">
      <c r="A88" s="166" t="s">
        <v>184</v>
      </c>
      <c r="B88" s="166"/>
      <c r="C88" s="12">
        <f t="shared" si="4"/>
        <v>50</v>
      </c>
      <c r="D88" s="12">
        <f t="shared" si="4"/>
        <v>53.081237721216993</v>
      </c>
      <c r="E88" s="167">
        <f>-E86</f>
        <v>-1.55</v>
      </c>
      <c r="F88" s="166"/>
      <c r="G88" s="2">
        <f t="shared" si="5"/>
        <v>-77</v>
      </c>
      <c r="H88" s="2">
        <f t="shared" si="5"/>
        <v>-82</v>
      </c>
      <c r="I88" s="167">
        <f>-I86</f>
        <v>-1.55</v>
      </c>
      <c r="J88" s="166"/>
      <c r="K88" s="2">
        <f t="shared" si="6"/>
        <v>-82</v>
      </c>
      <c r="M88" s="42">
        <f>I88*D88</f>
        <v>-82.275918467886342</v>
      </c>
      <c r="O88" s="8">
        <f t="shared" si="7"/>
        <v>0</v>
      </c>
      <c r="AE88" s="42"/>
    </row>
    <row r="89" spans="1:31">
      <c r="A89" s="1" t="s">
        <v>185</v>
      </c>
      <c r="B89" s="168"/>
      <c r="C89" s="12">
        <f t="shared" si="4"/>
        <v>1568947323</v>
      </c>
      <c r="D89" s="12">
        <f t="shared" si="4"/>
        <v>1581586849.1286268</v>
      </c>
      <c r="E89" s="169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42">
        <f>SUM(M83:M88)</f>
        <v>111735219.67224337</v>
      </c>
      <c r="O89" s="8"/>
      <c r="AE89" s="42"/>
    </row>
    <row r="90" spans="1:31">
      <c r="A90" s="1" t="s">
        <v>167</v>
      </c>
      <c r="B90" s="170"/>
      <c r="C90" s="171">
        <f t="shared" si="4"/>
        <v>991281.43921662425</v>
      </c>
      <c r="D90" s="171">
        <f t="shared" si="4"/>
        <v>0</v>
      </c>
      <c r="E90" s="172"/>
      <c r="F90" s="172"/>
      <c r="G90" s="173">
        <f t="shared" si="5"/>
        <v>26957.425302805033</v>
      </c>
      <c r="H90" s="173">
        <f t="shared" si="5"/>
        <v>0</v>
      </c>
      <c r="I90" s="172"/>
      <c r="J90" s="172"/>
      <c r="K90" s="173">
        <f t="shared" si="6"/>
        <v>0</v>
      </c>
      <c r="AE90" s="42"/>
    </row>
    <row r="91" spans="1:31" ht="16.5" thickBot="1">
      <c r="A91" s="1" t="s">
        <v>186</v>
      </c>
      <c r="B91" s="1"/>
      <c r="C91" s="174">
        <f>C89+C90</f>
        <v>1569938604.4392166</v>
      </c>
      <c r="D91" s="174">
        <f>D84+D85+D90</f>
        <v>1581586849.1286268</v>
      </c>
      <c r="E91" s="175"/>
      <c r="F91" s="175"/>
      <c r="G91" s="175">
        <f>G89+G90</f>
        <v>102672944.4253028</v>
      </c>
      <c r="H91" s="175">
        <f>H89+H90</f>
        <v>103498237</v>
      </c>
      <c r="I91" s="175"/>
      <c r="J91" s="175"/>
      <c r="K91" s="175">
        <f>K89+K90</f>
        <v>111735221</v>
      </c>
      <c r="N91" s="3" t="s">
        <v>168</v>
      </c>
      <c r="O91" s="33" t="e">
        <f>#REF!*1000</f>
        <v>#REF!</v>
      </c>
      <c r="AE91" s="42"/>
    </row>
    <row r="92" spans="1:31" ht="16.5" thickTop="1">
      <c r="A92" s="1"/>
      <c r="B92" s="176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114</v>
      </c>
      <c r="O92" s="33" t="e">
        <f>O91-K91</f>
        <v>#REF!</v>
      </c>
      <c r="P92" s="177" t="e">
        <f>(O91-K91)/K91</f>
        <v>#REF!</v>
      </c>
      <c r="AE92" s="42"/>
    </row>
    <row r="93" spans="1:31">
      <c r="A93" s="156" t="s">
        <v>187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O93" s="178"/>
      <c r="AE93" s="42"/>
    </row>
    <row r="94" spans="1:31">
      <c r="A94" s="1" t="s">
        <v>135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N94" s="101"/>
      <c r="AE94" s="42"/>
    </row>
    <row r="95" spans="1:31">
      <c r="A95" s="160"/>
      <c r="B95" s="1"/>
      <c r="C95" s="1"/>
      <c r="D95" s="1"/>
      <c r="E95" s="12"/>
      <c r="F95" s="12"/>
      <c r="G95" s="1"/>
      <c r="H95" s="1"/>
      <c r="I95" s="12"/>
      <c r="J95" s="1"/>
      <c r="K95" s="1"/>
      <c r="N95" s="179"/>
      <c r="AE95" s="42"/>
    </row>
    <row r="96" spans="1:31">
      <c r="A96" s="1" t="s">
        <v>174</v>
      </c>
      <c r="B96" s="1"/>
      <c r="C96" s="12">
        <f>1188818+6</f>
        <v>1188824</v>
      </c>
      <c r="D96" s="12">
        <v>1199595</v>
      </c>
      <c r="E96" s="161">
        <v>5.25</v>
      </c>
      <c r="F96" s="1"/>
      <c r="G96" s="2">
        <f>ROUND(E96*$C96,0)</f>
        <v>6241326</v>
      </c>
      <c r="H96" s="2">
        <f>ROUND(E96*$D96,0)</f>
        <v>6297874</v>
      </c>
      <c r="I96" s="161">
        <f>$I$83</f>
        <v>6</v>
      </c>
      <c r="J96" s="1"/>
      <c r="K96" s="2">
        <f>ROUND(I96*$D96,0)</f>
        <v>7197570</v>
      </c>
      <c r="N96" s="157"/>
      <c r="AE96" s="42"/>
    </row>
    <row r="97" spans="1:31">
      <c r="A97" s="1" t="s">
        <v>177</v>
      </c>
      <c r="B97" s="1"/>
      <c r="C97" s="12">
        <v>622442746.97882807</v>
      </c>
      <c r="D97" s="12">
        <v>626418721.88361442</v>
      </c>
      <c r="E97" s="162">
        <v>4.569</v>
      </c>
      <c r="F97" s="1" t="s">
        <v>178</v>
      </c>
      <c r="G97" s="2">
        <f>ROUND(E97*$C97/100,0)</f>
        <v>28439409</v>
      </c>
      <c r="H97" s="2">
        <f>ROUND(E97*$D97/100,0)</f>
        <v>28621071</v>
      </c>
      <c r="I97" s="162">
        <f>$I$84</f>
        <v>4.9139999999999997</v>
      </c>
      <c r="J97" s="1" t="s">
        <v>178</v>
      </c>
      <c r="K97" s="2">
        <f>ROUND(I97*$D97/100,0)</f>
        <v>30782216</v>
      </c>
      <c r="AE97" s="42"/>
    </row>
    <row r="98" spans="1:31">
      <c r="A98" s="1" t="s">
        <v>179</v>
      </c>
      <c r="B98" s="12"/>
      <c r="C98" s="12">
        <v>902512979.02117193</v>
      </c>
      <c r="D98" s="12">
        <v>908277957.36375713</v>
      </c>
      <c r="E98" s="162">
        <v>7.2080000000000002</v>
      </c>
      <c r="F98" s="1" t="s">
        <v>178</v>
      </c>
      <c r="G98" s="2">
        <f>ROUND(E98*$C98/100,0)</f>
        <v>65053136</v>
      </c>
      <c r="H98" s="2">
        <f>ROUND(E98*$D98/100,0)</f>
        <v>65468675</v>
      </c>
      <c r="I98" s="162">
        <f>$I$85</f>
        <v>7.7510000000000003</v>
      </c>
      <c r="J98" s="1" t="s">
        <v>178</v>
      </c>
      <c r="K98" s="2">
        <f>ROUND(I98*$D98/100,0)</f>
        <v>70400624</v>
      </c>
      <c r="AE98" s="42"/>
    </row>
    <row r="99" spans="1:31">
      <c r="A99" s="1" t="s">
        <v>181</v>
      </c>
      <c r="B99" s="1"/>
      <c r="C99" s="12">
        <v>0</v>
      </c>
      <c r="D99" s="12">
        <v>0</v>
      </c>
      <c r="E99" s="164">
        <v>1.55</v>
      </c>
      <c r="F99" s="1"/>
      <c r="G99" s="2">
        <f>ROUND(E99*$C99,0)</f>
        <v>0</v>
      </c>
      <c r="H99" s="2">
        <v>0</v>
      </c>
      <c r="I99" s="164">
        <f>$I$86</f>
        <v>1.55</v>
      </c>
      <c r="J99" s="1"/>
      <c r="K99" s="2">
        <f>ROUND(I99*$D99,0)</f>
        <v>0</v>
      </c>
      <c r="AE99" s="42"/>
    </row>
    <row r="100" spans="1:31">
      <c r="A100" s="166" t="s">
        <v>183</v>
      </c>
      <c r="B100" s="166"/>
      <c r="C100" s="12">
        <v>0</v>
      </c>
      <c r="D100" s="12">
        <v>0</v>
      </c>
      <c r="E100" s="164">
        <v>3</v>
      </c>
      <c r="F100" s="166"/>
      <c r="G100" s="2">
        <f>ROUND(E100*$C100,0)</f>
        <v>0</v>
      </c>
      <c r="H100" s="2">
        <v>0</v>
      </c>
      <c r="I100" s="164">
        <f>$I$87</f>
        <v>3</v>
      </c>
      <c r="J100" s="166"/>
      <c r="K100" s="2">
        <f>ROUND(I100*$D100,0)</f>
        <v>0</v>
      </c>
      <c r="AE100" s="42"/>
    </row>
    <row r="101" spans="1:31">
      <c r="A101" s="166" t="s">
        <v>184</v>
      </c>
      <c r="B101" s="166"/>
      <c r="C101" s="12">
        <v>0</v>
      </c>
      <c r="D101" s="12">
        <v>0</v>
      </c>
      <c r="E101" s="167">
        <f>-E99</f>
        <v>-1.55</v>
      </c>
      <c r="F101" s="166"/>
      <c r="G101" s="2">
        <f>ROUND(E101*$C101,0)</f>
        <v>0</v>
      </c>
      <c r="H101" s="2">
        <v>0</v>
      </c>
      <c r="I101" s="167">
        <f>$I$88</f>
        <v>-1.55</v>
      </c>
      <c r="J101" s="166"/>
      <c r="K101" s="2">
        <f>ROUND(I101*$D101,0)</f>
        <v>0</v>
      </c>
      <c r="AE101" s="42"/>
    </row>
    <row r="102" spans="1:31">
      <c r="A102" s="1" t="s">
        <v>185</v>
      </c>
      <c r="B102" s="168"/>
      <c r="C102" s="12">
        <f>SUM(C97:C98)</f>
        <v>1524955726</v>
      </c>
      <c r="D102" s="12">
        <v>1534696679.2473714</v>
      </c>
      <c r="E102" s="169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42"/>
    </row>
    <row r="103" spans="1:31">
      <c r="A103" s="1" t="s">
        <v>167</v>
      </c>
      <c r="B103" s="170"/>
      <c r="C103" s="180">
        <v>964615.15824767202</v>
      </c>
      <c r="D103" s="171">
        <v>0</v>
      </c>
      <c r="E103" s="172"/>
      <c r="F103" s="172"/>
      <c r="G103" s="173">
        <v>26215.646474169334</v>
      </c>
      <c r="H103" s="171">
        <v>0</v>
      </c>
      <c r="I103" s="172"/>
      <c r="J103" s="172"/>
      <c r="K103" s="173">
        <v>0</v>
      </c>
      <c r="M103" s="152"/>
      <c r="N103" s="152"/>
      <c r="O103" s="153"/>
      <c r="AE103" s="42"/>
    </row>
    <row r="104" spans="1:31" ht="16.5" thickBot="1">
      <c r="A104" s="1" t="s">
        <v>186</v>
      </c>
      <c r="B104" s="1"/>
      <c r="C104" s="174">
        <f>C102+C103</f>
        <v>1525920341.1582477</v>
      </c>
      <c r="D104" s="174">
        <f>SUM(D102:D103)</f>
        <v>1534696679.2473714</v>
      </c>
      <c r="E104" s="175"/>
      <c r="F104" s="175"/>
      <c r="G104" s="175">
        <f>G102+G103</f>
        <v>99760086.646474168</v>
      </c>
      <c r="H104" s="181">
        <f>SUM(H102:H103)</f>
        <v>100387620</v>
      </c>
      <c r="I104" s="175"/>
      <c r="J104" s="175"/>
      <c r="K104" s="175">
        <f>K102+K103</f>
        <v>108380410</v>
      </c>
      <c r="M104" s="154"/>
      <c r="N104" s="154"/>
      <c r="O104" s="155"/>
      <c r="AE104" s="42"/>
    </row>
    <row r="105" spans="1:31" ht="16.5" thickTop="1">
      <c r="A105" s="1"/>
      <c r="B105" s="176"/>
      <c r="C105" s="12"/>
      <c r="D105" s="12"/>
      <c r="E105" s="12"/>
      <c r="F105" s="12"/>
      <c r="I105" s="1" t="s">
        <v>13</v>
      </c>
      <c r="J105" s="1"/>
      <c r="K105" s="2" t="s">
        <v>13</v>
      </c>
      <c r="AE105" s="42"/>
    </row>
    <row r="106" spans="1:31">
      <c r="A106" s="156" t="s">
        <v>188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AE106" s="42"/>
    </row>
    <row r="107" spans="1:31">
      <c r="A107" s="1" t="s">
        <v>135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AE107" s="42"/>
    </row>
    <row r="108" spans="1:31">
      <c r="A108" s="160"/>
      <c r="B108" s="1"/>
      <c r="C108" s="1"/>
      <c r="D108" s="1"/>
      <c r="E108" s="12"/>
      <c r="F108" s="12"/>
      <c r="G108" s="1"/>
      <c r="H108" s="1"/>
      <c r="I108" s="12"/>
      <c r="J108" s="1"/>
      <c r="K108" s="1"/>
      <c r="AE108" s="42"/>
    </row>
    <row r="109" spans="1:31">
      <c r="A109" s="1" t="s">
        <v>174</v>
      </c>
      <c r="B109" s="1"/>
      <c r="C109" s="12">
        <v>25712</v>
      </c>
      <c r="D109" s="12">
        <v>28799</v>
      </c>
      <c r="E109" s="161">
        <v>5.25</v>
      </c>
      <c r="F109" s="1"/>
      <c r="G109" s="2">
        <f>ROUND(E109*$C109,0)</f>
        <v>134988</v>
      </c>
      <c r="H109" s="2">
        <f>ROUND(E109*$D109,0)</f>
        <v>151195</v>
      </c>
      <c r="I109" s="161">
        <f>$I$83</f>
        <v>6</v>
      </c>
      <c r="J109" s="1"/>
      <c r="K109" s="2">
        <f>ROUND(I109*$D109,0)</f>
        <v>172794</v>
      </c>
      <c r="AE109" s="42"/>
    </row>
    <row r="110" spans="1:31">
      <c r="A110" s="1" t="s">
        <v>177</v>
      </c>
      <c r="B110" s="1"/>
      <c r="C110" s="12">
        <v>14933585</v>
      </c>
      <c r="D110" s="12">
        <v>15919403.902441863</v>
      </c>
      <c r="E110" s="162">
        <v>4.569</v>
      </c>
      <c r="F110" s="1" t="s">
        <v>178</v>
      </c>
      <c r="G110" s="2">
        <f>ROUND(E110*$C110/100,0)</f>
        <v>682315</v>
      </c>
      <c r="H110" s="2">
        <f>ROUND(E110*$D110/100,0)</f>
        <v>727358</v>
      </c>
      <c r="I110" s="162">
        <f>$I$84</f>
        <v>4.9139999999999997</v>
      </c>
      <c r="J110" s="1" t="s">
        <v>178</v>
      </c>
      <c r="K110" s="2">
        <f>ROUND(I110*$D110/100,0)</f>
        <v>782280</v>
      </c>
      <c r="AE110" s="42"/>
    </row>
    <row r="111" spans="1:31">
      <c r="A111" s="1" t="s">
        <v>179</v>
      </c>
      <c r="B111" s="1"/>
      <c r="C111" s="12">
        <f>40608391-C110</f>
        <v>25674806</v>
      </c>
      <c r="D111" s="12">
        <v>27369690.990531594</v>
      </c>
      <c r="E111" s="162">
        <v>7.2080000000000002</v>
      </c>
      <c r="F111" s="1" t="s">
        <v>178</v>
      </c>
      <c r="G111" s="2">
        <f>ROUND(E111*$C111/100,0)</f>
        <v>1850640</v>
      </c>
      <c r="H111" s="2">
        <f>ROUND(E111*$D111/100,0)</f>
        <v>1972807</v>
      </c>
      <c r="I111" s="162">
        <f>$I$85</f>
        <v>7.7510000000000003</v>
      </c>
      <c r="J111" s="1" t="s">
        <v>178</v>
      </c>
      <c r="K111" s="2">
        <f>ROUND(I111*$D111/100,0)</f>
        <v>2121425</v>
      </c>
      <c r="AE111" s="42"/>
    </row>
    <row r="112" spans="1:31">
      <c r="A112" s="1" t="s">
        <v>181</v>
      </c>
      <c r="B112" s="1"/>
      <c r="C112" s="12">
        <v>0</v>
      </c>
      <c r="D112" s="12">
        <v>0</v>
      </c>
      <c r="E112" s="164">
        <v>1.55</v>
      </c>
      <c r="F112" s="1"/>
      <c r="G112" s="2">
        <f>ROUND(E112*$C112,0)</f>
        <v>0</v>
      </c>
      <c r="H112" s="2">
        <v>0</v>
      </c>
      <c r="I112" s="164">
        <f>$I$86</f>
        <v>1.55</v>
      </c>
      <c r="J112" s="1"/>
      <c r="K112" s="2">
        <f>ROUND(I112*$D112,0)</f>
        <v>0</v>
      </c>
      <c r="AE112" s="42"/>
    </row>
    <row r="113" spans="1:31">
      <c r="A113" s="166" t="s">
        <v>183</v>
      </c>
      <c r="B113" s="166"/>
      <c r="C113" s="12">
        <v>0</v>
      </c>
      <c r="D113" s="12">
        <v>0</v>
      </c>
      <c r="E113" s="164">
        <v>3</v>
      </c>
      <c r="F113" s="166"/>
      <c r="G113" s="2">
        <f>ROUND(E113*$C113,0)</f>
        <v>0</v>
      </c>
      <c r="H113" s="2">
        <v>0</v>
      </c>
      <c r="I113" s="164">
        <f>$I$87</f>
        <v>3</v>
      </c>
      <c r="J113" s="166"/>
      <c r="K113" s="2">
        <f>ROUND(I113*$D113,0)</f>
        <v>0</v>
      </c>
      <c r="AE113" s="42"/>
    </row>
    <row r="114" spans="1:31">
      <c r="A114" s="166" t="s">
        <v>184</v>
      </c>
      <c r="B114" s="166"/>
      <c r="C114" s="12">
        <v>0</v>
      </c>
      <c r="D114" s="12">
        <v>0</v>
      </c>
      <c r="E114" s="167">
        <f>-E112</f>
        <v>-1.55</v>
      </c>
      <c r="F114" s="166"/>
      <c r="G114" s="2">
        <f>ROUND(E114*$C114,0)</f>
        <v>0</v>
      </c>
      <c r="H114" s="2">
        <v>0</v>
      </c>
      <c r="I114" s="167">
        <f>$I$88</f>
        <v>-1.55</v>
      </c>
      <c r="J114" s="166"/>
      <c r="K114" s="2">
        <f>ROUND(I114*$D114,0)</f>
        <v>0</v>
      </c>
      <c r="AE114" s="42"/>
    </row>
    <row r="115" spans="1:31">
      <c r="A115" s="1" t="s">
        <v>185</v>
      </c>
      <c r="B115" s="1"/>
      <c r="C115" s="12">
        <f>SUM(C110:C111)</f>
        <v>40608391</v>
      </c>
      <c r="D115" s="12">
        <v>43289094.892973453</v>
      </c>
      <c r="E115" s="169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42"/>
    </row>
    <row r="116" spans="1:31">
      <c r="A116" s="1" t="s">
        <v>167</v>
      </c>
      <c r="B116" s="1"/>
      <c r="C116" s="180">
        <v>24510.980258357216</v>
      </c>
      <c r="D116" s="171">
        <v>0</v>
      </c>
      <c r="E116" s="172"/>
      <c r="F116" s="172"/>
      <c r="G116" s="173">
        <v>676.32035447932685</v>
      </c>
      <c r="H116" s="171">
        <v>0</v>
      </c>
      <c r="I116" s="172"/>
      <c r="J116" s="172"/>
      <c r="K116" s="173">
        <v>0</v>
      </c>
      <c r="M116" s="152"/>
      <c r="N116" s="152"/>
      <c r="O116" s="153"/>
      <c r="AE116" s="42"/>
    </row>
    <row r="117" spans="1:31" ht="16.5" thickBot="1">
      <c r="A117" s="1" t="s">
        <v>186</v>
      </c>
      <c r="B117" s="1"/>
      <c r="C117" s="174">
        <f>C115+C116</f>
        <v>40632901.980258361</v>
      </c>
      <c r="D117" s="174">
        <f>SUM(D115:D116)</f>
        <v>43289094.892973453</v>
      </c>
      <c r="E117" s="175"/>
      <c r="F117" s="175"/>
      <c r="G117" s="175">
        <f>G115+G116</f>
        <v>2668619.3203544794</v>
      </c>
      <c r="H117" s="181">
        <f>SUM(H115:H116)</f>
        <v>2851360</v>
      </c>
      <c r="I117" s="175"/>
      <c r="J117" s="175"/>
      <c r="K117" s="175">
        <f>K115+K116</f>
        <v>3076499</v>
      </c>
      <c r="M117" s="154"/>
      <c r="N117" s="154"/>
      <c r="O117" s="155"/>
      <c r="AE117" s="42"/>
    </row>
    <row r="118" spans="1:31" ht="16.5" thickTop="1">
      <c r="A118" s="1"/>
      <c r="B118" s="176"/>
      <c r="C118" s="12"/>
      <c r="D118" s="12"/>
      <c r="E118" s="12"/>
      <c r="F118" s="12"/>
      <c r="I118" s="1" t="s">
        <v>13</v>
      </c>
      <c r="J118" s="1"/>
      <c r="K118" s="2" t="s">
        <v>13</v>
      </c>
      <c r="AE118" s="42"/>
    </row>
    <row r="119" spans="1:31">
      <c r="A119" s="156" t="s">
        <v>189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AE119" s="42"/>
    </row>
    <row r="120" spans="1:31">
      <c r="A120" s="1" t="s">
        <v>135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AE120" s="42"/>
    </row>
    <row r="121" spans="1:31">
      <c r="A121" s="160"/>
      <c r="B121" s="1"/>
      <c r="C121" s="1"/>
      <c r="D121" s="1"/>
      <c r="E121" s="12"/>
      <c r="F121" s="12"/>
      <c r="G121" s="1"/>
      <c r="H121" s="1"/>
      <c r="I121" s="12"/>
      <c r="J121" s="1"/>
      <c r="K121" s="1"/>
      <c r="AE121" s="42"/>
    </row>
    <row r="122" spans="1:31">
      <c r="A122" s="1" t="s">
        <v>174</v>
      </c>
      <c r="B122" s="1"/>
      <c r="C122" s="12">
        <v>1191</v>
      </c>
      <c r="D122" s="12">
        <v>1155</v>
      </c>
      <c r="E122" s="161">
        <v>5.25</v>
      </c>
      <c r="F122" s="1"/>
      <c r="G122" s="2">
        <f>ROUND(E122*$C122,0)</f>
        <v>6253</v>
      </c>
      <c r="H122" s="2">
        <f>ROUND(E122*$D122,0)</f>
        <v>6064</v>
      </c>
      <c r="I122" s="161">
        <f>$I$83</f>
        <v>6</v>
      </c>
      <c r="J122" s="1"/>
      <c r="K122" s="2">
        <f>ROUND(I122*$D122,0)</f>
        <v>6930</v>
      </c>
      <c r="AE122" s="42"/>
    </row>
    <row r="123" spans="1:31">
      <c r="A123" s="1" t="s">
        <v>177</v>
      </c>
      <c r="B123" s="1"/>
      <c r="C123" s="12">
        <v>577197.33041522116</v>
      </c>
      <c r="D123" s="12">
        <v>623924.69816689566</v>
      </c>
      <c r="E123" s="162">
        <v>4.569</v>
      </c>
      <c r="F123" s="1" t="s">
        <v>178</v>
      </c>
      <c r="G123" s="2">
        <f>ROUND(E123*$C123/100,0)</f>
        <v>26372</v>
      </c>
      <c r="H123" s="2">
        <f>ROUND(E123*$D123/100,0)</f>
        <v>28507</v>
      </c>
      <c r="I123" s="162">
        <f>$I$84</f>
        <v>4.9139999999999997</v>
      </c>
      <c r="J123" s="1" t="s">
        <v>178</v>
      </c>
      <c r="K123" s="2">
        <f>ROUND(I123*$D123/100,0)</f>
        <v>30660</v>
      </c>
      <c r="AE123" s="42"/>
    </row>
    <row r="124" spans="1:31">
      <c r="A124" s="1" t="s">
        <v>179</v>
      </c>
      <c r="B124" s="1"/>
      <c r="C124" s="12">
        <v>2052532.6695847788</v>
      </c>
      <c r="D124" s="12">
        <v>2218696.7244410608</v>
      </c>
      <c r="E124" s="162">
        <v>7.2080000000000002</v>
      </c>
      <c r="F124" s="1" t="s">
        <v>178</v>
      </c>
      <c r="G124" s="2">
        <f>ROUND(E124*$C124/100,0)</f>
        <v>147947</v>
      </c>
      <c r="H124" s="2">
        <f>ROUND(E124*$D124/100,0)</f>
        <v>159924</v>
      </c>
      <c r="I124" s="162">
        <f>$I$85</f>
        <v>7.7510000000000003</v>
      </c>
      <c r="J124" s="1" t="s">
        <v>178</v>
      </c>
      <c r="K124" s="2">
        <f>ROUND(I124*$D124/100,0)</f>
        <v>171971</v>
      </c>
      <c r="AE124" s="42"/>
    </row>
    <row r="125" spans="1:31">
      <c r="A125" s="1" t="s">
        <v>181</v>
      </c>
      <c r="B125" s="1"/>
      <c r="C125" s="12">
        <v>4984</v>
      </c>
      <c r="D125" s="12">
        <v>5387.4828101280564</v>
      </c>
      <c r="E125" s="164">
        <v>1.55</v>
      </c>
      <c r="F125" s="1"/>
      <c r="G125" s="2">
        <f>ROUND(E125*$C125,0)</f>
        <v>7725</v>
      </c>
      <c r="H125" s="2">
        <f>ROUND(E125*$D125,0)</f>
        <v>8351</v>
      </c>
      <c r="I125" s="164">
        <f>$I$86</f>
        <v>1.55</v>
      </c>
      <c r="J125" s="1"/>
      <c r="K125" s="2">
        <f>ROUND(I125*$D125,0)</f>
        <v>8351</v>
      </c>
      <c r="AE125" s="42"/>
    </row>
    <row r="126" spans="1:31">
      <c r="A126" s="166" t="s">
        <v>183</v>
      </c>
      <c r="B126" s="166"/>
      <c r="C126" s="12">
        <v>835</v>
      </c>
      <c r="D126" s="12">
        <v>902.59794270805128</v>
      </c>
      <c r="E126" s="164">
        <v>3</v>
      </c>
      <c r="F126" s="166"/>
      <c r="G126" s="2">
        <f>ROUND(E126*$C126,0)</f>
        <v>2505</v>
      </c>
      <c r="H126" s="2">
        <f>ROUND(E126*$D126,0)</f>
        <v>2708</v>
      </c>
      <c r="I126" s="164">
        <f>$I$87</f>
        <v>3</v>
      </c>
      <c r="J126" s="166"/>
      <c r="K126" s="2">
        <f>ROUND(I126*$D126,0)</f>
        <v>2708</v>
      </c>
      <c r="AE126" s="42"/>
    </row>
    <row r="127" spans="1:31">
      <c r="A127" s="166" t="s">
        <v>184</v>
      </c>
      <c r="B127" s="166"/>
      <c r="C127" s="12">
        <v>37</v>
      </c>
      <c r="D127" s="12">
        <v>39.995357940356762</v>
      </c>
      <c r="E127" s="167">
        <f>-E125</f>
        <v>-1.55</v>
      </c>
      <c r="F127" s="166"/>
      <c r="G127" s="2">
        <f>ROUND(E127*$C127,0)</f>
        <v>-57</v>
      </c>
      <c r="H127" s="2">
        <f>ROUND(E127*$D127,0)</f>
        <v>-62</v>
      </c>
      <c r="I127" s="167">
        <f>$I$88</f>
        <v>-1.55</v>
      </c>
      <c r="J127" s="166"/>
      <c r="K127" s="2">
        <f>ROUND(I127*$D127,0)</f>
        <v>-62</v>
      </c>
      <c r="AE127" s="42"/>
    </row>
    <row r="128" spans="1:31">
      <c r="A128" s="1" t="s">
        <v>185</v>
      </c>
      <c r="B128" s="168"/>
      <c r="C128" s="12">
        <f>SUM(C123:C124)</f>
        <v>2629730</v>
      </c>
      <c r="D128" s="12">
        <v>2842621.4226079565</v>
      </c>
      <c r="E128" s="169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42"/>
    </row>
    <row r="129" spans="1:31">
      <c r="A129" s="1" t="s">
        <v>167</v>
      </c>
      <c r="B129" s="15"/>
      <c r="C129" s="180">
        <v>1700.3066984208108</v>
      </c>
      <c r="D129" s="171">
        <v>0</v>
      </c>
      <c r="E129" s="172"/>
      <c r="F129" s="172"/>
      <c r="G129" s="173">
        <v>51.812730126847555</v>
      </c>
      <c r="H129" s="173">
        <v>0</v>
      </c>
      <c r="I129" s="172"/>
      <c r="J129" s="172"/>
      <c r="K129" s="173">
        <v>0</v>
      </c>
      <c r="M129" s="152"/>
      <c r="N129" s="152"/>
      <c r="O129" s="153"/>
      <c r="AE129" s="42"/>
    </row>
    <row r="130" spans="1:31" ht="16.5" thickBot="1">
      <c r="A130" s="1" t="s">
        <v>186</v>
      </c>
      <c r="B130" s="1"/>
      <c r="C130" s="174">
        <f>C128+C129</f>
        <v>2631430.306698421</v>
      </c>
      <c r="D130" s="174">
        <f>SUM(D128:D129)</f>
        <v>2842621.4226079565</v>
      </c>
      <c r="E130" s="175"/>
      <c r="F130" s="175"/>
      <c r="G130" s="175">
        <f>G128+G129</f>
        <v>190796.81273012684</v>
      </c>
      <c r="H130" s="175">
        <f>H128+H129</f>
        <v>205492</v>
      </c>
      <c r="I130" s="175"/>
      <c r="J130" s="175"/>
      <c r="K130" s="175">
        <f>K128+K129</f>
        <v>220558</v>
      </c>
      <c r="M130" s="154"/>
      <c r="N130" s="154"/>
      <c r="O130" s="155"/>
      <c r="AE130" s="42"/>
    </row>
    <row r="131" spans="1:31" ht="16.5" thickTop="1">
      <c r="A131" s="1"/>
      <c r="B131" s="176"/>
      <c r="C131" s="12"/>
      <c r="D131" s="12"/>
      <c r="E131" s="12"/>
      <c r="F131" s="12"/>
      <c r="I131" s="1" t="s">
        <v>13</v>
      </c>
      <c r="J131" s="1"/>
      <c r="K131" s="2" t="s">
        <v>13</v>
      </c>
      <c r="AE131" s="42"/>
    </row>
    <row r="132" spans="1:31">
      <c r="A132" s="156" t="s">
        <v>190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AE132" s="42"/>
    </row>
    <row r="133" spans="1:31">
      <c r="A133" s="1" t="s">
        <v>135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AE133" s="42"/>
    </row>
    <row r="134" spans="1:31">
      <c r="A134" s="160"/>
      <c r="B134" s="1"/>
      <c r="C134" s="1"/>
      <c r="D134" s="1"/>
      <c r="E134" s="12"/>
      <c r="F134" s="12"/>
      <c r="G134" s="1"/>
      <c r="H134" s="1"/>
      <c r="I134" s="12"/>
      <c r="J134" s="1"/>
      <c r="K134" s="1"/>
      <c r="AE134" s="42"/>
    </row>
    <row r="135" spans="1:31">
      <c r="A135" s="1" t="s">
        <v>174</v>
      </c>
      <c r="B135" s="1"/>
      <c r="C135" s="12">
        <v>316</v>
      </c>
      <c r="D135" s="12">
        <v>315</v>
      </c>
      <c r="E135" s="161">
        <v>5.25</v>
      </c>
      <c r="F135" s="1"/>
      <c r="G135" s="2">
        <f>ROUND(E135*$C135,0)</f>
        <v>1659</v>
      </c>
      <c r="H135" s="2">
        <f>ROUND(E135*$D135,0)</f>
        <v>1654</v>
      </c>
      <c r="I135" s="161">
        <f>$I$83</f>
        <v>6</v>
      </c>
      <c r="J135" s="1"/>
      <c r="K135" s="2">
        <f>ROUND(I135*$D135,0)</f>
        <v>1890</v>
      </c>
      <c r="AE135" s="42"/>
    </row>
    <row r="136" spans="1:31">
      <c r="A136" s="1" t="s">
        <v>177</v>
      </c>
      <c r="B136" s="1"/>
      <c r="C136" s="12">
        <v>183484</v>
      </c>
      <c r="D136" s="12">
        <v>184696.12043933535</v>
      </c>
      <c r="E136" s="162">
        <v>4.569</v>
      </c>
      <c r="F136" s="1" t="s">
        <v>178</v>
      </c>
      <c r="G136" s="2">
        <f>ROUND(E136*$C136/100,0)</f>
        <v>8383</v>
      </c>
      <c r="H136" s="2">
        <f>ROUND(E136*$D136/100,0)</f>
        <v>8439</v>
      </c>
      <c r="I136" s="162">
        <f>$I$84</f>
        <v>4.9139999999999997</v>
      </c>
      <c r="J136" s="1" t="s">
        <v>178</v>
      </c>
      <c r="K136" s="2">
        <f>ROUND(I136*$D136/100,0)</f>
        <v>9076</v>
      </c>
      <c r="AE136" s="42"/>
    </row>
    <row r="137" spans="1:31">
      <c r="A137" s="1" t="s">
        <v>179</v>
      </c>
      <c r="B137" s="1"/>
      <c r="C137" s="12">
        <f>753476-C136</f>
        <v>569992</v>
      </c>
      <c r="D137" s="12">
        <v>573757.44523477601</v>
      </c>
      <c r="E137" s="162">
        <v>7.2080000000000002</v>
      </c>
      <c r="F137" s="1" t="s">
        <v>178</v>
      </c>
      <c r="G137" s="2">
        <f>ROUND(E137*$C137/100,0)</f>
        <v>41085</v>
      </c>
      <c r="H137" s="2">
        <f>ROUND(E137*$D137/100,0)</f>
        <v>41356</v>
      </c>
      <c r="I137" s="162">
        <f>$I$85</f>
        <v>7.7510000000000003</v>
      </c>
      <c r="J137" s="1" t="s">
        <v>178</v>
      </c>
      <c r="K137" s="2">
        <f>ROUND(I137*$D137/100,0)</f>
        <v>44472</v>
      </c>
      <c r="AE137" s="42"/>
    </row>
    <row r="138" spans="1:31">
      <c r="A138" s="1" t="s">
        <v>181</v>
      </c>
      <c r="B138" s="1"/>
      <c r="C138" s="12">
        <v>1145</v>
      </c>
      <c r="D138" s="12">
        <v>1152.5640268526899</v>
      </c>
      <c r="E138" s="164">
        <v>1.55</v>
      </c>
      <c r="F138" s="1"/>
      <c r="G138" s="2">
        <f>ROUND(E138*$C138,0)</f>
        <v>1775</v>
      </c>
      <c r="H138" s="2">
        <f>ROUND(E138*$D138,0)</f>
        <v>1786</v>
      </c>
      <c r="I138" s="164">
        <f>$I$86</f>
        <v>1.55</v>
      </c>
      <c r="J138" s="1"/>
      <c r="K138" s="2">
        <f>ROUND(I138*$D138,0)</f>
        <v>1786</v>
      </c>
      <c r="AE138" s="42"/>
    </row>
    <row r="139" spans="1:31">
      <c r="A139" s="166" t="s">
        <v>183</v>
      </c>
      <c r="B139" s="166"/>
      <c r="C139" s="12">
        <v>182</v>
      </c>
      <c r="D139" s="12">
        <v>183.20231693204332</v>
      </c>
      <c r="E139" s="164">
        <v>3</v>
      </c>
      <c r="F139" s="166"/>
      <c r="G139" s="2">
        <f>ROUND(E139*$C139,0)</f>
        <v>546</v>
      </c>
      <c r="H139" s="2">
        <f>ROUND(E139*$D139,0)</f>
        <v>550</v>
      </c>
      <c r="I139" s="164">
        <f>$I$87</f>
        <v>3</v>
      </c>
      <c r="J139" s="166"/>
      <c r="K139" s="2">
        <f>ROUND(I139*$D139,0)</f>
        <v>550</v>
      </c>
      <c r="AE139" s="42"/>
    </row>
    <row r="140" spans="1:31">
      <c r="A140" s="166" t="s">
        <v>184</v>
      </c>
      <c r="B140" s="166"/>
      <c r="C140" s="12">
        <v>13</v>
      </c>
      <c r="D140" s="12">
        <v>13.085879780860235</v>
      </c>
      <c r="E140" s="167">
        <f>-E138</f>
        <v>-1.55</v>
      </c>
      <c r="F140" s="166"/>
      <c r="G140" s="2">
        <f>ROUND(E140*$C140,0)</f>
        <v>-20</v>
      </c>
      <c r="H140" s="2">
        <f>ROUND(E140*$D140,0)</f>
        <v>-20</v>
      </c>
      <c r="I140" s="167">
        <f>$I$88</f>
        <v>-1.55</v>
      </c>
      <c r="J140" s="166"/>
      <c r="K140" s="2">
        <f>ROUND(I140*$D140,0)</f>
        <v>-20</v>
      </c>
      <c r="AE140" s="42"/>
    </row>
    <row r="141" spans="1:31">
      <c r="A141" s="1" t="s">
        <v>185</v>
      </c>
      <c r="B141" s="1"/>
      <c r="C141" s="12">
        <f>SUM(C136:C137)</f>
        <v>753476</v>
      </c>
      <c r="D141" s="12">
        <v>758453.56567411136</v>
      </c>
      <c r="E141" s="169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42"/>
    </row>
    <row r="142" spans="1:31">
      <c r="A142" s="1" t="s">
        <v>167</v>
      </c>
      <c r="B142" s="1"/>
      <c r="C142" s="180">
        <v>454.99401217422201</v>
      </c>
      <c r="D142" s="171">
        <v>0</v>
      </c>
      <c r="E142" s="172"/>
      <c r="F142" s="172"/>
      <c r="G142" s="173">
        <v>13.645744029524508</v>
      </c>
      <c r="H142" s="173">
        <v>0</v>
      </c>
      <c r="I142" s="172"/>
      <c r="J142" s="172"/>
      <c r="K142" s="173">
        <v>0</v>
      </c>
      <c r="M142" s="152"/>
      <c r="N142" s="152"/>
      <c r="O142" s="153"/>
      <c r="AE142" s="42"/>
    </row>
    <row r="143" spans="1:31" ht="16.5" thickBot="1">
      <c r="A143" s="1" t="s">
        <v>186</v>
      </c>
      <c r="B143" s="1"/>
      <c r="C143" s="174">
        <f>C141+C142</f>
        <v>753930.9940121742</v>
      </c>
      <c r="D143" s="174">
        <f>SUM(D141:D142)</f>
        <v>758453.56567411136</v>
      </c>
      <c r="E143" s="175"/>
      <c r="F143" s="175"/>
      <c r="G143" s="175">
        <f>G141+G142</f>
        <v>53441.645744029527</v>
      </c>
      <c r="H143" s="175">
        <f>H141+H142</f>
        <v>53765</v>
      </c>
      <c r="I143" s="175"/>
      <c r="J143" s="175"/>
      <c r="K143" s="175">
        <f>K141+K142</f>
        <v>57754</v>
      </c>
      <c r="M143" s="154"/>
      <c r="N143" s="154"/>
      <c r="O143" s="155"/>
      <c r="AE143" s="42"/>
    </row>
    <row r="144" spans="1:31" ht="16.5" thickTop="1">
      <c r="A144" s="1"/>
      <c r="B144" s="176"/>
      <c r="C144" s="12"/>
      <c r="D144" s="12"/>
      <c r="E144" s="12"/>
      <c r="F144" s="12"/>
      <c r="I144" s="1" t="s">
        <v>13</v>
      </c>
      <c r="J144" s="1"/>
      <c r="K144" s="2" t="s">
        <v>13</v>
      </c>
      <c r="AE144" s="42"/>
    </row>
    <row r="145" spans="1:31">
      <c r="A145" s="156" t="s">
        <v>191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AE145" s="42"/>
    </row>
    <row r="146" spans="1:31">
      <c r="A146" s="1" t="s">
        <v>192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42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42"/>
    </row>
    <row r="148" spans="1:31">
      <c r="A148" s="1" t="s">
        <v>193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42"/>
    </row>
    <row r="149" spans="1:31">
      <c r="A149" s="1" t="s">
        <v>194</v>
      </c>
      <c r="B149" s="1"/>
      <c r="C149" s="12">
        <f>C384</f>
        <v>1</v>
      </c>
      <c r="D149" s="12">
        <f>D384</f>
        <v>1</v>
      </c>
      <c r="E149" s="161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161">
        <f>I153*12</f>
        <v>90.36</v>
      </c>
      <c r="J149" s="1"/>
      <c r="K149" s="2">
        <f>K355</f>
        <v>90</v>
      </c>
      <c r="M149" s="42">
        <f>I149*D149</f>
        <v>90.36</v>
      </c>
      <c r="O149" s="8">
        <f>(I149-E149)/E149</f>
        <v>7.5714285714285706E-2</v>
      </c>
      <c r="P149" s="8"/>
      <c r="AE149" s="42"/>
    </row>
    <row r="150" spans="1:31">
      <c r="A150" s="1" t="s">
        <v>195</v>
      </c>
      <c r="B150" s="1"/>
      <c r="C150" s="12">
        <f>C356</f>
        <v>112</v>
      </c>
      <c r="D150" s="12">
        <f>D356</f>
        <v>109</v>
      </c>
      <c r="E150" s="161">
        <v>124.8</v>
      </c>
      <c r="F150" s="2"/>
      <c r="G150" s="2">
        <f t="shared" si="8"/>
        <v>13978</v>
      </c>
      <c r="H150" s="2">
        <f t="shared" si="8"/>
        <v>13603</v>
      </c>
      <c r="I150" s="161">
        <f>I154*12</f>
        <v>134.16</v>
      </c>
      <c r="J150" s="1"/>
      <c r="K150" s="2">
        <f>K356</f>
        <v>14623</v>
      </c>
      <c r="M150" s="42">
        <f>I150*D150</f>
        <v>14623.44</v>
      </c>
      <c r="N150" s="42"/>
      <c r="O150" s="8">
        <f>(I150-E150)/E150</f>
        <v>7.4999999999999997E-2</v>
      </c>
      <c r="P150" s="8"/>
      <c r="AE150" s="42"/>
    </row>
    <row r="151" spans="1:31">
      <c r="A151" s="1" t="s">
        <v>196</v>
      </c>
      <c r="B151" s="1"/>
      <c r="C151" s="12">
        <f>C357</f>
        <v>4566</v>
      </c>
      <c r="D151" s="12">
        <f>D357</f>
        <v>3312</v>
      </c>
      <c r="E151" s="161">
        <v>8.2799999999999994</v>
      </c>
      <c r="F151" s="2"/>
      <c r="G151" s="2">
        <f t="shared" si="8"/>
        <v>37806</v>
      </c>
      <c r="H151" s="2">
        <f t="shared" si="8"/>
        <v>27423</v>
      </c>
      <c r="I151" s="161">
        <v>9.36</v>
      </c>
      <c r="J151" s="1"/>
      <c r="K151" s="2">
        <f>K357</f>
        <v>31000</v>
      </c>
      <c r="M151" s="42">
        <f>I151*D151</f>
        <v>31000.32</v>
      </c>
      <c r="O151" s="8">
        <f>(I151-E151)/E151</f>
        <v>0.13043478260869568</v>
      </c>
      <c r="P151" s="8"/>
      <c r="R151" s="3" t="s">
        <v>13</v>
      </c>
      <c r="AE151" s="42"/>
    </row>
    <row r="152" spans="1:31">
      <c r="A152" s="1" t="s">
        <v>197</v>
      </c>
      <c r="B152" s="1"/>
      <c r="C152" s="182"/>
      <c r="D152" s="182"/>
      <c r="E152" s="2"/>
      <c r="F152" s="2"/>
      <c r="G152" s="1"/>
      <c r="H152" s="1"/>
      <c r="I152" s="2"/>
      <c r="J152" s="1"/>
      <c r="K152" s="1"/>
      <c r="O152" s="183"/>
      <c r="AE152" s="42"/>
    </row>
    <row r="153" spans="1:31">
      <c r="A153" s="1" t="s">
        <v>194</v>
      </c>
      <c r="B153" s="1"/>
      <c r="C153" s="182">
        <f t="shared" ref="C153:D155" si="9">C183+C267</f>
        <v>150723</v>
      </c>
      <c r="D153" s="182">
        <f t="shared" si="9"/>
        <v>152395</v>
      </c>
      <c r="E153" s="161">
        <v>7</v>
      </c>
      <c r="F153" s="184"/>
      <c r="G153" s="185">
        <f t="shared" ref="G153:H155" si="10">G183+G267</f>
        <v>1055061</v>
      </c>
      <c r="H153" s="185">
        <f t="shared" si="10"/>
        <v>1066765</v>
      </c>
      <c r="I153" s="161">
        <v>7.53</v>
      </c>
      <c r="J153" s="186"/>
      <c r="K153" s="185">
        <f>K183+K267</f>
        <v>1147534</v>
      </c>
      <c r="M153" s="42">
        <f>I153*D153</f>
        <v>1147534.3500000001</v>
      </c>
      <c r="O153" s="8">
        <f>(I153-E153)/E153</f>
        <v>7.5714285714285748E-2</v>
      </c>
      <c r="P153" s="8">
        <v>7.2866321118088731E-2</v>
      </c>
      <c r="AE153" s="42"/>
    </row>
    <row r="154" spans="1:31">
      <c r="A154" s="1" t="s">
        <v>195</v>
      </c>
      <c r="B154" s="1"/>
      <c r="C154" s="182">
        <f t="shared" si="9"/>
        <v>58994</v>
      </c>
      <c r="D154" s="182">
        <f t="shared" si="9"/>
        <v>59583</v>
      </c>
      <c r="E154" s="161">
        <v>10.4</v>
      </c>
      <c r="F154" s="187"/>
      <c r="G154" s="185">
        <f t="shared" si="10"/>
        <v>613538</v>
      </c>
      <c r="H154" s="185">
        <f t="shared" si="10"/>
        <v>619663</v>
      </c>
      <c r="I154" s="161">
        <v>11.18</v>
      </c>
      <c r="J154" s="188"/>
      <c r="K154" s="185">
        <f>K184+K268</f>
        <v>666138</v>
      </c>
      <c r="M154" s="42">
        <f>I154*D154</f>
        <v>666137.93999999994</v>
      </c>
      <c r="O154" s="8">
        <f>(I154-E154)/E154</f>
        <v>7.4999999999999942E-2</v>
      </c>
      <c r="P154" s="8">
        <v>7.1815364563500975E-2</v>
      </c>
      <c r="Q154" s="42"/>
      <c r="AE154" s="42"/>
    </row>
    <row r="155" spans="1:31">
      <c r="A155" s="1" t="s">
        <v>196</v>
      </c>
      <c r="B155" s="1"/>
      <c r="C155" s="182">
        <f t="shared" si="9"/>
        <v>1172685</v>
      </c>
      <c r="D155" s="182">
        <f t="shared" si="9"/>
        <v>1215298</v>
      </c>
      <c r="E155" s="161">
        <v>0.69</v>
      </c>
      <c r="F155" s="187"/>
      <c r="G155" s="185">
        <f t="shared" si="10"/>
        <v>809153</v>
      </c>
      <c r="H155" s="185">
        <f t="shared" si="10"/>
        <v>838556</v>
      </c>
      <c r="I155" s="161">
        <v>0.78</v>
      </c>
      <c r="J155" s="188"/>
      <c r="K155" s="185">
        <f>K185+K269</f>
        <v>947933</v>
      </c>
      <c r="M155" s="42">
        <f>I155*D155</f>
        <v>947932.44000000006</v>
      </c>
      <c r="O155" s="8">
        <f>(I155-E155)/E155</f>
        <v>0.13043478260869579</v>
      </c>
      <c r="P155" s="8">
        <v>0.132004204924074</v>
      </c>
      <c r="R155" s="9"/>
      <c r="S155" s="9"/>
      <c r="AE155" s="42"/>
    </row>
    <row r="156" spans="1:31">
      <c r="A156" s="1" t="s">
        <v>198</v>
      </c>
      <c r="B156" s="1"/>
      <c r="C156" s="182">
        <f>SUM(C153:C154)</f>
        <v>209717</v>
      </c>
      <c r="D156" s="182">
        <f>SUM(D153:D154)</f>
        <v>211978</v>
      </c>
      <c r="E156" s="161"/>
      <c r="F156" s="184"/>
      <c r="G156" s="185"/>
      <c r="H156" s="185"/>
      <c r="I156" s="161"/>
      <c r="J156" s="186"/>
      <c r="K156" s="185"/>
      <c r="O156" s="183"/>
      <c r="AE156" s="42"/>
    </row>
    <row r="157" spans="1:31">
      <c r="A157" s="1" t="s">
        <v>166</v>
      </c>
      <c r="B157" s="1"/>
      <c r="C157" s="182">
        <f>C186+C271+C358</f>
        <v>206434</v>
      </c>
      <c r="D157" s="182">
        <f>D186+D271+D358</f>
        <v>208713.75</v>
      </c>
      <c r="E157" s="161"/>
      <c r="F157" s="184"/>
      <c r="G157" s="185"/>
      <c r="H157" s="185"/>
      <c r="I157" s="161"/>
      <c r="J157" s="186"/>
      <c r="K157" s="185"/>
      <c r="O157" s="183"/>
      <c r="AE157" s="42"/>
    </row>
    <row r="158" spans="1:31">
      <c r="A158" s="1" t="s">
        <v>199</v>
      </c>
      <c r="B158" s="1"/>
      <c r="C158" s="182">
        <f t="shared" ref="C158:D162" si="11">C187+C272+C360</f>
        <v>773776</v>
      </c>
      <c r="D158" s="182">
        <f t="shared" si="11"/>
        <v>798223</v>
      </c>
      <c r="E158" s="189">
        <v>2.81</v>
      </c>
      <c r="F158" s="186"/>
      <c r="G158" s="185">
        <f t="shared" ref="G158:H162" si="12">G187+G272+G360</f>
        <v>2174311</v>
      </c>
      <c r="H158" s="185">
        <f t="shared" si="12"/>
        <v>2243006</v>
      </c>
      <c r="I158" s="161">
        <v>2.88</v>
      </c>
      <c r="J158" s="186"/>
      <c r="K158" s="185">
        <f>K187+K272+K360</f>
        <v>2298883</v>
      </c>
      <c r="M158" s="42">
        <f>I158*D158</f>
        <v>2298882.2399999998</v>
      </c>
      <c r="O158" s="8">
        <f>(I158-E158)/E158</f>
        <v>2.4911032028469695E-2</v>
      </c>
      <c r="P158" s="8">
        <v>2.5931075130992472E-2</v>
      </c>
      <c r="Q158" s="3" t="s">
        <v>200</v>
      </c>
      <c r="AE158" s="42"/>
    </row>
    <row r="159" spans="1:31">
      <c r="A159" s="1" t="s">
        <v>201</v>
      </c>
      <c r="B159" s="1"/>
      <c r="C159" s="182">
        <f t="shared" si="11"/>
        <v>122073149.22139926</v>
      </c>
      <c r="D159" s="182">
        <f t="shared" si="11"/>
        <v>126408223</v>
      </c>
      <c r="E159" s="162">
        <v>7.5869999999999997</v>
      </c>
      <c r="F159" s="186" t="s">
        <v>178</v>
      </c>
      <c r="G159" s="185">
        <f t="shared" si="12"/>
        <v>9261689</v>
      </c>
      <c r="H159" s="185">
        <f t="shared" si="12"/>
        <v>9590592</v>
      </c>
      <c r="I159" s="190">
        <v>8.0890000000000004</v>
      </c>
      <c r="J159" s="186" t="s">
        <v>178</v>
      </c>
      <c r="K159" s="185">
        <f>K188+K273+K361</f>
        <v>10225160</v>
      </c>
      <c r="M159" s="42">
        <f>(I159/100)*D159</f>
        <v>10225161.158470001</v>
      </c>
      <c r="O159" s="8">
        <f>(I159-E159)/E159</f>
        <v>6.6165809938052017E-2</v>
      </c>
      <c r="P159" s="8">
        <v>6.6628456933799998E-2</v>
      </c>
      <c r="Q159" s="100">
        <f>H159+H160-(D159+D160)*E161/100</f>
        <v>5928502.7547500022</v>
      </c>
      <c r="R159" s="100">
        <f>K159+K160-(D159+D160)*I161/100</f>
        <v>6328709.5074999966</v>
      </c>
      <c r="AE159" s="42"/>
    </row>
    <row r="160" spans="1:31">
      <c r="A160" s="1" t="s">
        <v>202</v>
      </c>
      <c r="B160" s="1"/>
      <c r="C160" s="182">
        <f t="shared" si="11"/>
        <v>272356025.57318687</v>
      </c>
      <c r="D160" s="182">
        <f t="shared" si="11"/>
        <v>282142702</v>
      </c>
      <c r="E160" s="162">
        <v>5.2370000000000001</v>
      </c>
      <c r="F160" s="186" t="s">
        <v>178</v>
      </c>
      <c r="G160" s="185">
        <f t="shared" si="12"/>
        <v>14263286</v>
      </c>
      <c r="H160" s="185">
        <f t="shared" si="12"/>
        <v>14775814</v>
      </c>
      <c r="I160" s="191">
        <f>ROUND((E160/E159)*I159,3)</f>
        <v>5.5839999999999996</v>
      </c>
      <c r="J160" s="186" t="s">
        <v>178</v>
      </c>
      <c r="K160" s="185">
        <f>K189+K274+K362</f>
        <v>15754849</v>
      </c>
      <c r="M160" s="42">
        <f>(I160/100)*D160</f>
        <v>15754848.479679998</v>
      </c>
      <c r="N160" s="192"/>
      <c r="O160" s="8">
        <f>(I160-E160)/E160</f>
        <v>6.6259308764559766E-2</v>
      </c>
      <c r="P160" s="8">
        <v>6.6612089431516142E-2</v>
      </c>
      <c r="AE160" s="42"/>
    </row>
    <row r="161" spans="1:31">
      <c r="A161" s="1" t="s">
        <v>203</v>
      </c>
      <c r="B161" s="1"/>
      <c r="C161" s="182">
        <f t="shared" si="11"/>
        <v>116874017.20541383</v>
      </c>
      <c r="D161" s="182">
        <f t="shared" si="11"/>
        <v>121112284</v>
      </c>
      <c r="E161" s="162">
        <v>4.5129999999999999</v>
      </c>
      <c r="F161" s="186" t="s">
        <v>178</v>
      </c>
      <c r="G161" s="185">
        <f t="shared" si="12"/>
        <v>5274524</v>
      </c>
      <c r="H161" s="185">
        <f t="shared" si="12"/>
        <v>5465798</v>
      </c>
      <c r="I161" s="162">
        <f>ROUND((E161/E160)*I160,3)-0.002</f>
        <v>4.8100000000000005</v>
      </c>
      <c r="J161" s="186" t="s">
        <v>178</v>
      </c>
      <c r="K161" s="185">
        <f>K190+K275+K363</f>
        <v>5825501</v>
      </c>
      <c r="M161" s="42">
        <f>(I161/100)*D161</f>
        <v>5825500.8604000006</v>
      </c>
      <c r="N161" s="163"/>
      <c r="O161" s="8">
        <f>(I161-E161)/E161</f>
        <v>6.5809882561489161E-2</v>
      </c>
      <c r="P161" s="8">
        <v>6.6601722714849612E-2</v>
      </c>
      <c r="Q161" s="42">
        <f>K159+K160+K161-R159</f>
        <v>25476800.492500003</v>
      </c>
      <c r="AE161" s="42"/>
    </row>
    <row r="162" spans="1:31">
      <c r="A162" s="1" t="s">
        <v>204</v>
      </c>
      <c r="B162" s="1"/>
      <c r="C162" s="182">
        <f t="shared" si="11"/>
        <v>89833</v>
      </c>
      <c r="D162" s="182">
        <f t="shared" si="11"/>
        <v>92605</v>
      </c>
      <c r="E162" s="193">
        <v>45</v>
      </c>
      <c r="F162" s="184" t="s">
        <v>178</v>
      </c>
      <c r="G162" s="185">
        <f t="shared" si="12"/>
        <v>40425</v>
      </c>
      <c r="H162" s="185">
        <f t="shared" si="12"/>
        <v>41673</v>
      </c>
      <c r="I162" s="193">
        <v>45</v>
      </c>
      <c r="J162" s="186" t="s">
        <v>178</v>
      </c>
      <c r="K162" s="185">
        <f>K191+K276+K364</f>
        <v>41673</v>
      </c>
      <c r="M162" s="42">
        <f>(I162/100)*D162</f>
        <v>41672.25</v>
      </c>
      <c r="O162" s="8">
        <f>(I162-E162)/E162</f>
        <v>0</v>
      </c>
      <c r="P162" s="8"/>
      <c r="AE162" s="42"/>
    </row>
    <row r="163" spans="1:31">
      <c r="A163" s="194" t="s">
        <v>205</v>
      </c>
      <c r="B163" s="1"/>
      <c r="C163" s="182"/>
      <c r="D163" s="182"/>
      <c r="E163" s="195">
        <v>-0.01</v>
      </c>
      <c r="F163" s="184"/>
      <c r="G163" s="185"/>
      <c r="H163" s="185"/>
      <c r="I163" s="195">
        <v>-0.01</v>
      </c>
      <c r="J163" s="186"/>
      <c r="K163" s="185"/>
      <c r="O163" s="196"/>
      <c r="AE163" s="42"/>
    </row>
    <row r="164" spans="1:31">
      <c r="A164" s="1" t="s">
        <v>194</v>
      </c>
      <c r="B164" s="1"/>
      <c r="C164" s="182">
        <f t="shared" ref="C164:D175" si="13">C193+C278+C366</f>
        <v>48</v>
      </c>
      <c r="D164" s="182">
        <f t="shared" si="13"/>
        <v>49</v>
      </c>
      <c r="E164" s="197">
        <f>E153</f>
        <v>7</v>
      </c>
      <c r="F164" s="184"/>
      <c r="G164" s="185">
        <f t="shared" ref="G164:H175" si="14">G193+G278+G366</f>
        <v>-3</v>
      </c>
      <c r="H164" s="185">
        <f t="shared" si="14"/>
        <v>-3</v>
      </c>
      <c r="I164" s="197">
        <f>I153</f>
        <v>7.53</v>
      </c>
      <c r="J164" s="184"/>
      <c r="K164" s="185">
        <f t="shared" ref="K164:K175" si="15">K193+K278+K366</f>
        <v>-4</v>
      </c>
      <c r="M164" s="42">
        <f>-(I164/100)*D164</f>
        <v>-3.6897000000000002</v>
      </c>
      <c r="AE164" s="42"/>
    </row>
    <row r="165" spans="1:31">
      <c r="A165" s="1" t="s">
        <v>195</v>
      </c>
      <c r="B165" s="1"/>
      <c r="C165" s="182">
        <f t="shared" si="13"/>
        <v>88</v>
      </c>
      <c r="D165" s="182">
        <f t="shared" si="13"/>
        <v>89</v>
      </c>
      <c r="E165" s="197">
        <f>E154</f>
        <v>10.4</v>
      </c>
      <c r="F165" s="184"/>
      <c r="G165" s="185">
        <f t="shared" si="14"/>
        <v>-9</v>
      </c>
      <c r="H165" s="185">
        <f t="shared" si="14"/>
        <v>-9</v>
      </c>
      <c r="I165" s="197">
        <f>I154</f>
        <v>11.18</v>
      </c>
      <c r="J165" s="184"/>
      <c r="K165" s="185">
        <f t="shared" si="15"/>
        <v>-10</v>
      </c>
      <c r="M165" s="42">
        <f>-(I165/100)*D165</f>
        <v>-9.9501999999999988</v>
      </c>
      <c r="R165" s="3" t="s">
        <v>175</v>
      </c>
      <c r="S165" s="3" t="s">
        <v>120</v>
      </c>
      <c r="T165" s="3" t="s">
        <v>176</v>
      </c>
      <c r="U165" s="3" t="s">
        <v>126</v>
      </c>
      <c r="AE165" s="42"/>
    </row>
    <row r="166" spans="1:31">
      <c r="A166" s="1" t="s">
        <v>206</v>
      </c>
      <c r="B166" s="1"/>
      <c r="C166" s="182">
        <f t="shared" si="13"/>
        <v>1730</v>
      </c>
      <c r="D166" s="182">
        <f t="shared" si="13"/>
        <v>1792</v>
      </c>
      <c r="E166" s="197">
        <f>E155</f>
        <v>0.69</v>
      </c>
      <c r="F166" s="184"/>
      <c r="G166" s="185">
        <f t="shared" si="14"/>
        <v>-12</v>
      </c>
      <c r="H166" s="185">
        <f t="shared" si="14"/>
        <v>-12</v>
      </c>
      <c r="I166" s="197">
        <f>I155</f>
        <v>0.78</v>
      </c>
      <c r="J166" s="184"/>
      <c r="K166" s="185">
        <f t="shared" si="15"/>
        <v>-14</v>
      </c>
      <c r="M166" s="42">
        <f>-(I166/100)*D166</f>
        <v>-13.977600000000001</v>
      </c>
      <c r="Q166" s="3" t="s">
        <v>7</v>
      </c>
      <c r="R166" s="42">
        <f>H149+H150+H153+H154</f>
        <v>1700115</v>
      </c>
      <c r="S166" s="42">
        <f>K149+K150+K153+K154</f>
        <v>1828385</v>
      </c>
      <c r="T166" s="49">
        <v>1916638.7857408486</v>
      </c>
      <c r="U166" s="101">
        <f>S166/T166</f>
        <v>0.9539538767568374</v>
      </c>
      <c r="AE166" s="42"/>
    </row>
    <row r="167" spans="1:31">
      <c r="A167" s="1" t="s">
        <v>207</v>
      </c>
      <c r="B167" s="1"/>
      <c r="C167" s="182">
        <f t="shared" si="13"/>
        <v>696</v>
      </c>
      <c r="D167" s="182">
        <f t="shared" si="13"/>
        <v>721</v>
      </c>
      <c r="E167" s="197">
        <f>E158</f>
        <v>2.81</v>
      </c>
      <c r="F167" s="186"/>
      <c r="G167" s="185">
        <f t="shared" si="14"/>
        <v>-20</v>
      </c>
      <c r="H167" s="185">
        <f t="shared" si="14"/>
        <v>-20</v>
      </c>
      <c r="I167" s="197">
        <f>I158</f>
        <v>2.88</v>
      </c>
      <c r="J167" s="186"/>
      <c r="K167" s="185">
        <f t="shared" si="15"/>
        <v>-21</v>
      </c>
      <c r="M167" s="42">
        <f>-(I167/100)*D167</f>
        <v>-20.764800000000001</v>
      </c>
      <c r="Q167" s="3" t="s">
        <v>208</v>
      </c>
      <c r="R167" s="42">
        <f>H155</f>
        <v>838556</v>
      </c>
      <c r="S167" s="42">
        <f>K155</f>
        <v>947933</v>
      </c>
      <c r="T167" s="49">
        <v>5367292.197431691</v>
      </c>
      <c r="U167" s="101">
        <f>S167/T167</f>
        <v>0.17661289252215417</v>
      </c>
      <c r="AE167" s="42"/>
    </row>
    <row r="168" spans="1:31">
      <c r="A168" s="1" t="s">
        <v>209</v>
      </c>
      <c r="B168" s="1"/>
      <c r="C168" s="182">
        <f t="shared" si="13"/>
        <v>80560</v>
      </c>
      <c r="D168" s="182">
        <f t="shared" si="13"/>
        <v>83451</v>
      </c>
      <c r="E168" s="198">
        <f>E159</f>
        <v>7.5869999999999997</v>
      </c>
      <c r="F168" s="186" t="s">
        <v>178</v>
      </c>
      <c r="G168" s="185">
        <f t="shared" si="14"/>
        <v>-61</v>
      </c>
      <c r="H168" s="185">
        <f t="shared" si="14"/>
        <v>-63</v>
      </c>
      <c r="I168" s="198">
        <f>I159</f>
        <v>8.0890000000000004</v>
      </c>
      <c r="J168" s="186" t="s">
        <v>178</v>
      </c>
      <c r="K168" s="185">
        <f t="shared" si="15"/>
        <v>-68</v>
      </c>
      <c r="M168" s="42">
        <f>-((I168/100)*D168)/100</f>
        <v>-67.503513900000002</v>
      </c>
      <c r="Q168" s="3" t="s">
        <v>180</v>
      </c>
      <c r="R168" s="42">
        <f>SUM(H159:H161)-Q159</f>
        <v>23903701.245249998</v>
      </c>
      <c r="S168" s="42">
        <f>SUM(K159:K161)-R159</f>
        <v>25476800.492500003</v>
      </c>
      <c r="T168" s="49">
        <v>26743743.576655678</v>
      </c>
      <c r="U168" s="101">
        <f>S168/T168</f>
        <v>0.95262656177792637</v>
      </c>
      <c r="AE168" s="42"/>
    </row>
    <row r="169" spans="1:31">
      <c r="A169" s="1" t="s">
        <v>202</v>
      </c>
      <c r="B169" s="1"/>
      <c r="C169" s="182">
        <f t="shared" si="13"/>
        <v>247430</v>
      </c>
      <c r="D169" s="182">
        <f t="shared" si="13"/>
        <v>256310</v>
      </c>
      <c r="E169" s="198">
        <f>E160</f>
        <v>5.2370000000000001</v>
      </c>
      <c r="F169" s="186" t="s">
        <v>178</v>
      </c>
      <c r="G169" s="185">
        <f t="shared" si="14"/>
        <v>-130</v>
      </c>
      <c r="H169" s="185">
        <f t="shared" si="14"/>
        <v>-134</v>
      </c>
      <c r="I169" s="198">
        <f>I160</f>
        <v>5.5839999999999996</v>
      </c>
      <c r="J169" s="186" t="s">
        <v>178</v>
      </c>
      <c r="K169" s="185">
        <f t="shared" si="15"/>
        <v>-143</v>
      </c>
      <c r="M169" s="42">
        <f>-((I169/100)*D169)/100</f>
        <v>-143.12350399999997</v>
      </c>
      <c r="Q169" s="3" t="s">
        <v>210</v>
      </c>
      <c r="R169" s="42">
        <f>H158+Q159</f>
        <v>8171508.7547500022</v>
      </c>
      <c r="S169" s="42">
        <f>K158+R159</f>
        <v>8627592.5074999966</v>
      </c>
      <c r="T169" s="49">
        <v>4454867.4522770187</v>
      </c>
      <c r="U169" s="101">
        <f>S169/T169</f>
        <v>1.9366664889412526</v>
      </c>
      <c r="AE169" s="42"/>
    </row>
    <row r="170" spans="1:31">
      <c r="A170" s="1" t="s">
        <v>203</v>
      </c>
      <c r="B170" s="1"/>
      <c r="C170" s="182">
        <f t="shared" si="13"/>
        <v>46700</v>
      </c>
      <c r="D170" s="182">
        <f t="shared" si="13"/>
        <v>48376</v>
      </c>
      <c r="E170" s="198">
        <f>E161</f>
        <v>4.5129999999999999</v>
      </c>
      <c r="F170" s="186" t="s">
        <v>178</v>
      </c>
      <c r="G170" s="185">
        <f t="shared" si="14"/>
        <v>-21</v>
      </c>
      <c r="H170" s="185">
        <f t="shared" si="14"/>
        <v>-22</v>
      </c>
      <c r="I170" s="198">
        <f>I161</f>
        <v>4.8100000000000005</v>
      </c>
      <c r="J170" s="186" t="s">
        <v>178</v>
      </c>
      <c r="K170" s="185">
        <f t="shared" si="15"/>
        <v>-23</v>
      </c>
      <c r="M170" s="42">
        <f>-((I170/100)*D170)/100</f>
        <v>-23.268856</v>
      </c>
      <c r="AE170" s="42"/>
    </row>
    <row r="171" spans="1:31">
      <c r="A171" s="1" t="s">
        <v>204</v>
      </c>
      <c r="B171" s="1"/>
      <c r="C171" s="182">
        <f t="shared" si="13"/>
        <v>2329</v>
      </c>
      <c r="D171" s="182">
        <f t="shared" si="13"/>
        <v>2413</v>
      </c>
      <c r="E171" s="199">
        <f>E162</f>
        <v>45</v>
      </c>
      <c r="F171" s="186" t="s">
        <v>178</v>
      </c>
      <c r="G171" s="185">
        <f t="shared" si="14"/>
        <v>-10</v>
      </c>
      <c r="H171" s="185">
        <f t="shared" si="14"/>
        <v>-11</v>
      </c>
      <c r="I171" s="199">
        <f>I162</f>
        <v>45</v>
      </c>
      <c r="J171" s="186" t="s">
        <v>178</v>
      </c>
      <c r="K171" s="185">
        <f t="shared" si="15"/>
        <v>-11</v>
      </c>
      <c r="M171" s="42">
        <f>-((I171/100)*D171)/100</f>
        <v>-10.858500000000001</v>
      </c>
      <c r="AE171" s="42"/>
    </row>
    <row r="172" spans="1:31">
      <c r="A172" s="1" t="s">
        <v>211</v>
      </c>
      <c r="B172" s="1"/>
      <c r="C172" s="182">
        <f t="shared" si="13"/>
        <v>103</v>
      </c>
      <c r="D172" s="182">
        <f t="shared" si="13"/>
        <v>107</v>
      </c>
      <c r="E172" s="200">
        <v>60</v>
      </c>
      <c r="F172" s="184"/>
      <c r="G172" s="185">
        <f t="shared" si="14"/>
        <v>6180</v>
      </c>
      <c r="H172" s="185">
        <f t="shared" si="14"/>
        <v>6420</v>
      </c>
      <c r="I172" s="200">
        <v>60</v>
      </c>
      <c r="J172" s="186"/>
      <c r="K172" s="185">
        <f t="shared" si="15"/>
        <v>6420</v>
      </c>
      <c r="M172" s="42">
        <f>I172*D172</f>
        <v>6420</v>
      </c>
      <c r="O172" s="201"/>
      <c r="AE172" s="42"/>
    </row>
    <row r="173" spans="1:31">
      <c r="A173" s="1" t="s">
        <v>212</v>
      </c>
      <c r="B173" s="1"/>
      <c r="C173" s="182">
        <f t="shared" si="13"/>
        <v>2204</v>
      </c>
      <c r="D173" s="182">
        <f t="shared" si="13"/>
        <v>2283</v>
      </c>
      <c r="E173" s="202">
        <v>-30</v>
      </c>
      <c r="F173" s="184" t="s">
        <v>178</v>
      </c>
      <c r="G173" s="185">
        <f t="shared" si="14"/>
        <v>-661</v>
      </c>
      <c r="H173" s="185">
        <f t="shared" si="14"/>
        <v>-685</v>
      </c>
      <c r="I173" s="202">
        <v>-30</v>
      </c>
      <c r="J173" s="186" t="s">
        <v>178</v>
      </c>
      <c r="K173" s="185">
        <f t="shared" si="15"/>
        <v>-685</v>
      </c>
      <c r="M173" s="42">
        <f>(I173/100)*D173</f>
        <v>-684.9</v>
      </c>
      <c r="O173" s="157"/>
      <c r="Q173" s="157"/>
      <c r="AE173" s="42"/>
    </row>
    <row r="174" spans="1:31">
      <c r="A174" s="1" t="s">
        <v>185</v>
      </c>
      <c r="B174" s="127"/>
      <c r="C174" s="182">
        <f t="shared" si="13"/>
        <v>511303192</v>
      </c>
      <c r="D174" s="182">
        <f t="shared" si="13"/>
        <v>529663208.81107259</v>
      </c>
      <c r="E174" s="193"/>
      <c r="F174" s="2"/>
      <c r="G174" s="185">
        <f t="shared" si="14"/>
        <v>33549108</v>
      </c>
      <c r="H174" s="185">
        <f t="shared" si="14"/>
        <v>34688438</v>
      </c>
      <c r="I174" s="193"/>
      <c r="J174" s="186"/>
      <c r="K174" s="185">
        <f t="shared" si="15"/>
        <v>36958825</v>
      </c>
      <c r="M174" s="42">
        <f>SUM(M149:M173)</f>
        <v>36958825.801876113</v>
      </c>
      <c r="O174" s="157"/>
      <c r="AE174" s="42"/>
    </row>
    <row r="175" spans="1:31">
      <c r="A175" s="1" t="s">
        <v>167</v>
      </c>
      <c r="B175" s="15"/>
      <c r="C175" s="203">
        <f t="shared" si="13"/>
        <v>1738550.1352391352</v>
      </c>
      <c r="D175" s="203">
        <f t="shared" si="13"/>
        <v>0</v>
      </c>
      <c r="E175" s="172"/>
      <c r="F175" s="172"/>
      <c r="G175" s="204">
        <f t="shared" si="14"/>
        <v>98538.251191607749</v>
      </c>
      <c r="H175" s="204">
        <f t="shared" si="14"/>
        <v>0</v>
      </c>
      <c r="I175" s="172"/>
      <c r="J175" s="172"/>
      <c r="K175" s="204">
        <f t="shared" si="15"/>
        <v>0</v>
      </c>
      <c r="M175" s="152"/>
      <c r="AE175" s="42"/>
    </row>
    <row r="176" spans="1:31" ht="16.5" thickBot="1">
      <c r="A176" s="1" t="s">
        <v>186</v>
      </c>
      <c r="B176" s="1"/>
      <c r="C176" s="174">
        <f>SUM(C174:C175)</f>
        <v>513041742.13523912</v>
      </c>
      <c r="D176" s="174">
        <f>SUM(D174:D175)</f>
        <v>529663208.81107259</v>
      </c>
      <c r="E176" s="205"/>
      <c r="F176" s="206"/>
      <c r="G176" s="207">
        <f>G174+G175</f>
        <v>33647646.251191609</v>
      </c>
      <c r="H176" s="207">
        <f>H174+H175</f>
        <v>34688438</v>
      </c>
      <c r="I176" s="205"/>
      <c r="J176" s="208"/>
      <c r="K176" s="207">
        <f>K174+K175</f>
        <v>36958825</v>
      </c>
      <c r="M176" s="154"/>
      <c r="N176" s="3" t="s">
        <v>213</v>
      </c>
      <c r="O176" s="42" t="e">
        <f>#REF!*1000</f>
        <v>#REF!</v>
      </c>
      <c r="P176" s="8"/>
      <c r="AE176" s="42"/>
    </row>
    <row r="177" spans="1:31" ht="16.5" thickTop="1">
      <c r="A177" s="1"/>
      <c r="B177" s="1"/>
      <c r="C177" s="12"/>
      <c r="D177" s="12"/>
      <c r="E177" s="200"/>
      <c r="F177" s="2"/>
      <c r="G177" s="2"/>
      <c r="H177" s="2"/>
      <c r="I177" s="200"/>
      <c r="J177" s="1"/>
      <c r="K177" s="2" t="s">
        <v>13</v>
      </c>
      <c r="N177" s="3" t="s">
        <v>114</v>
      </c>
      <c r="O177" s="42" t="e">
        <f>O176-K176</f>
        <v>#REF!</v>
      </c>
      <c r="P177" s="139" t="e">
        <f>(O176-K176)/K176</f>
        <v>#REF!</v>
      </c>
      <c r="AE177" s="42"/>
    </row>
    <row r="178" spans="1:31">
      <c r="A178" s="1"/>
      <c r="B178" s="1"/>
      <c r="C178" s="12"/>
      <c r="D178" s="12"/>
      <c r="E178" s="200"/>
      <c r="F178" s="2"/>
      <c r="G178" s="2"/>
      <c r="H178" s="2"/>
      <c r="I178" s="200"/>
      <c r="J178" s="1"/>
      <c r="AE178" s="42"/>
    </row>
    <row r="179" spans="1:31">
      <c r="A179" s="156" t="s">
        <v>191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M179" s="42">
        <f>K176-H176</f>
        <v>2270387</v>
      </c>
      <c r="O179" s="209"/>
      <c r="P179" s="8"/>
      <c r="AE179" s="42"/>
    </row>
    <row r="180" spans="1:31">
      <c r="A180" s="1" t="s">
        <v>214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2"/>
      <c r="N180" s="101">
        <v>0.91082901397610971</v>
      </c>
      <c r="AE180" s="42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2"/>
      <c r="N181" s="42"/>
      <c r="AE181" s="42"/>
    </row>
    <row r="182" spans="1:31">
      <c r="A182" s="1" t="s">
        <v>197</v>
      </c>
      <c r="B182" s="1"/>
      <c r="C182" s="182"/>
      <c r="D182" s="182"/>
      <c r="E182" s="2"/>
      <c r="F182" s="2"/>
      <c r="G182" s="1"/>
      <c r="H182" s="1"/>
      <c r="I182" s="2"/>
      <c r="J182" s="1"/>
      <c r="K182" s="1"/>
      <c r="AE182" s="42"/>
    </row>
    <row r="183" spans="1:31">
      <c r="A183" s="1" t="s">
        <v>194</v>
      </c>
      <c r="B183" s="1"/>
      <c r="C183" s="182">
        <f t="shared" ref="C183:D185" si="16">C211+C239</f>
        <v>145698</v>
      </c>
      <c r="D183" s="182">
        <f t="shared" si="16"/>
        <v>147404</v>
      </c>
      <c r="E183" s="161">
        <v>7</v>
      </c>
      <c r="F183" s="184"/>
      <c r="G183" s="2">
        <f t="shared" ref="G183:H185" si="17">G211+G239</f>
        <v>1019886</v>
      </c>
      <c r="H183" s="2">
        <f t="shared" si="17"/>
        <v>1031828</v>
      </c>
      <c r="I183" s="161">
        <f>$I$153</f>
        <v>7.53</v>
      </c>
      <c r="J183" s="186"/>
      <c r="K183" s="2">
        <f>K211+K239</f>
        <v>1109952</v>
      </c>
      <c r="AE183" s="42"/>
    </row>
    <row r="184" spans="1:31">
      <c r="A184" s="1" t="s">
        <v>195</v>
      </c>
      <c r="B184" s="1"/>
      <c r="C184" s="182">
        <f t="shared" si="16"/>
        <v>58994</v>
      </c>
      <c r="D184" s="182">
        <f t="shared" si="16"/>
        <v>59583</v>
      </c>
      <c r="E184" s="161">
        <v>10.4</v>
      </c>
      <c r="F184" s="187"/>
      <c r="G184" s="2">
        <f t="shared" si="17"/>
        <v>613538</v>
      </c>
      <c r="H184" s="2">
        <f t="shared" si="17"/>
        <v>619663</v>
      </c>
      <c r="I184" s="161">
        <f>$I$154</f>
        <v>11.18</v>
      </c>
      <c r="J184" s="188"/>
      <c r="K184" s="2">
        <f>K212+K240</f>
        <v>666138</v>
      </c>
      <c r="AE184" s="42"/>
    </row>
    <row r="185" spans="1:31">
      <c r="A185" s="1" t="s">
        <v>196</v>
      </c>
      <c r="B185" s="1"/>
      <c r="C185" s="182">
        <f t="shared" si="16"/>
        <v>1172685</v>
      </c>
      <c r="D185" s="182">
        <f t="shared" si="16"/>
        <v>1215298</v>
      </c>
      <c r="E185" s="161">
        <v>0.69</v>
      </c>
      <c r="F185" s="187"/>
      <c r="G185" s="2">
        <f t="shared" si="17"/>
        <v>809153</v>
      </c>
      <c r="H185" s="2">
        <f t="shared" si="17"/>
        <v>838556</v>
      </c>
      <c r="I185" s="161">
        <f>$I$155</f>
        <v>0.78</v>
      </c>
      <c r="J185" s="188"/>
      <c r="K185" s="2">
        <f>K213+K241</f>
        <v>947933</v>
      </c>
      <c r="AE185" s="42"/>
    </row>
    <row r="186" spans="1:31">
      <c r="A186" s="1" t="s">
        <v>198</v>
      </c>
      <c r="B186" s="1"/>
      <c r="C186" s="182">
        <f>SUM(C183:C184)</f>
        <v>204692</v>
      </c>
      <c r="D186" s="182">
        <f>SUM(D183:D184)</f>
        <v>206987</v>
      </c>
      <c r="E186" s="161"/>
      <c r="F186" s="184"/>
      <c r="G186" s="2"/>
      <c r="H186" s="2"/>
      <c r="I186" s="161"/>
      <c r="J186" s="186"/>
      <c r="K186" s="2"/>
      <c r="AE186" s="42"/>
    </row>
    <row r="187" spans="1:31">
      <c r="A187" s="1" t="s">
        <v>199</v>
      </c>
      <c r="B187" s="1"/>
      <c r="C187" s="182">
        <f t="shared" ref="C187:D191" si="18">C215+C243</f>
        <v>760902</v>
      </c>
      <c r="D187" s="182">
        <f t="shared" si="18"/>
        <v>788525</v>
      </c>
      <c r="E187" s="189">
        <v>2.81</v>
      </c>
      <c r="F187" s="186"/>
      <c r="G187" s="2">
        <f t="shared" ref="G187:H191" si="19">G215+G243</f>
        <v>2138135</v>
      </c>
      <c r="H187" s="2">
        <f t="shared" si="19"/>
        <v>2215755</v>
      </c>
      <c r="I187" s="189">
        <f>$I$158</f>
        <v>2.88</v>
      </c>
      <c r="J187" s="186"/>
      <c r="K187" s="2">
        <f>K215+K243</f>
        <v>2270952</v>
      </c>
      <c r="AE187" s="42"/>
    </row>
    <row r="188" spans="1:31">
      <c r="A188" s="1" t="s">
        <v>201</v>
      </c>
      <c r="B188" s="1"/>
      <c r="C188" s="182">
        <f t="shared" si="18"/>
        <v>120473825.22139926</v>
      </c>
      <c r="D188" s="182">
        <f t="shared" si="18"/>
        <v>124824731</v>
      </c>
      <c r="E188" s="162">
        <v>7.5869999999999997</v>
      </c>
      <c r="F188" s="186" t="s">
        <v>178</v>
      </c>
      <c r="G188" s="2">
        <f t="shared" si="19"/>
        <v>9140349</v>
      </c>
      <c r="H188" s="2">
        <f t="shared" si="19"/>
        <v>9470452</v>
      </c>
      <c r="I188" s="162">
        <f>$I$159</f>
        <v>8.0890000000000004</v>
      </c>
      <c r="J188" s="186" t="s">
        <v>178</v>
      </c>
      <c r="K188" s="2">
        <f>K216+K244</f>
        <v>10097072</v>
      </c>
      <c r="AE188" s="42"/>
    </row>
    <row r="189" spans="1:31">
      <c r="A189" s="1" t="s">
        <v>202</v>
      </c>
      <c r="B189" s="1"/>
      <c r="C189" s="182">
        <f t="shared" si="18"/>
        <v>272066960.57318687</v>
      </c>
      <c r="D189" s="182">
        <f t="shared" si="18"/>
        <v>281913580</v>
      </c>
      <c r="E189" s="162">
        <v>5.2370000000000001</v>
      </c>
      <c r="F189" s="186" t="s">
        <v>178</v>
      </c>
      <c r="G189" s="2">
        <f t="shared" si="19"/>
        <v>14248147</v>
      </c>
      <c r="H189" s="2">
        <f t="shared" si="19"/>
        <v>14763814</v>
      </c>
      <c r="I189" s="162">
        <f>$I$160</f>
        <v>5.5839999999999996</v>
      </c>
      <c r="J189" s="186" t="s">
        <v>178</v>
      </c>
      <c r="K189" s="2">
        <f>K217+K245</f>
        <v>15742054</v>
      </c>
      <c r="AE189" s="42"/>
    </row>
    <row r="190" spans="1:31">
      <c r="A190" s="1" t="s">
        <v>203</v>
      </c>
      <c r="B190" s="1"/>
      <c r="C190" s="182">
        <f t="shared" si="18"/>
        <v>116874017.20541383</v>
      </c>
      <c r="D190" s="182">
        <f t="shared" si="18"/>
        <v>121112284</v>
      </c>
      <c r="E190" s="162">
        <v>4.5129999999999999</v>
      </c>
      <c r="F190" s="186" t="s">
        <v>178</v>
      </c>
      <c r="G190" s="2">
        <f t="shared" si="19"/>
        <v>5274524</v>
      </c>
      <c r="H190" s="2">
        <f t="shared" si="19"/>
        <v>5465798</v>
      </c>
      <c r="I190" s="162">
        <f>$I$161</f>
        <v>4.8100000000000005</v>
      </c>
      <c r="J190" s="186" t="s">
        <v>178</v>
      </c>
      <c r="K190" s="2">
        <f>K218+K246</f>
        <v>5825501</v>
      </c>
      <c r="AE190" s="42"/>
    </row>
    <row r="191" spans="1:31">
      <c r="A191" s="1" t="s">
        <v>204</v>
      </c>
      <c r="B191" s="1"/>
      <c r="C191" s="182">
        <f t="shared" si="18"/>
        <v>88035</v>
      </c>
      <c r="D191" s="182">
        <f t="shared" si="18"/>
        <v>91301</v>
      </c>
      <c r="E191" s="193">
        <v>45</v>
      </c>
      <c r="F191" s="184" t="s">
        <v>178</v>
      </c>
      <c r="G191" s="2">
        <f t="shared" si="19"/>
        <v>39616</v>
      </c>
      <c r="H191" s="2">
        <f t="shared" si="19"/>
        <v>41086</v>
      </c>
      <c r="I191" s="193">
        <f>$I$162</f>
        <v>45</v>
      </c>
      <c r="J191" s="186" t="s">
        <v>178</v>
      </c>
      <c r="K191" s="2">
        <f>K219+K247</f>
        <v>41086</v>
      </c>
      <c r="AE191" s="42"/>
    </row>
    <row r="192" spans="1:31">
      <c r="A192" s="194" t="s">
        <v>205</v>
      </c>
      <c r="B192" s="1"/>
      <c r="C192" s="182"/>
      <c r="D192" s="182"/>
      <c r="E192" s="195">
        <v>-0.01</v>
      </c>
      <c r="F192" s="184"/>
      <c r="G192" s="2"/>
      <c r="H192" s="2"/>
      <c r="I192" s="195">
        <f>$I$163</f>
        <v>-0.01</v>
      </c>
      <c r="J192" s="186"/>
      <c r="K192" s="2"/>
      <c r="AE192" s="42"/>
    </row>
    <row r="193" spans="1:31">
      <c r="A193" s="1" t="s">
        <v>194</v>
      </c>
      <c r="B193" s="1"/>
      <c r="C193" s="182">
        <f t="shared" ref="C193:D204" si="20">C221+C249</f>
        <v>48</v>
      </c>
      <c r="D193" s="182">
        <f t="shared" si="20"/>
        <v>49</v>
      </c>
      <c r="E193" s="197">
        <f>E183</f>
        <v>7</v>
      </c>
      <c r="F193" s="184"/>
      <c r="G193" s="2">
        <f t="shared" ref="G193:H204" si="21">G221+G249</f>
        <v>-3</v>
      </c>
      <c r="H193" s="2">
        <f t="shared" si="21"/>
        <v>-3</v>
      </c>
      <c r="I193" s="197">
        <f>I183</f>
        <v>7.53</v>
      </c>
      <c r="J193" s="184"/>
      <c r="K193" s="2">
        <f t="shared" ref="K193:K204" si="22">K221+K249</f>
        <v>-4</v>
      </c>
      <c r="AE193" s="42"/>
    </row>
    <row r="194" spans="1:31">
      <c r="A194" s="1" t="s">
        <v>195</v>
      </c>
      <c r="B194" s="1"/>
      <c r="C194" s="182">
        <f t="shared" si="20"/>
        <v>88</v>
      </c>
      <c r="D194" s="182">
        <f t="shared" si="20"/>
        <v>89</v>
      </c>
      <c r="E194" s="197">
        <f>E184</f>
        <v>10.4</v>
      </c>
      <c r="F194" s="184"/>
      <c r="G194" s="2">
        <f t="shared" si="21"/>
        <v>-9</v>
      </c>
      <c r="H194" s="2">
        <f t="shared" si="21"/>
        <v>-9</v>
      </c>
      <c r="I194" s="197">
        <f>I184</f>
        <v>11.18</v>
      </c>
      <c r="J194" s="184"/>
      <c r="K194" s="2">
        <f t="shared" si="22"/>
        <v>-10</v>
      </c>
      <c r="AE194" s="42"/>
    </row>
    <row r="195" spans="1:31">
      <c r="A195" s="1" t="s">
        <v>206</v>
      </c>
      <c r="B195" s="1"/>
      <c r="C195" s="182">
        <f t="shared" si="20"/>
        <v>1730</v>
      </c>
      <c r="D195" s="182">
        <f t="shared" si="20"/>
        <v>1792</v>
      </c>
      <c r="E195" s="197">
        <f>E185</f>
        <v>0.69</v>
      </c>
      <c r="F195" s="184"/>
      <c r="G195" s="2">
        <f t="shared" si="21"/>
        <v>-12</v>
      </c>
      <c r="H195" s="2">
        <f t="shared" si="21"/>
        <v>-12</v>
      </c>
      <c r="I195" s="197">
        <f>I185</f>
        <v>0.78</v>
      </c>
      <c r="J195" s="184"/>
      <c r="K195" s="2">
        <f t="shared" si="22"/>
        <v>-14</v>
      </c>
      <c r="AE195" s="42"/>
    </row>
    <row r="196" spans="1:31">
      <c r="A196" s="1" t="s">
        <v>207</v>
      </c>
      <c r="B196" s="1"/>
      <c r="C196" s="182">
        <f t="shared" si="20"/>
        <v>696</v>
      </c>
      <c r="D196" s="182">
        <f t="shared" si="20"/>
        <v>721</v>
      </c>
      <c r="E196" s="197">
        <f>E187</f>
        <v>2.81</v>
      </c>
      <c r="F196" s="186"/>
      <c r="G196" s="2">
        <f t="shared" si="21"/>
        <v>-20</v>
      </c>
      <c r="H196" s="2">
        <f t="shared" si="21"/>
        <v>-20</v>
      </c>
      <c r="I196" s="197">
        <f>I187</f>
        <v>2.88</v>
      </c>
      <c r="J196" s="186"/>
      <c r="K196" s="2">
        <f t="shared" si="22"/>
        <v>-21</v>
      </c>
      <c r="AE196" s="42"/>
    </row>
    <row r="197" spans="1:31">
      <c r="A197" s="1" t="s">
        <v>209</v>
      </c>
      <c r="B197" s="1"/>
      <c r="C197" s="182">
        <f t="shared" si="20"/>
        <v>80560</v>
      </c>
      <c r="D197" s="182">
        <f t="shared" si="20"/>
        <v>83451</v>
      </c>
      <c r="E197" s="198">
        <f>E188</f>
        <v>7.5869999999999997</v>
      </c>
      <c r="F197" s="186" t="s">
        <v>178</v>
      </c>
      <c r="G197" s="2">
        <f t="shared" si="21"/>
        <v>-61</v>
      </c>
      <c r="H197" s="2">
        <f t="shared" si="21"/>
        <v>-63</v>
      </c>
      <c r="I197" s="198">
        <f>I188</f>
        <v>8.0890000000000004</v>
      </c>
      <c r="J197" s="186" t="s">
        <v>178</v>
      </c>
      <c r="K197" s="2">
        <f t="shared" si="22"/>
        <v>-68</v>
      </c>
      <c r="AE197" s="42"/>
    </row>
    <row r="198" spans="1:31">
      <c r="A198" s="1" t="s">
        <v>202</v>
      </c>
      <c r="B198" s="1"/>
      <c r="C198" s="182">
        <f t="shared" si="20"/>
        <v>247430</v>
      </c>
      <c r="D198" s="182">
        <f t="shared" si="20"/>
        <v>256310</v>
      </c>
      <c r="E198" s="198">
        <f>E189</f>
        <v>5.2370000000000001</v>
      </c>
      <c r="F198" s="186" t="s">
        <v>178</v>
      </c>
      <c r="G198" s="2">
        <f t="shared" si="21"/>
        <v>-130</v>
      </c>
      <c r="H198" s="2">
        <f t="shared" si="21"/>
        <v>-134</v>
      </c>
      <c r="I198" s="198">
        <f>I189</f>
        <v>5.5839999999999996</v>
      </c>
      <c r="J198" s="186" t="s">
        <v>178</v>
      </c>
      <c r="K198" s="2">
        <f t="shared" si="22"/>
        <v>-143</v>
      </c>
      <c r="AE198" s="42"/>
    </row>
    <row r="199" spans="1:31">
      <c r="A199" s="1" t="s">
        <v>203</v>
      </c>
      <c r="B199" s="1"/>
      <c r="C199" s="182">
        <f t="shared" si="20"/>
        <v>46700</v>
      </c>
      <c r="D199" s="182">
        <f t="shared" si="20"/>
        <v>48376</v>
      </c>
      <c r="E199" s="198">
        <f>E190</f>
        <v>4.5129999999999999</v>
      </c>
      <c r="F199" s="186" t="s">
        <v>178</v>
      </c>
      <c r="G199" s="2">
        <f t="shared" si="21"/>
        <v>-21</v>
      </c>
      <c r="H199" s="2">
        <f t="shared" si="21"/>
        <v>-22</v>
      </c>
      <c r="I199" s="198">
        <f>I190</f>
        <v>4.8100000000000005</v>
      </c>
      <c r="J199" s="186" t="s">
        <v>178</v>
      </c>
      <c r="K199" s="2">
        <f t="shared" si="22"/>
        <v>-23</v>
      </c>
      <c r="AE199" s="42"/>
    </row>
    <row r="200" spans="1:31">
      <c r="A200" s="1" t="s">
        <v>204</v>
      </c>
      <c r="B200" s="1"/>
      <c r="C200" s="182">
        <f t="shared" si="20"/>
        <v>2329</v>
      </c>
      <c r="D200" s="182">
        <f t="shared" si="20"/>
        <v>2413</v>
      </c>
      <c r="E200" s="199">
        <f>E191</f>
        <v>45</v>
      </c>
      <c r="F200" s="186" t="s">
        <v>178</v>
      </c>
      <c r="G200" s="2">
        <f t="shared" si="21"/>
        <v>-10</v>
      </c>
      <c r="H200" s="2">
        <f t="shared" si="21"/>
        <v>-11</v>
      </c>
      <c r="I200" s="199">
        <f>I191</f>
        <v>45</v>
      </c>
      <c r="J200" s="186" t="s">
        <v>178</v>
      </c>
      <c r="K200" s="2">
        <f t="shared" si="22"/>
        <v>-11</v>
      </c>
      <c r="AE200" s="42"/>
    </row>
    <row r="201" spans="1:31">
      <c r="A201" s="1" t="s">
        <v>211</v>
      </c>
      <c r="B201" s="1"/>
      <c r="C201" s="182">
        <f t="shared" si="20"/>
        <v>103</v>
      </c>
      <c r="D201" s="182">
        <f t="shared" si="20"/>
        <v>107</v>
      </c>
      <c r="E201" s="200">
        <v>60</v>
      </c>
      <c r="F201" s="184"/>
      <c r="G201" s="2">
        <f t="shared" si="21"/>
        <v>6180</v>
      </c>
      <c r="H201" s="2">
        <f t="shared" si="21"/>
        <v>6420</v>
      </c>
      <c r="I201" s="200">
        <f>$I$172</f>
        <v>60</v>
      </c>
      <c r="J201" s="186"/>
      <c r="K201" s="2">
        <f t="shared" si="22"/>
        <v>6420</v>
      </c>
      <c r="AE201" s="42"/>
    </row>
    <row r="202" spans="1:31">
      <c r="A202" s="1" t="s">
        <v>212</v>
      </c>
      <c r="B202" s="1"/>
      <c r="C202" s="182">
        <f t="shared" si="20"/>
        <v>2204</v>
      </c>
      <c r="D202" s="182">
        <f t="shared" si="20"/>
        <v>2283</v>
      </c>
      <c r="E202" s="202">
        <v>-30</v>
      </c>
      <c r="F202" s="184" t="s">
        <v>178</v>
      </c>
      <c r="G202" s="2">
        <f t="shared" si="21"/>
        <v>-661</v>
      </c>
      <c r="H202" s="2">
        <f t="shared" si="21"/>
        <v>-685</v>
      </c>
      <c r="I202" s="202">
        <f>$I$173</f>
        <v>-30</v>
      </c>
      <c r="J202" s="186" t="s">
        <v>178</v>
      </c>
      <c r="K202" s="2">
        <f t="shared" si="22"/>
        <v>-685</v>
      </c>
      <c r="AE202" s="42"/>
    </row>
    <row r="203" spans="1:31">
      <c r="A203" s="1" t="s">
        <v>185</v>
      </c>
      <c r="B203" s="127"/>
      <c r="C203" s="182">
        <f t="shared" si="20"/>
        <v>509414803</v>
      </c>
      <c r="D203" s="182">
        <f t="shared" si="20"/>
        <v>527850595.24192303</v>
      </c>
      <c r="E203" s="193"/>
      <c r="F203" s="2"/>
      <c r="G203" s="2">
        <f t="shared" si="21"/>
        <v>33288601</v>
      </c>
      <c r="H203" s="2">
        <f t="shared" si="21"/>
        <v>34452413</v>
      </c>
      <c r="I203" s="193"/>
      <c r="J203" s="186"/>
      <c r="K203" s="2">
        <f t="shared" si="22"/>
        <v>36706129</v>
      </c>
      <c r="AE203" s="42"/>
    </row>
    <row r="204" spans="1:31">
      <c r="A204" s="1" t="s">
        <v>167</v>
      </c>
      <c r="B204" s="210"/>
      <c r="C204" s="203">
        <f t="shared" si="20"/>
        <v>1731204.4322117302</v>
      </c>
      <c r="D204" s="203">
        <f t="shared" si="20"/>
        <v>0</v>
      </c>
      <c r="E204" s="172"/>
      <c r="F204" s="172"/>
      <c r="G204" s="204">
        <f t="shared" si="21"/>
        <v>97782.266337401146</v>
      </c>
      <c r="H204" s="204">
        <f t="shared" si="21"/>
        <v>0</v>
      </c>
      <c r="I204" s="172"/>
      <c r="J204" s="172"/>
      <c r="K204" s="204">
        <f t="shared" si="22"/>
        <v>0</v>
      </c>
      <c r="M204" s="152"/>
      <c r="N204" s="152"/>
      <c r="O204" s="153"/>
      <c r="AE204" s="42"/>
    </row>
    <row r="205" spans="1:31" ht="16.5" thickBot="1">
      <c r="A205" s="1" t="s">
        <v>186</v>
      </c>
      <c r="B205" s="1"/>
      <c r="C205" s="174">
        <f>SUM(C203:C204)</f>
        <v>511146007.43221176</v>
      </c>
      <c r="D205" s="174">
        <f>SUM(D203:D204)</f>
        <v>527850595.24192303</v>
      </c>
      <c r="E205" s="205"/>
      <c r="F205" s="206"/>
      <c r="G205" s="207">
        <f>G203+G204</f>
        <v>33386383.266337402</v>
      </c>
      <c r="H205" s="207">
        <f>H203+H204</f>
        <v>34452413</v>
      </c>
      <c r="I205" s="205"/>
      <c r="J205" s="208"/>
      <c r="K205" s="207">
        <f>K203+K204</f>
        <v>36706129</v>
      </c>
      <c r="M205" s="154"/>
      <c r="N205" s="154"/>
      <c r="O205" s="155"/>
      <c r="AE205" s="42"/>
    </row>
    <row r="206" spans="1:31" ht="16.5" thickTop="1">
      <c r="A206" s="1"/>
      <c r="B206" s="1"/>
      <c r="C206" s="12"/>
      <c r="D206" s="12"/>
      <c r="E206" s="200"/>
      <c r="F206" s="2"/>
      <c r="G206" s="2"/>
      <c r="H206" s="2"/>
      <c r="I206" s="200"/>
      <c r="J206" s="1"/>
      <c r="K206" s="2" t="s">
        <v>13</v>
      </c>
      <c r="AE206" s="42"/>
    </row>
    <row r="207" spans="1:31">
      <c r="A207" s="156" t="s">
        <v>191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AE207" s="42"/>
    </row>
    <row r="208" spans="1:31">
      <c r="A208" s="1" t="s">
        <v>215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AE208" s="42"/>
    </row>
    <row r="209" spans="1:31">
      <c r="A209" s="211" t="s">
        <v>216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AE209" s="42"/>
    </row>
    <row r="210" spans="1:31">
      <c r="A210" s="1" t="s">
        <v>197</v>
      </c>
      <c r="B210" s="1"/>
      <c r="C210" s="182"/>
      <c r="D210" s="182"/>
      <c r="E210" s="2"/>
      <c r="F210" s="2"/>
      <c r="G210" s="1"/>
      <c r="H210" s="1"/>
      <c r="I210" s="2"/>
      <c r="J210" s="1"/>
      <c r="K210" s="1"/>
      <c r="AE210" s="42"/>
    </row>
    <row r="211" spans="1:31">
      <c r="A211" s="1" t="s">
        <v>194</v>
      </c>
      <c r="B211" s="1"/>
      <c r="C211" s="182">
        <f>31554+48+111709+1+8+12</f>
        <v>143332</v>
      </c>
      <c r="D211" s="182">
        <v>145099</v>
      </c>
      <c r="E211" s="161">
        <v>7</v>
      </c>
      <c r="F211" s="184"/>
      <c r="G211" s="2">
        <f>ROUND(E211*$C211,0)</f>
        <v>1003324</v>
      </c>
      <c r="H211" s="2">
        <f>ROUND(E211*$D211,0)</f>
        <v>1015693</v>
      </c>
      <c r="I211" s="161">
        <f>$I$153</f>
        <v>7.53</v>
      </c>
      <c r="J211" s="186"/>
      <c r="K211" s="2">
        <f>ROUND(I211*$D211,0)</f>
        <v>1092595</v>
      </c>
      <c r="AE211" s="42"/>
    </row>
    <row r="212" spans="1:31">
      <c r="A212" s="1" t="s">
        <v>195</v>
      </c>
      <c r="B212" s="1"/>
      <c r="C212" s="182">
        <f>12+7315+28+33+55+48042</f>
        <v>55485</v>
      </c>
      <c r="D212" s="182">
        <v>56165</v>
      </c>
      <c r="E212" s="161">
        <v>10.4</v>
      </c>
      <c r="F212" s="187"/>
      <c r="G212" s="2">
        <f>ROUND(E212*$C212,0)</f>
        <v>577044</v>
      </c>
      <c r="H212" s="2">
        <f>ROUND(E212*$D212,0)</f>
        <v>584116</v>
      </c>
      <c r="I212" s="161">
        <f>$I$154</f>
        <v>11.18</v>
      </c>
      <c r="J212" s="188"/>
      <c r="K212" s="2">
        <f>ROUND(I212*$D212,0)</f>
        <v>627925</v>
      </c>
      <c r="AE212" s="42"/>
    </row>
    <row r="213" spans="1:31">
      <c r="A213" s="1" t="s">
        <v>196</v>
      </c>
      <c r="B213" s="1"/>
      <c r="C213" s="182">
        <f>19153+70113+126+247835+559+301+676+759372</f>
        <v>1098135</v>
      </c>
      <c r="D213" s="182">
        <f>ROUND(($D$231/'Blocking - detail'!$C$231)*C213,0)</f>
        <v>1137546</v>
      </c>
      <c r="E213" s="161">
        <v>0.69</v>
      </c>
      <c r="F213" s="187"/>
      <c r="G213" s="2">
        <f>ROUND(E213*$C213,0)</f>
        <v>757713</v>
      </c>
      <c r="H213" s="2">
        <f>ROUND(E213*$D213,0)</f>
        <v>784907</v>
      </c>
      <c r="I213" s="161">
        <f>$I$155</f>
        <v>0.78</v>
      </c>
      <c r="J213" s="188"/>
      <c r="K213" s="2">
        <f>ROUND(I213*$D213,0)</f>
        <v>887286</v>
      </c>
      <c r="AE213" s="42"/>
    </row>
    <row r="214" spans="1:31">
      <c r="A214" s="1" t="s">
        <v>198</v>
      </c>
      <c r="B214" s="1"/>
      <c r="C214" s="182">
        <f>SUM(C211:C212)</f>
        <v>198817</v>
      </c>
      <c r="D214" s="182">
        <f>SUM(D211:D212)</f>
        <v>201264</v>
      </c>
      <c r="E214" s="161"/>
      <c r="F214" s="184"/>
      <c r="G214" s="2"/>
      <c r="H214" s="2"/>
      <c r="I214" s="161"/>
      <c r="J214" s="186"/>
      <c r="K214" s="2"/>
      <c r="AE214" s="42"/>
    </row>
    <row r="215" spans="1:31">
      <c r="A215" s="1" t="s">
        <v>199</v>
      </c>
      <c r="B215" s="1"/>
      <c r="C215" s="182">
        <f>11734+41601+80+143199+253+241+375+518943</f>
        <v>716426</v>
      </c>
      <c r="D215" s="182">
        <f>ROUND(($D$231/'Blocking - detail'!$C$231)*C215,0)</f>
        <v>742138</v>
      </c>
      <c r="E215" s="189">
        <v>2.81</v>
      </c>
      <c r="F215" s="186"/>
      <c r="G215" s="2">
        <f>ROUND(E215*$C215,0)</f>
        <v>2013157</v>
      </c>
      <c r="H215" s="2">
        <f>ROUND(E215*$D215,0)</f>
        <v>2085408</v>
      </c>
      <c r="I215" s="189">
        <f>$I$158</f>
        <v>2.88</v>
      </c>
      <c r="J215" s="186"/>
      <c r="K215" s="2">
        <f>ROUND(I215*$D215,0)</f>
        <v>2137357</v>
      </c>
      <c r="AE215" s="42"/>
    </row>
    <row r="216" spans="1:31">
      <c r="A216" s="1" t="s">
        <v>201</v>
      </c>
      <c r="B216" s="182"/>
      <c r="C216" s="182">
        <v>116624011.22139926</v>
      </c>
      <c r="D216" s="182">
        <f>ROUND(($D$231/$C$231)*C216,0)</f>
        <v>120809544</v>
      </c>
      <c r="E216" s="162">
        <v>7.5869999999999997</v>
      </c>
      <c r="F216" s="186" t="s">
        <v>178</v>
      </c>
      <c r="G216" s="2">
        <f>ROUND(E216*$C216/100,0)</f>
        <v>8848264</v>
      </c>
      <c r="H216" s="2">
        <f>ROUND(E216*$D216/100,0)</f>
        <v>9165820</v>
      </c>
      <c r="I216" s="162">
        <f>$I$159</f>
        <v>8.0890000000000004</v>
      </c>
      <c r="J216" s="186" t="s">
        <v>178</v>
      </c>
      <c r="K216" s="2">
        <f>ROUND(I216*$D216/100,0)</f>
        <v>9772284</v>
      </c>
      <c r="M216" s="48"/>
      <c r="N216" s="48"/>
      <c r="AE216" s="42"/>
    </row>
    <row r="217" spans="1:31">
      <c r="A217" s="1" t="s">
        <v>202</v>
      </c>
      <c r="B217" s="182"/>
      <c r="C217" s="182">
        <v>260410667.5731869</v>
      </c>
      <c r="D217" s="182">
        <f>ROUND(($D$231/'Blocking - detail'!$C$231)*C217,0)</f>
        <v>269756577</v>
      </c>
      <c r="E217" s="162">
        <v>5.2370000000000001</v>
      </c>
      <c r="F217" s="186" t="s">
        <v>178</v>
      </c>
      <c r="G217" s="2">
        <f>ROUND(E217*$C217/100,0)</f>
        <v>13637707</v>
      </c>
      <c r="H217" s="2">
        <f>ROUND(E217*$D217/100,0)</f>
        <v>14127152</v>
      </c>
      <c r="I217" s="162">
        <f>$I$160</f>
        <v>5.5839999999999996</v>
      </c>
      <c r="J217" s="186" t="s">
        <v>178</v>
      </c>
      <c r="K217" s="2">
        <f>ROUND(I217*$D217/100,0)</f>
        <v>15063207</v>
      </c>
      <c r="M217" s="48"/>
      <c r="N217" s="48"/>
      <c r="AE217" s="42"/>
    </row>
    <row r="218" spans="1:31">
      <c r="A218" s="1" t="s">
        <v>203</v>
      </c>
      <c r="B218" s="182"/>
      <c r="C218" s="182">
        <v>110681660.20541383</v>
      </c>
      <c r="D218" s="182">
        <f>ROUND(($D$231/'Blocking - detail'!$C$231)*C218,0)</f>
        <v>114653927</v>
      </c>
      <c r="E218" s="162">
        <v>4.5129999999999999</v>
      </c>
      <c r="F218" s="186" t="s">
        <v>178</v>
      </c>
      <c r="G218" s="2">
        <f>ROUND(E218*$C218/100,0)</f>
        <v>4995063</v>
      </c>
      <c r="H218" s="2">
        <f>ROUND(E218*$D218/100,0)</f>
        <v>5174332</v>
      </c>
      <c r="I218" s="162">
        <f>$I$161</f>
        <v>4.8100000000000005</v>
      </c>
      <c r="J218" s="186" t="s">
        <v>178</v>
      </c>
      <c r="K218" s="2">
        <f>ROUND(I218*$D218/100,0)</f>
        <v>5514854</v>
      </c>
      <c r="M218" s="48"/>
      <c r="N218" s="48"/>
      <c r="AE218" s="42"/>
    </row>
    <row r="219" spans="1:31">
      <c r="A219" s="1" t="s">
        <v>204</v>
      </c>
      <c r="B219" s="12"/>
      <c r="C219" s="182">
        <f>1+8573+480+2+1+2328+61584</f>
        <v>72969</v>
      </c>
      <c r="D219" s="182">
        <f>ROUND(($D$231/'Blocking - detail'!$C$231)*C219,0)</f>
        <v>75588</v>
      </c>
      <c r="E219" s="193">
        <v>45</v>
      </c>
      <c r="F219" s="184" t="s">
        <v>178</v>
      </c>
      <c r="G219" s="2">
        <f>ROUND(E219*$C219/100,0)</f>
        <v>32836</v>
      </c>
      <c r="H219" s="2">
        <f>ROUND(E219*$D219/100,0)</f>
        <v>34015</v>
      </c>
      <c r="I219" s="193">
        <f>$I$162</f>
        <v>45</v>
      </c>
      <c r="J219" s="186" t="s">
        <v>178</v>
      </c>
      <c r="K219" s="2">
        <f>ROUND(I219*$D219/100,0)</f>
        <v>34015</v>
      </c>
      <c r="AE219" s="42"/>
    </row>
    <row r="220" spans="1:31">
      <c r="A220" s="194" t="s">
        <v>205</v>
      </c>
      <c r="B220" s="12"/>
      <c r="C220" s="182"/>
      <c r="D220" s="182"/>
      <c r="E220" s="195">
        <v>-0.01</v>
      </c>
      <c r="F220" s="184"/>
      <c r="G220" s="2"/>
      <c r="H220" s="2"/>
      <c r="I220" s="195">
        <f>$I$163</f>
        <v>-0.01</v>
      </c>
      <c r="J220" s="186"/>
      <c r="K220" s="2"/>
      <c r="AE220" s="42"/>
    </row>
    <row r="221" spans="1:31">
      <c r="A221" s="1" t="s">
        <v>194</v>
      </c>
      <c r="B221" s="1"/>
      <c r="C221" s="182">
        <f>48</f>
        <v>48</v>
      </c>
      <c r="D221" s="182">
        <v>49</v>
      </c>
      <c r="E221" s="197">
        <f>E211</f>
        <v>7</v>
      </c>
      <c r="F221" s="184"/>
      <c r="G221" s="2">
        <f>-ROUND(E221*$C221/100,0)</f>
        <v>-3</v>
      </c>
      <c r="H221" s="2">
        <f>-ROUND(E221*$D221/100,0)</f>
        <v>-3</v>
      </c>
      <c r="I221" s="197">
        <f>I211</f>
        <v>7.53</v>
      </c>
      <c r="J221" s="184"/>
      <c r="K221" s="2">
        <f>-ROUND(I221*$D221/100,0)</f>
        <v>-4</v>
      </c>
      <c r="AE221" s="42"/>
    </row>
    <row r="222" spans="1:31">
      <c r="A222" s="1" t="s">
        <v>195</v>
      </c>
      <c r="B222" s="1"/>
      <c r="C222" s="182">
        <f>33+55</f>
        <v>88</v>
      </c>
      <c r="D222" s="182">
        <v>89</v>
      </c>
      <c r="E222" s="197">
        <f>E212</f>
        <v>10.4</v>
      </c>
      <c r="F222" s="184"/>
      <c r="G222" s="2">
        <f>-ROUND(E222*$C222/100,0)</f>
        <v>-9</v>
      </c>
      <c r="H222" s="2">
        <f>-ROUND(E222*$D222/100,0)</f>
        <v>-9</v>
      </c>
      <c r="I222" s="197">
        <f>I212</f>
        <v>11.18</v>
      </c>
      <c r="J222" s="184"/>
      <c r="K222" s="2">
        <f>-ROUND(I222*$D222/100,0)</f>
        <v>-10</v>
      </c>
      <c r="AE222" s="42"/>
    </row>
    <row r="223" spans="1:31">
      <c r="A223" s="1" t="s">
        <v>206</v>
      </c>
      <c r="B223" s="1"/>
      <c r="C223" s="182">
        <f>465+347+918</f>
        <v>1730</v>
      </c>
      <c r="D223" s="182">
        <f>ROUND(($D$231/'Blocking - detail'!$C$231)*C223,0)</f>
        <v>1792</v>
      </c>
      <c r="E223" s="197">
        <f>E213</f>
        <v>0.69</v>
      </c>
      <c r="F223" s="184"/>
      <c r="G223" s="2">
        <f>-ROUND(E223*$C223/100,0)</f>
        <v>-12</v>
      </c>
      <c r="H223" s="2">
        <f>-ROUND(E223*$D223/100,0)</f>
        <v>-12</v>
      </c>
      <c r="I223" s="197">
        <f>I213</f>
        <v>0.78</v>
      </c>
      <c r="J223" s="184"/>
      <c r="K223" s="2">
        <f>-ROUND(I223*$D223/100,0)</f>
        <v>-14</v>
      </c>
      <c r="AE223" s="42"/>
    </row>
    <row r="224" spans="1:31">
      <c r="A224" s="1" t="s">
        <v>217</v>
      </c>
      <c r="B224" s="1"/>
      <c r="C224" s="182">
        <f>80+241+375</f>
        <v>696</v>
      </c>
      <c r="D224" s="182">
        <f>ROUND(($D$231/'Blocking - detail'!$C$231)*C224,0)</f>
        <v>721</v>
      </c>
      <c r="E224" s="197">
        <f>E215</f>
        <v>2.81</v>
      </c>
      <c r="F224" s="186"/>
      <c r="G224" s="2">
        <f>-ROUND(E224*$C224/100,0)</f>
        <v>-20</v>
      </c>
      <c r="H224" s="2">
        <f>-ROUND(E224*$D224/100,0)</f>
        <v>-20</v>
      </c>
      <c r="I224" s="197">
        <f>I215</f>
        <v>2.88</v>
      </c>
      <c r="J224" s="186"/>
      <c r="K224" s="2">
        <f>-ROUND(I224*$D224/100,0)</f>
        <v>-21</v>
      </c>
      <c r="AE224" s="42"/>
    </row>
    <row r="225" spans="1:31">
      <c r="A225" s="1" t="s">
        <v>209</v>
      </c>
      <c r="B225" s="1"/>
      <c r="C225" s="182">
        <f>48100+13460+19000</f>
        <v>80560</v>
      </c>
      <c r="D225" s="182">
        <f>ROUND(($D$231/'Blocking - detail'!$C$231)*C225,0)</f>
        <v>83451</v>
      </c>
      <c r="E225" s="198">
        <f>E216</f>
        <v>7.5869999999999997</v>
      </c>
      <c r="F225" s="186" t="s">
        <v>178</v>
      </c>
      <c r="G225" s="2">
        <f>ROUND(E225*$C225/100*E220,0)</f>
        <v>-61</v>
      </c>
      <c r="H225" s="2">
        <f>ROUND(E225*$D225/100*E220,0)</f>
        <v>-63</v>
      </c>
      <c r="I225" s="198">
        <f>I216</f>
        <v>8.0890000000000004</v>
      </c>
      <c r="J225" s="186" t="s">
        <v>178</v>
      </c>
      <c r="K225" s="2">
        <f>ROUND(I225*$D225/100*I220,0)</f>
        <v>-68</v>
      </c>
      <c r="AE225" s="42"/>
    </row>
    <row r="226" spans="1:31">
      <c r="A226" s="1" t="s">
        <v>202</v>
      </c>
      <c r="B226" s="1"/>
      <c r="C226" s="182">
        <f>90010+71720+85700</f>
        <v>247430</v>
      </c>
      <c r="D226" s="182">
        <f>ROUND(($D$231/'Blocking - detail'!$C$231)*C226,0)</f>
        <v>256310</v>
      </c>
      <c r="E226" s="198">
        <f>E217</f>
        <v>5.2370000000000001</v>
      </c>
      <c r="F226" s="186" t="s">
        <v>178</v>
      </c>
      <c r="G226" s="2">
        <f>ROUND(E226*$C226/100*E220,0)</f>
        <v>-130</v>
      </c>
      <c r="H226" s="2">
        <f>ROUND(E226*$D226/100*E220,0)</f>
        <v>-134</v>
      </c>
      <c r="I226" s="198">
        <f>I217</f>
        <v>5.5839999999999996</v>
      </c>
      <c r="J226" s="186" t="s">
        <v>178</v>
      </c>
      <c r="K226" s="2">
        <f>ROUND(I226*$D226/100*I220,0)</f>
        <v>-143</v>
      </c>
      <c r="N226" s="3" t="s">
        <v>13</v>
      </c>
      <c r="AE226" s="42"/>
    </row>
    <row r="227" spans="1:31">
      <c r="A227" s="1" t="s">
        <v>203</v>
      </c>
      <c r="B227" s="1"/>
      <c r="C227" s="182">
        <f>138110+124140+112440-C225-C226</f>
        <v>46700</v>
      </c>
      <c r="D227" s="182">
        <f>ROUND(($D$231/'Blocking - detail'!$C$231)*C227,0)</f>
        <v>48376</v>
      </c>
      <c r="E227" s="198">
        <f>E218</f>
        <v>4.5129999999999999</v>
      </c>
      <c r="F227" s="186" t="s">
        <v>178</v>
      </c>
      <c r="G227" s="2">
        <f>ROUND(E227*$C227/100*E220,0)</f>
        <v>-21</v>
      </c>
      <c r="H227" s="2">
        <f>ROUND(E227*$D227/100*E220,0)</f>
        <v>-22</v>
      </c>
      <c r="I227" s="198">
        <f>I218</f>
        <v>4.8100000000000005</v>
      </c>
      <c r="J227" s="186" t="s">
        <v>178</v>
      </c>
      <c r="K227" s="2">
        <f>ROUND(I227*$D227/100*I220,0)</f>
        <v>-23</v>
      </c>
      <c r="AE227" s="42"/>
    </row>
    <row r="228" spans="1:31">
      <c r="A228" s="1" t="s">
        <v>204</v>
      </c>
      <c r="B228" s="1"/>
      <c r="C228" s="182">
        <f>1+2328</f>
        <v>2329</v>
      </c>
      <c r="D228" s="182">
        <f>ROUND(($D$231/'Blocking - detail'!$C$231)*C228,0)</f>
        <v>2413</v>
      </c>
      <c r="E228" s="199">
        <f>E219</f>
        <v>45</v>
      </c>
      <c r="F228" s="186" t="s">
        <v>178</v>
      </c>
      <c r="G228" s="2">
        <f>ROUND(E228*$C228/100*E220,0)</f>
        <v>-10</v>
      </c>
      <c r="H228" s="2">
        <f>ROUND(E228*$D228/100*E220,0)</f>
        <v>-11</v>
      </c>
      <c r="I228" s="199">
        <f>I219</f>
        <v>45</v>
      </c>
      <c r="J228" s="186" t="s">
        <v>178</v>
      </c>
      <c r="K228" s="2">
        <f>ROUND(I228*$D228/100*I220,0)</f>
        <v>-11</v>
      </c>
      <c r="AE228" s="42"/>
    </row>
    <row r="229" spans="1:31">
      <c r="A229" s="1" t="s">
        <v>211</v>
      </c>
      <c r="B229" s="1"/>
      <c r="C229" s="182">
        <f>48+55</f>
        <v>103</v>
      </c>
      <c r="D229" s="182">
        <f>ROUND(($D$231/'Blocking - detail'!$C$231)*C229,0)</f>
        <v>107</v>
      </c>
      <c r="E229" s="200">
        <v>60</v>
      </c>
      <c r="F229" s="184"/>
      <c r="G229" s="2">
        <f>ROUND(E229*$C229,0)</f>
        <v>6180</v>
      </c>
      <c r="H229" s="2">
        <f>ROUND(E229*$D229,0)</f>
        <v>6420</v>
      </c>
      <c r="I229" s="200">
        <f>$I$172</f>
        <v>60</v>
      </c>
      <c r="J229" s="186"/>
      <c r="K229" s="2">
        <f>ROUND(I229*$D229,0)</f>
        <v>6420</v>
      </c>
      <c r="AE229" s="42"/>
    </row>
    <row r="230" spans="1:31">
      <c r="A230" s="1" t="s">
        <v>212</v>
      </c>
      <c r="B230" s="1"/>
      <c r="C230" s="182">
        <f>84+465+737+918</f>
        <v>2204</v>
      </c>
      <c r="D230" s="182">
        <f>ROUND(($D$231/'Blocking - detail'!$C$231)*C230,0)</f>
        <v>2283</v>
      </c>
      <c r="E230" s="202">
        <v>-30</v>
      </c>
      <c r="F230" s="184" t="s">
        <v>178</v>
      </c>
      <c r="G230" s="2">
        <f>ROUND(E230*$C230/100,0)</f>
        <v>-661</v>
      </c>
      <c r="H230" s="2">
        <f>ROUND(E230*$D230/100,0)</f>
        <v>-685</v>
      </c>
      <c r="I230" s="202">
        <f>$I$173</f>
        <v>-30</v>
      </c>
      <c r="J230" s="186" t="s">
        <v>178</v>
      </c>
      <c r="K230" s="2">
        <f>ROUND(I230*$D230/100,0)</f>
        <v>-685</v>
      </c>
      <c r="AE230" s="42"/>
    </row>
    <row r="231" spans="1:31">
      <c r="A231" s="1" t="s">
        <v>185</v>
      </c>
      <c r="B231" s="170"/>
      <c r="C231" s="182">
        <f>SUM(C216:C218)</f>
        <v>487716339</v>
      </c>
      <c r="D231" s="182">
        <v>505220047.82638693</v>
      </c>
      <c r="E231" s="193"/>
      <c r="F231" s="2"/>
      <c r="G231" s="2">
        <f>SUM(G211:G230)</f>
        <v>31870361</v>
      </c>
      <c r="H231" s="2">
        <f>SUM(H211:H230)</f>
        <v>32976904</v>
      </c>
      <c r="I231" s="193"/>
      <c r="J231" s="186"/>
      <c r="K231" s="2">
        <f>SUM(K211:K230)</f>
        <v>35134964</v>
      </c>
      <c r="M231" s="42"/>
      <c r="N231" s="42"/>
      <c r="AE231" s="42"/>
    </row>
    <row r="232" spans="1:31">
      <c r="A232" s="1" t="s">
        <v>167</v>
      </c>
      <c r="B232" s="1"/>
      <c r="C232" s="212">
        <v>2221504.1418108731</v>
      </c>
      <c r="D232" s="203">
        <v>0</v>
      </c>
      <c r="E232" s="172"/>
      <c r="F232" s="172"/>
      <c r="G232" s="204">
        <v>124957.07854881753</v>
      </c>
      <c r="H232" s="204">
        <v>0</v>
      </c>
      <c r="I232" s="172"/>
      <c r="J232" s="172"/>
      <c r="K232" s="204">
        <v>0</v>
      </c>
      <c r="M232" s="152"/>
      <c r="N232" s="152"/>
      <c r="O232" s="153"/>
      <c r="AE232" s="42"/>
    </row>
    <row r="233" spans="1:31" ht="16.5" thickBot="1">
      <c r="A233" s="1" t="s">
        <v>186</v>
      </c>
      <c r="B233" s="1"/>
      <c r="C233" s="174">
        <f>SUM(C231:C232)</f>
        <v>489937843.14181089</v>
      </c>
      <c r="D233" s="174">
        <f>SUM(D231:D232)</f>
        <v>505220047.82638693</v>
      </c>
      <c r="E233" s="205"/>
      <c r="F233" s="206"/>
      <c r="G233" s="207">
        <f>G231+G232</f>
        <v>31995318.078548819</v>
      </c>
      <c r="H233" s="207">
        <f>H231+H232</f>
        <v>32976904</v>
      </c>
      <c r="I233" s="205"/>
      <c r="J233" s="208"/>
      <c r="K233" s="207">
        <f>K231+K232</f>
        <v>35134964</v>
      </c>
      <c r="M233" s="154"/>
      <c r="N233" s="154"/>
      <c r="O233" s="155"/>
      <c r="AE233" s="42"/>
    </row>
    <row r="234" spans="1:31" ht="16.5" thickTop="1">
      <c r="A234" s="1"/>
      <c r="B234" s="1"/>
      <c r="C234" s="12"/>
      <c r="D234" s="12"/>
      <c r="E234" s="200"/>
      <c r="F234" s="2"/>
      <c r="G234" s="2"/>
      <c r="H234" s="2"/>
      <c r="I234" s="200"/>
      <c r="J234" s="1"/>
      <c r="K234" s="2" t="s">
        <v>13</v>
      </c>
      <c r="AE234" s="42"/>
    </row>
    <row r="235" spans="1:31">
      <c r="A235" s="156" t="s">
        <v>191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AE235" s="42"/>
    </row>
    <row r="236" spans="1:31">
      <c r="A236" s="1" t="s">
        <v>218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AE236" s="42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42"/>
    </row>
    <row r="238" spans="1:31">
      <c r="A238" s="1" t="s">
        <v>197</v>
      </c>
      <c r="B238" s="1"/>
      <c r="C238" s="182"/>
      <c r="D238" s="182"/>
      <c r="E238" s="2"/>
      <c r="F238" s="2"/>
      <c r="G238" s="1"/>
      <c r="H238" s="1"/>
      <c r="I238" s="2"/>
      <c r="J238" s="1"/>
      <c r="K238" s="1"/>
      <c r="AE238" s="42"/>
    </row>
    <row r="239" spans="1:31">
      <c r="A239" s="1" t="s">
        <v>194</v>
      </c>
      <c r="B239" s="1"/>
      <c r="C239" s="182">
        <f>596+1770</f>
        <v>2366</v>
      </c>
      <c r="D239" s="182">
        <f>ROUND(($D$242/'Blocking - detail'!$C$242)*C239,0)</f>
        <v>2305</v>
      </c>
      <c r="E239" s="161">
        <v>7</v>
      </c>
      <c r="F239" s="184"/>
      <c r="G239" s="2">
        <f>ROUND(E239*$C239,0)</f>
        <v>16562</v>
      </c>
      <c r="H239" s="2">
        <f>ROUND(E239*$D239,0)</f>
        <v>16135</v>
      </c>
      <c r="I239" s="161">
        <f>$I$153</f>
        <v>7.53</v>
      </c>
      <c r="J239" s="186"/>
      <c r="K239" s="2">
        <f>ROUND(I239*$D239,0)</f>
        <v>17357</v>
      </c>
      <c r="AE239" s="42"/>
    </row>
    <row r="240" spans="1:31">
      <c r="A240" s="1" t="s">
        <v>195</v>
      </c>
      <c r="B240" s="1"/>
      <c r="C240" s="182">
        <f>740+2769</f>
        <v>3509</v>
      </c>
      <c r="D240" s="182">
        <f>ROUND(($D$242/'Blocking - detail'!$C$242)*C240,0)</f>
        <v>3418</v>
      </c>
      <c r="E240" s="161">
        <v>10.4</v>
      </c>
      <c r="F240" s="187"/>
      <c r="G240" s="2">
        <f>ROUND(E240*$C240,0)</f>
        <v>36494</v>
      </c>
      <c r="H240" s="2">
        <f>ROUND(E240*$D240,0)</f>
        <v>35547</v>
      </c>
      <c r="I240" s="161">
        <f>$I$154</f>
        <v>11.18</v>
      </c>
      <c r="J240" s="188"/>
      <c r="K240" s="2">
        <f>ROUND(I240*$D240,0)</f>
        <v>38213</v>
      </c>
      <c r="AE240" s="42"/>
    </row>
    <row r="241" spans="1:31">
      <c r="A241" s="1" t="s">
        <v>196</v>
      </c>
      <c r="B241" s="1"/>
      <c r="C241" s="182">
        <f>920+13828+3166+56636</f>
        <v>74550</v>
      </c>
      <c r="D241" s="182">
        <f>ROUND(($D$259/$C$259)*C241,0)</f>
        <v>77752</v>
      </c>
      <c r="E241" s="161">
        <v>0.69</v>
      </c>
      <c r="F241" s="187"/>
      <c r="G241" s="2">
        <f>ROUND(E241*$C241,0)</f>
        <v>51440</v>
      </c>
      <c r="H241" s="2">
        <f>ROUND(E241*$D241,0)</f>
        <v>53649</v>
      </c>
      <c r="I241" s="161">
        <f>$I$155</f>
        <v>0.78</v>
      </c>
      <c r="J241" s="188"/>
      <c r="K241" s="2">
        <f>ROUND(I241*$D241,0)</f>
        <v>60647</v>
      </c>
      <c r="AE241" s="42"/>
    </row>
    <row r="242" spans="1:31">
      <c r="A242" s="1" t="s">
        <v>198</v>
      </c>
      <c r="B242" s="1"/>
      <c r="C242" s="182">
        <f>SUM(C239:C240)</f>
        <v>5875</v>
      </c>
      <c r="D242" s="182">
        <v>5723</v>
      </c>
      <c r="E242" s="161"/>
      <c r="F242" s="184"/>
      <c r="G242" s="2"/>
      <c r="H242" s="2"/>
      <c r="I242" s="161"/>
      <c r="J242" s="186"/>
      <c r="K242" s="2"/>
      <c r="AE242" s="42"/>
    </row>
    <row r="243" spans="1:31">
      <c r="A243" s="1" t="s">
        <v>199</v>
      </c>
      <c r="B243" s="1"/>
      <c r="C243" s="182">
        <f>556+5026+1612+37282</f>
        <v>44476</v>
      </c>
      <c r="D243" s="182">
        <f>ROUND(($D$259/$C$259)*C243,0)</f>
        <v>46387</v>
      </c>
      <c r="E243" s="189">
        <v>2.81</v>
      </c>
      <c r="F243" s="186"/>
      <c r="G243" s="2">
        <f>ROUND(E243*$C243,0)</f>
        <v>124978</v>
      </c>
      <c r="H243" s="2">
        <f>ROUND(E243*$D243,0)</f>
        <v>130347</v>
      </c>
      <c r="I243" s="189">
        <f>$I$158</f>
        <v>2.88</v>
      </c>
      <c r="J243" s="186"/>
      <c r="K243" s="2">
        <f>ROUND(I243*$D243,0)</f>
        <v>133595</v>
      </c>
      <c r="AE243" s="42"/>
    </row>
    <row r="244" spans="1:31">
      <c r="A244" s="1" t="s">
        <v>201</v>
      </c>
      <c r="B244" s="1"/>
      <c r="C244" s="182">
        <f>224214+423982+989891+2211727</f>
        <v>3849814</v>
      </c>
      <c r="D244" s="182">
        <f>ROUND(($D$259/$C$259)*C244,0)</f>
        <v>4015187</v>
      </c>
      <c r="E244" s="162">
        <v>7.5869999999999997</v>
      </c>
      <c r="F244" s="186" t="s">
        <v>178</v>
      </c>
      <c r="G244" s="2">
        <f>ROUND(E244*$C244/100,0)</f>
        <v>292085</v>
      </c>
      <c r="H244" s="2">
        <f>ROUND(E244*$D244/100,0)</f>
        <v>304632</v>
      </c>
      <c r="I244" s="162">
        <f>$I$159</f>
        <v>8.0890000000000004</v>
      </c>
      <c r="J244" s="186" t="s">
        <v>178</v>
      </c>
      <c r="K244" s="2">
        <f>ROUND(I244*$D244/100,0)</f>
        <v>324788</v>
      </c>
      <c r="AE244" s="42"/>
    </row>
    <row r="245" spans="1:31">
      <c r="A245" s="1" t="s">
        <v>202</v>
      </c>
      <c r="B245" s="1"/>
      <c r="C245" s="182">
        <f>333291+1119888+1597472+8605642</f>
        <v>11656293</v>
      </c>
      <c r="D245" s="182">
        <f>ROUND(($D$259/$C$259)*C245,0)</f>
        <v>12157003</v>
      </c>
      <c r="E245" s="162">
        <v>5.2370000000000001</v>
      </c>
      <c r="F245" s="186" t="s">
        <v>178</v>
      </c>
      <c r="G245" s="2">
        <f>ROUND(E245*$C245/100,0)</f>
        <v>610440</v>
      </c>
      <c r="H245" s="2">
        <f>ROUND(E245*$D245/100,0)</f>
        <v>636662</v>
      </c>
      <c r="I245" s="162">
        <f>$I$160</f>
        <v>5.5839999999999996</v>
      </c>
      <c r="J245" s="186" t="s">
        <v>178</v>
      </c>
      <c r="K245" s="2">
        <f>ROUND(I245*$D245/100,0)</f>
        <v>678847</v>
      </c>
      <c r="AE245" s="42"/>
    </row>
    <row r="246" spans="1:31">
      <c r="A246" s="1" t="s">
        <v>203</v>
      </c>
      <c r="B246" s="1"/>
      <c r="C246" s="182">
        <f>622235+2212640+2732130+16131459-C244-C245</f>
        <v>6192357</v>
      </c>
      <c r="D246" s="182">
        <f>ROUND(($D$259/$C$259)*C246,0)</f>
        <v>6458357</v>
      </c>
      <c r="E246" s="162">
        <v>4.5129999999999999</v>
      </c>
      <c r="F246" s="186" t="s">
        <v>178</v>
      </c>
      <c r="G246" s="2">
        <f>ROUND(E246*$C246/100,0)</f>
        <v>279461</v>
      </c>
      <c r="H246" s="2">
        <f>ROUND(E246*$D246/100,0)</f>
        <v>291466</v>
      </c>
      <c r="I246" s="162">
        <f>$I$161</f>
        <v>4.8100000000000005</v>
      </c>
      <c r="J246" s="186" t="s">
        <v>178</v>
      </c>
      <c r="K246" s="2">
        <f>ROUND(I246*$D246/100,0)</f>
        <v>310647</v>
      </c>
      <c r="AE246" s="42"/>
    </row>
    <row r="247" spans="1:31">
      <c r="A247" s="1" t="s">
        <v>204</v>
      </c>
      <c r="B247" s="1"/>
      <c r="C247" s="182">
        <f>2718+12348</f>
        <v>15066</v>
      </c>
      <c r="D247" s="182">
        <f>ROUND(($D$259/$C$259)*C247,0)</f>
        <v>15713</v>
      </c>
      <c r="E247" s="193">
        <v>45</v>
      </c>
      <c r="F247" s="184" t="s">
        <v>178</v>
      </c>
      <c r="G247" s="2">
        <f>ROUND(E247*$C247/100,0)</f>
        <v>6780</v>
      </c>
      <c r="H247" s="2">
        <f>ROUND(E247*$D247/100,0)</f>
        <v>7071</v>
      </c>
      <c r="I247" s="193">
        <f>$I$162</f>
        <v>45</v>
      </c>
      <c r="J247" s="186" t="s">
        <v>178</v>
      </c>
      <c r="K247" s="2">
        <f>ROUND(I247*$D247/100,0)</f>
        <v>7071</v>
      </c>
      <c r="AE247" s="42"/>
    </row>
    <row r="248" spans="1:31">
      <c r="A248" s="194" t="s">
        <v>205</v>
      </c>
      <c r="B248" s="1"/>
      <c r="C248" s="182"/>
      <c r="D248" s="182"/>
      <c r="E248" s="195">
        <v>-0.01</v>
      </c>
      <c r="F248" s="184"/>
      <c r="G248" s="2"/>
      <c r="H248" s="2"/>
      <c r="I248" s="195">
        <f>$I$163</f>
        <v>-0.01</v>
      </c>
      <c r="J248" s="186"/>
      <c r="K248" s="2"/>
      <c r="AE248" s="42"/>
    </row>
    <row r="249" spans="1:31">
      <c r="A249" s="1" t="s">
        <v>194</v>
      </c>
      <c r="B249" s="1"/>
      <c r="C249" s="182">
        <v>0</v>
      </c>
      <c r="D249" s="182">
        <f t="shared" ref="D249:D258" si="23">ROUND(($D$259/$C$259)*C249,0)</f>
        <v>0</v>
      </c>
      <c r="E249" s="197">
        <f>E239</f>
        <v>7</v>
      </c>
      <c r="F249" s="184"/>
      <c r="G249" s="2">
        <f>-ROUND(E249*$C249/100,0)</f>
        <v>0</v>
      </c>
      <c r="H249" s="2">
        <f>-ROUND(E249*$D249/100,0)</f>
        <v>0</v>
      </c>
      <c r="I249" s="197">
        <f>I239</f>
        <v>7.53</v>
      </c>
      <c r="J249" s="184"/>
      <c r="K249" s="2">
        <f>-ROUND(I249*$D249/100,0)</f>
        <v>0</v>
      </c>
      <c r="AE249" s="42"/>
    </row>
    <row r="250" spans="1:31">
      <c r="A250" s="1" t="s">
        <v>195</v>
      </c>
      <c r="B250" s="1"/>
      <c r="C250" s="182">
        <v>0</v>
      </c>
      <c r="D250" s="182">
        <f t="shared" si="23"/>
        <v>0</v>
      </c>
      <c r="E250" s="197">
        <f>E240</f>
        <v>10.4</v>
      </c>
      <c r="F250" s="184"/>
      <c r="G250" s="2">
        <f>-ROUND(E250*$C250/100,0)</f>
        <v>0</v>
      </c>
      <c r="H250" s="2">
        <f>-ROUND(E250*$D250/100,0)</f>
        <v>0</v>
      </c>
      <c r="I250" s="197">
        <f>I240</f>
        <v>11.18</v>
      </c>
      <c r="J250" s="184"/>
      <c r="K250" s="2">
        <f>-ROUND(I250*$D250/100,0)</f>
        <v>0</v>
      </c>
      <c r="AE250" s="42"/>
    </row>
    <row r="251" spans="1:31">
      <c r="A251" s="1" t="s">
        <v>206</v>
      </c>
      <c r="B251" s="1"/>
      <c r="C251" s="182">
        <v>0</v>
      </c>
      <c r="D251" s="182">
        <f t="shared" si="23"/>
        <v>0</v>
      </c>
      <c r="E251" s="197">
        <f>E241</f>
        <v>0.69</v>
      </c>
      <c r="F251" s="184"/>
      <c r="G251" s="2">
        <f>-ROUND(E251*$C251/100,0)</f>
        <v>0</v>
      </c>
      <c r="H251" s="2">
        <f>-ROUND(E251*$D251/100,0)</f>
        <v>0</v>
      </c>
      <c r="I251" s="197">
        <f>I241</f>
        <v>0.78</v>
      </c>
      <c r="J251" s="184"/>
      <c r="K251" s="2">
        <f>-ROUND(I251*$D251/100,0)</f>
        <v>0</v>
      </c>
      <c r="AE251" s="42"/>
    </row>
    <row r="252" spans="1:31">
      <c r="A252" s="1" t="s">
        <v>207</v>
      </c>
      <c r="B252" s="1"/>
      <c r="C252" s="182">
        <v>0</v>
      </c>
      <c r="D252" s="182">
        <f t="shared" si="23"/>
        <v>0</v>
      </c>
      <c r="E252" s="197">
        <f>E243</f>
        <v>2.81</v>
      </c>
      <c r="F252" s="186"/>
      <c r="G252" s="2">
        <f>-ROUND(E252*$C252/100,0)</f>
        <v>0</v>
      </c>
      <c r="H252" s="2">
        <f>-ROUND(E252*$D252/100,0)</f>
        <v>0</v>
      </c>
      <c r="I252" s="197">
        <f>I243</f>
        <v>2.88</v>
      </c>
      <c r="J252" s="186"/>
      <c r="K252" s="2">
        <f>-ROUND(I252*$D252/100,0)</f>
        <v>0</v>
      </c>
      <c r="AE252" s="42"/>
    </row>
    <row r="253" spans="1:31">
      <c r="A253" s="1" t="s">
        <v>209</v>
      </c>
      <c r="B253" s="1"/>
      <c r="C253" s="182">
        <v>0</v>
      </c>
      <c r="D253" s="182">
        <f t="shared" si="23"/>
        <v>0</v>
      </c>
      <c r="E253" s="198">
        <f>E244</f>
        <v>7.5869999999999997</v>
      </c>
      <c r="F253" s="186" t="s">
        <v>178</v>
      </c>
      <c r="G253" s="2">
        <f>ROUND(E253*$C253/100*E248,0)</f>
        <v>0</v>
      </c>
      <c r="H253" s="2">
        <f>ROUND(E253*$D253/100*E248,0)</f>
        <v>0</v>
      </c>
      <c r="I253" s="198">
        <f>I244</f>
        <v>8.0890000000000004</v>
      </c>
      <c r="J253" s="186" t="s">
        <v>178</v>
      </c>
      <c r="K253" s="2">
        <f>ROUND(I253*$D253/100*I248,0)</f>
        <v>0</v>
      </c>
      <c r="AE253" s="42"/>
    </row>
    <row r="254" spans="1:31">
      <c r="A254" s="1" t="s">
        <v>202</v>
      </c>
      <c r="B254" s="1"/>
      <c r="C254" s="182">
        <v>0</v>
      </c>
      <c r="D254" s="182">
        <f t="shared" si="23"/>
        <v>0</v>
      </c>
      <c r="E254" s="198">
        <f>E245</f>
        <v>5.2370000000000001</v>
      </c>
      <c r="F254" s="186" t="s">
        <v>178</v>
      </c>
      <c r="G254" s="2">
        <f>ROUND(E254*$C254/100*E248,0)</f>
        <v>0</v>
      </c>
      <c r="H254" s="2">
        <f>ROUND(E254*$D254/100*E248,0)</f>
        <v>0</v>
      </c>
      <c r="I254" s="198">
        <f>I245</f>
        <v>5.5839999999999996</v>
      </c>
      <c r="J254" s="186" t="s">
        <v>178</v>
      </c>
      <c r="K254" s="2">
        <f>ROUND(I254*$D254/100*I248,0)</f>
        <v>0</v>
      </c>
      <c r="AE254" s="42"/>
    </row>
    <row r="255" spans="1:31">
      <c r="A255" s="1" t="s">
        <v>203</v>
      </c>
      <c r="B255" s="1"/>
      <c r="C255" s="182">
        <v>0</v>
      </c>
      <c r="D255" s="182">
        <f t="shared" si="23"/>
        <v>0</v>
      </c>
      <c r="E255" s="198">
        <f>E246</f>
        <v>4.5129999999999999</v>
      </c>
      <c r="F255" s="186" t="s">
        <v>178</v>
      </c>
      <c r="G255" s="2">
        <f>ROUND(E255*$C255/100*E248,0)</f>
        <v>0</v>
      </c>
      <c r="H255" s="2">
        <f>ROUND(E255*$D255/100*E248,0)</f>
        <v>0</v>
      </c>
      <c r="I255" s="198">
        <f>I246</f>
        <v>4.8100000000000005</v>
      </c>
      <c r="J255" s="186" t="s">
        <v>178</v>
      </c>
      <c r="K255" s="2">
        <f>ROUND(I255*$D255/100*I248,0)</f>
        <v>0</v>
      </c>
      <c r="AE255" s="42"/>
    </row>
    <row r="256" spans="1:31">
      <c r="A256" s="1" t="s">
        <v>204</v>
      </c>
      <c r="B256" s="1"/>
      <c r="C256" s="182">
        <v>0</v>
      </c>
      <c r="D256" s="182">
        <f t="shared" si="23"/>
        <v>0</v>
      </c>
      <c r="E256" s="199">
        <f>E247</f>
        <v>45</v>
      </c>
      <c r="F256" s="186" t="s">
        <v>178</v>
      </c>
      <c r="G256" s="2">
        <f>ROUND(E256*$C256/100*E248,0)</f>
        <v>0</v>
      </c>
      <c r="H256" s="2">
        <f>ROUND(E256*$D256/100*E248,0)</f>
        <v>0</v>
      </c>
      <c r="I256" s="199">
        <f>I247</f>
        <v>45</v>
      </c>
      <c r="J256" s="186" t="s">
        <v>178</v>
      </c>
      <c r="K256" s="2">
        <f>ROUND(I256*$D256/100*I248,0)</f>
        <v>0</v>
      </c>
      <c r="AE256" s="42"/>
    </row>
    <row r="257" spans="1:31">
      <c r="A257" s="1" t="s">
        <v>211</v>
      </c>
      <c r="B257" s="1"/>
      <c r="C257" s="182">
        <v>0</v>
      </c>
      <c r="D257" s="182">
        <f t="shared" si="23"/>
        <v>0</v>
      </c>
      <c r="E257" s="200">
        <v>60</v>
      </c>
      <c r="F257" s="184"/>
      <c r="G257" s="2">
        <f>ROUND(E257*$C257,0)</f>
        <v>0</v>
      </c>
      <c r="H257" s="2">
        <f>ROUND(E257*$D257,0)</f>
        <v>0</v>
      </c>
      <c r="I257" s="200">
        <f>$I$172</f>
        <v>60</v>
      </c>
      <c r="J257" s="186"/>
      <c r="K257" s="2">
        <f>ROUND(I257*$D257,0)</f>
        <v>0</v>
      </c>
      <c r="AE257" s="42"/>
    </row>
    <row r="258" spans="1:31">
      <c r="A258" s="1" t="s">
        <v>212</v>
      </c>
      <c r="B258" s="1"/>
      <c r="C258" s="182">
        <v>0</v>
      </c>
      <c r="D258" s="182">
        <f t="shared" si="23"/>
        <v>0</v>
      </c>
      <c r="E258" s="202">
        <v>-30</v>
      </c>
      <c r="F258" s="184" t="s">
        <v>178</v>
      </c>
      <c r="G258" s="2">
        <f>ROUND(E258*$C258/100,0)</f>
        <v>0</v>
      </c>
      <c r="H258" s="2">
        <f>ROUND(E258*$D258/100,0)</f>
        <v>0</v>
      </c>
      <c r="I258" s="202">
        <f>$I$173</f>
        <v>-30</v>
      </c>
      <c r="J258" s="186" t="s">
        <v>178</v>
      </c>
      <c r="K258" s="2">
        <f>ROUND(I258*$D258/100,0)</f>
        <v>0</v>
      </c>
      <c r="AE258" s="42"/>
    </row>
    <row r="259" spans="1:31">
      <c r="A259" s="1" t="s">
        <v>185</v>
      </c>
      <c r="B259" s="1"/>
      <c r="C259" s="182">
        <f>SUM(C244:C246)</f>
        <v>21698464</v>
      </c>
      <c r="D259" s="182">
        <v>22630547.415536091</v>
      </c>
      <c r="E259" s="193"/>
      <c r="F259" s="2"/>
      <c r="G259" s="2">
        <f>SUM(G239:G258)</f>
        <v>1418240</v>
      </c>
      <c r="H259" s="2">
        <f>SUM(H239:H258)</f>
        <v>1475509</v>
      </c>
      <c r="I259" s="193"/>
      <c r="J259" s="186"/>
      <c r="K259" s="2">
        <f>SUM(K239:K258)</f>
        <v>1571165</v>
      </c>
      <c r="AE259" s="42"/>
    </row>
    <row r="260" spans="1:31">
      <c r="A260" s="1" t="s">
        <v>167</v>
      </c>
      <c r="B260" s="1"/>
      <c r="C260" s="212">
        <v>-490299.70959914278</v>
      </c>
      <c r="D260" s="203">
        <v>0</v>
      </c>
      <c r="E260" s="172"/>
      <c r="F260" s="172"/>
      <c r="G260" s="204">
        <v>-27174.812211416385</v>
      </c>
      <c r="H260" s="204">
        <v>0</v>
      </c>
      <c r="I260" s="172"/>
      <c r="J260" s="172"/>
      <c r="K260" s="204">
        <v>0</v>
      </c>
      <c r="M260" s="152"/>
      <c r="N260" s="152"/>
      <c r="O260" s="153"/>
      <c r="AE260" s="42"/>
    </row>
    <row r="261" spans="1:31" ht="16.5" thickBot="1">
      <c r="A261" s="1" t="s">
        <v>186</v>
      </c>
      <c r="B261" s="1"/>
      <c r="C261" s="174">
        <f>SUM(C259:C260)</f>
        <v>21208164.290400859</v>
      </c>
      <c r="D261" s="174">
        <f>SUM(D259:D260)</f>
        <v>22630547.415536091</v>
      </c>
      <c r="E261" s="205"/>
      <c r="F261" s="206"/>
      <c r="G261" s="207">
        <f>G259+G260</f>
        <v>1391065.1877885836</v>
      </c>
      <c r="H261" s="207">
        <f>H259+H260</f>
        <v>1475509</v>
      </c>
      <c r="I261" s="205"/>
      <c r="J261" s="208"/>
      <c r="K261" s="207">
        <f>K259+K260</f>
        <v>1571165</v>
      </c>
      <c r="M261" s="154"/>
      <c r="N261" s="154"/>
      <c r="O261" s="155"/>
      <c r="AE261" s="42"/>
    </row>
    <row r="262" spans="1:31" ht="16.5" thickTop="1">
      <c r="A262" s="1"/>
      <c r="B262" s="1"/>
      <c r="C262" s="213"/>
      <c r="D262" s="213"/>
      <c r="E262" s="214"/>
      <c r="F262" s="215"/>
      <c r="G262" s="185"/>
      <c r="H262" s="185"/>
      <c r="I262" s="214"/>
      <c r="J262" s="14"/>
      <c r="K262" s="185"/>
      <c r="AE262" s="42"/>
    </row>
    <row r="263" spans="1:31">
      <c r="A263" s="156" t="s">
        <v>219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AE263" s="42"/>
    </row>
    <row r="264" spans="1:31">
      <c r="A264" s="1" t="s">
        <v>214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42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42"/>
    </row>
    <row r="266" spans="1:31">
      <c r="A266" s="1" t="s">
        <v>197</v>
      </c>
      <c r="B266" s="1"/>
      <c r="C266" s="182"/>
      <c r="D266" s="182"/>
      <c r="E266" s="2"/>
      <c r="F266" s="2"/>
      <c r="G266" s="1"/>
      <c r="H266" s="1"/>
      <c r="I266" s="2"/>
      <c r="J266" s="1"/>
      <c r="K266" s="1"/>
      <c r="AE266" s="42"/>
    </row>
    <row r="267" spans="1:31">
      <c r="A267" s="1" t="s">
        <v>220</v>
      </c>
      <c r="B267" s="1"/>
      <c r="C267" s="182">
        <f t="shared" ref="C267:D269" si="24">C296+C325</f>
        <v>5025</v>
      </c>
      <c r="D267" s="182">
        <f t="shared" si="24"/>
        <v>4991</v>
      </c>
      <c r="E267" s="161">
        <v>7</v>
      </c>
      <c r="F267" s="184"/>
      <c r="G267" s="2">
        <f t="shared" ref="G267:H269" si="25">G296+G325</f>
        <v>35175</v>
      </c>
      <c r="H267" s="2">
        <f t="shared" si="25"/>
        <v>34937</v>
      </c>
      <c r="I267" s="161">
        <f>$I$153</f>
        <v>7.53</v>
      </c>
      <c r="J267" s="186"/>
      <c r="K267" s="2">
        <f>K296+K325</f>
        <v>37582</v>
      </c>
      <c r="AE267" s="42"/>
    </row>
    <row r="268" spans="1:31">
      <c r="A268" s="1" t="s">
        <v>195</v>
      </c>
      <c r="B268" s="1"/>
      <c r="C268" s="182">
        <f t="shared" si="24"/>
        <v>0</v>
      </c>
      <c r="D268" s="182">
        <f t="shared" si="24"/>
        <v>0</v>
      </c>
      <c r="E268" s="161">
        <v>10.4</v>
      </c>
      <c r="F268" s="187"/>
      <c r="G268" s="2">
        <f t="shared" si="25"/>
        <v>0</v>
      </c>
      <c r="H268" s="2">
        <f t="shared" si="25"/>
        <v>0</v>
      </c>
      <c r="I268" s="161">
        <f>$I$154</f>
        <v>11.18</v>
      </c>
      <c r="J268" s="188"/>
      <c r="K268" s="2">
        <f>K297+K326</f>
        <v>0</v>
      </c>
      <c r="AE268" s="42"/>
    </row>
    <row r="269" spans="1:31">
      <c r="A269" s="1" t="s">
        <v>196</v>
      </c>
      <c r="B269" s="1"/>
      <c r="C269" s="182">
        <f t="shared" si="24"/>
        <v>0</v>
      </c>
      <c r="D269" s="182">
        <f t="shared" si="24"/>
        <v>0</v>
      </c>
      <c r="E269" s="161">
        <v>0.69</v>
      </c>
      <c r="F269" s="187"/>
      <c r="G269" s="2">
        <f t="shared" si="25"/>
        <v>0</v>
      </c>
      <c r="H269" s="2">
        <f t="shared" si="25"/>
        <v>0</v>
      </c>
      <c r="I269" s="161">
        <f>$I$155</f>
        <v>0.78</v>
      </c>
      <c r="J269" s="188"/>
      <c r="K269" s="2">
        <f>K298+K327</f>
        <v>0</v>
      </c>
      <c r="AE269" s="42"/>
    </row>
    <row r="270" spans="1:31">
      <c r="A270" s="1" t="s">
        <v>198</v>
      </c>
      <c r="B270" s="1"/>
      <c r="C270" s="182">
        <f>SUM(C267:C268)</f>
        <v>5025</v>
      </c>
      <c r="D270" s="182">
        <f>SUM(D267:D268)</f>
        <v>4991</v>
      </c>
      <c r="E270" s="161"/>
      <c r="F270" s="184"/>
      <c r="G270" s="2"/>
      <c r="H270" s="2"/>
      <c r="I270" s="161"/>
      <c r="J270" s="186"/>
      <c r="K270" s="2"/>
      <c r="AE270" s="42"/>
    </row>
    <row r="271" spans="1:31">
      <c r="A271" s="1" t="s">
        <v>166</v>
      </c>
      <c r="B271" s="1"/>
      <c r="C271" s="182">
        <f t="shared" ref="C271:D276" si="26">C300+C329</f>
        <v>1629</v>
      </c>
      <c r="D271" s="182">
        <f t="shared" si="26"/>
        <v>1617</v>
      </c>
      <c r="E271" s="161"/>
      <c r="F271" s="184"/>
      <c r="G271" s="2"/>
      <c r="H271" s="2"/>
      <c r="I271" s="161"/>
      <c r="J271" s="186"/>
      <c r="K271" s="2"/>
      <c r="AE271" s="42"/>
    </row>
    <row r="272" spans="1:31">
      <c r="A272" s="1" t="s">
        <v>199</v>
      </c>
      <c r="B272" s="1"/>
      <c r="C272" s="182">
        <f t="shared" si="26"/>
        <v>0</v>
      </c>
      <c r="D272" s="182">
        <f t="shared" si="26"/>
        <v>0</v>
      </c>
      <c r="E272" s="189">
        <v>2.81</v>
      </c>
      <c r="F272" s="186"/>
      <c r="G272" s="2">
        <f t="shared" ref="G272:H276" si="27">G301+G330</f>
        <v>0</v>
      </c>
      <c r="H272" s="2">
        <f t="shared" si="27"/>
        <v>0</v>
      </c>
      <c r="I272" s="189">
        <f>$I$158</f>
        <v>2.88</v>
      </c>
      <c r="J272" s="186"/>
      <c r="K272" s="2">
        <f>K301+K330</f>
        <v>0</v>
      </c>
      <c r="AE272" s="42"/>
    </row>
    <row r="273" spans="1:31">
      <c r="A273" s="1" t="s">
        <v>201</v>
      </c>
      <c r="B273" s="1"/>
      <c r="C273" s="182">
        <f t="shared" si="26"/>
        <v>1414918</v>
      </c>
      <c r="D273" s="182">
        <f t="shared" si="26"/>
        <v>1446455</v>
      </c>
      <c r="E273" s="162">
        <v>7.5869999999999997</v>
      </c>
      <c r="F273" s="186" t="s">
        <v>178</v>
      </c>
      <c r="G273" s="2">
        <f t="shared" si="27"/>
        <v>107349</v>
      </c>
      <c r="H273" s="2">
        <f t="shared" si="27"/>
        <v>109743</v>
      </c>
      <c r="I273" s="162">
        <f>$I$159</f>
        <v>8.0890000000000004</v>
      </c>
      <c r="J273" s="186" t="s">
        <v>178</v>
      </c>
      <c r="K273" s="2">
        <f>K302+K331</f>
        <v>117003</v>
      </c>
      <c r="AE273" s="42"/>
    </row>
    <row r="274" spans="1:31">
      <c r="A274" s="1" t="s">
        <v>202</v>
      </c>
      <c r="B274" s="1"/>
      <c r="C274" s="182">
        <f t="shared" si="26"/>
        <v>64806</v>
      </c>
      <c r="D274" s="182">
        <f t="shared" si="26"/>
        <v>66040</v>
      </c>
      <c r="E274" s="162">
        <v>5.2370000000000001</v>
      </c>
      <c r="F274" s="186" t="s">
        <v>178</v>
      </c>
      <c r="G274" s="2">
        <f t="shared" si="27"/>
        <v>3394</v>
      </c>
      <c r="H274" s="2">
        <f t="shared" si="27"/>
        <v>3459</v>
      </c>
      <c r="I274" s="162">
        <f>$I$160</f>
        <v>5.5839999999999996</v>
      </c>
      <c r="J274" s="186" t="s">
        <v>178</v>
      </c>
      <c r="K274" s="2">
        <f>K303+K332</f>
        <v>3688</v>
      </c>
      <c r="AE274" s="42"/>
    </row>
    <row r="275" spans="1:31">
      <c r="A275" s="1" t="s">
        <v>203</v>
      </c>
      <c r="B275" s="1"/>
      <c r="C275" s="182">
        <f t="shared" si="26"/>
        <v>0</v>
      </c>
      <c r="D275" s="182">
        <f t="shared" si="26"/>
        <v>0</v>
      </c>
      <c r="E275" s="162">
        <v>4.5129999999999999</v>
      </c>
      <c r="F275" s="186" t="s">
        <v>178</v>
      </c>
      <c r="G275" s="2">
        <f t="shared" si="27"/>
        <v>0</v>
      </c>
      <c r="H275" s="2">
        <f t="shared" si="27"/>
        <v>0</v>
      </c>
      <c r="I275" s="162">
        <f>$I$161</f>
        <v>4.8100000000000005</v>
      </c>
      <c r="J275" s="186" t="s">
        <v>178</v>
      </c>
      <c r="K275" s="2">
        <f>K304+K333</f>
        <v>0</v>
      </c>
      <c r="AE275" s="42"/>
    </row>
    <row r="276" spans="1:31">
      <c r="A276" s="1" t="s">
        <v>204</v>
      </c>
      <c r="B276" s="1"/>
      <c r="C276" s="182">
        <f t="shared" si="26"/>
        <v>0</v>
      </c>
      <c r="D276" s="182">
        <f t="shared" si="26"/>
        <v>0</v>
      </c>
      <c r="E276" s="193">
        <v>45</v>
      </c>
      <c r="F276" s="184" t="s">
        <v>178</v>
      </c>
      <c r="G276" s="2">
        <f t="shared" si="27"/>
        <v>0</v>
      </c>
      <c r="H276" s="2">
        <f t="shared" si="27"/>
        <v>0</v>
      </c>
      <c r="I276" s="193">
        <f>$I$162</f>
        <v>45</v>
      </c>
      <c r="J276" s="186" t="s">
        <v>178</v>
      </c>
      <c r="K276" s="2">
        <f>K305+K334</f>
        <v>0</v>
      </c>
      <c r="AE276" s="42"/>
    </row>
    <row r="277" spans="1:31">
      <c r="A277" s="194" t="s">
        <v>205</v>
      </c>
      <c r="B277" s="1"/>
      <c r="C277" s="182"/>
      <c r="D277" s="182"/>
      <c r="E277" s="195">
        <v>-0.01</v>
      </c>
      <c r="F277" s="184"/>
      <c r="G277" s="2"/>
      <c r="H277" s="2"/>
      <c r="I277" s="195">
        <f>$I$163</f>
        <v>-0.01</v>
      </c>
      <c r="J277" s="186"/>
      <c r="K277" s="2"/>
      <c r="AE277" s="42"/>
    </row>
    <row r="278" spans="1:31">
      <c r="A278" s="1" t="s">
        <v>194</v>
      </c>
      <c r="B278" s="1"/>
      <c r="C278" s="182">
        <v>0</v>
      </c>
      <c r="D278" s="182">
        <v>0</v>
      </c>
      <c r="E278" s="197">
        <f>E267</f>
        <v>7</v>
      </c>
      <c r="F278" s="184"/>
      <c r="G278" s="2">
        <f t="shared" ref="G278:H289" si="28">G307+G336</f>
        <v>0</v>
      </c>
      <c r="H278" s="2">
        <f t="shared" si="28"/>
        <v>0</v>
      </c>
      <c r="I278" s="197">
        <f>I268</f>
        <v>11.18</v>
      </c>
      <c r="J278" s="184"/>
      <c r="K278" s="2">
        <f t="shared" ref="K278:K289" si="29">K307+K336</f>
        <v>0</v>
      </c>
      <c r="AE278" s="42"/>
    </row>
    <row r="279" spans="1:31">
      <c r="A279" s="1" t="s">
        <v>195</v>
      </c>
      <c r="B279" s="1"/>
      <c r="C279" s="182">
        <v>0</v>
      </c>
      <c r="D279" s="182">
        <v>0</v>
      </c>
      <c r="E279" s="197">
        <f>E268</f>
        <v>10.4</v>
      </c>
      <c r="F279" s="184"/>
      <c r="G279" s="2">
        <f t="shared" si="28"/>
        <v>0</v>
      </c>
      <c r="H279" s="2">
        <f t="shared" si="28"/>
        <v>0</v>
      </c>
      <c r="I279" s="197">
        <f>I269</f>
        <v>0.78</v>
      </c>
      <c r="J279" s="184"/>
      <c r="K279" s="2">
        <f t="shared" si="29"/>
        <v>0</v>
      </c>
      <c r="AE279" s="42"/>
    </row>
    <row r="280" spans="1:31">
      <c r="A280" s="1" t="s">
        <v>206</v>
      </c>
      <c r="B280" s="1"/>
      <c r="C280" s="182">
        <v>0</v>
      </c>
      <c r="D280" s="182">
        <v>0</v>
      </c>
      <c r="E280" s="197">
        <f>E269</f>
        <v>0.69</v>
      </c>
      <c r="F280" s="184"/>
      <c r="G280" s="2">
        <f t="shared" si="28"/>
        <v>0</v>
      </c>
      <c r="H280" s="2">
        <f t="shared" si="28"/>
        <v>0</v>
      </c>
      <c r="I280" s="197">
        <f>I270</f>
        <v>0</v>
      </c>
      <c r="J280" s="184"/>
      <c r="K280" s="2">
        <f t="shared" si="29"/>
        <v>0</v>
      </c>
      <c r="AE280" s="42"/>
    </row>
    <row r="281" spans="1:31">
      <c r="A281" s="1" t="s">
        <v>207</v>
      </c>
      <c r="B281" s="1"/>
      <c r="C281" s="182">
        <v>0</v>
      </c>
      <c r="D281" s="182">
        <v>0</v>
      </c>
      <c r="E281" s="197">
        <f>E272</f>
        <v>2.81</v>
      </c>
      <c r="F281" s="186"/>
      <c r="G281" s="2">
        <f t="shared" si="28"/>
        <v>0</v>
      </c>
      <c r="H281" s="2">
        <f t="shared" si="28"/>
        <v>0</v>
      </c>
      <c r="I281" s="197">
        <f>I272</f>
        <v>2.88</v>
      </c>
      <c r="J281" s="186"/>
      <c r="K281" s="2">
        <f t="shared" si="29"/>
        <v>0</v>
      </c>
      <c r="AE281" s="42"/>
    </row>
    <row r="282" spans="1:31">
      <c r="A282" s="1" t="s">
        <v>209</v>
      </c>
      <c r="B282" s="1"/>
      <c r="C282" s="182">
        <v>0</v>
      </c>
      <c r="D282" s="182">
        <v>0</v>
      </c>
      <c r="E282" s="198">
        <f>E273</f>
        <v>7.5869999999999997</v>
      </c>
      <c r="F282" s="186" t="s">
        <v>178</v>
      </c>
      <c r="G282" s="2">
        <f t="shared" si="28"/>
        <v>0</v>
      </c>
      <c r="H282" s="2">
        <f t="shared" si="28"/>
        <v>0</v>
      </c>
      <c r="I282" s="198">
        <f>I273</f>
        <v>8.0890000000000004</v>
      </c>
      <c r="J282" s="186" t="s">
        <v>178</v>
      </c>
      <c r="K282" s="2">
        <f t="shared" si="29"/>
        <v>0</v>
      </c>
      <c r="AE282" s="42"/>
    </row>
    <row r="283" spans="1:31">
      <c r="A283" s="1" t="s">
        <v>202</v>
      </c>
      <c r="B283" s="1"/>
      <c r="C283" s="182">
        <v>0</v>
      </c>
      <c r="D283" s="182">
        <v>0</v>
      </c>
      <c r="E283" s="198">
        <f>E274</f>
        <v>5.2370000000000001</v>
      </c>
      <c r="F283" s="186" t="s">
        <v>178</v>
      </c>
      <c r="G283" s="2">
        <f t="shared" si="28"/>
        <v>0</v>
      </c>
      <c r="H283" s="2">
        <f t="shared" si="28"/>
        <v>0</v>
      </c>
      <c r="I283" s="198">
        <f>I274</f>
        <v>5.5839999999999996</v>
      </c>
      <c r="J283" s="186" t="s">
        <v>178</v>
      </c>
      <c r="K283" s="2">
        <f t="shared" si="29"/>
        <v>0</v>
      </c>
      <c r="AE283" s="42"/>
    </row>
    <row r="284" spans="1:31">
      <c r="A284" s="1" t="s">
        <v>203</v>
      </c>
      <c r="B284" s="1"/>
      <c r="C284" s="182">
        <v>0</v>
      </c>
      <c r="D284" s="182">
        <v>0</v>
      </c>
      <c r="E284" s="198">
        <f>E275</f>
        <v>4.5129999999999999</v>
      </c>
      <c r="F284" s="186" t="s">
        <v>178</v>
      </c>
      <c r="G284" s="2">
        <f t="shared" si="28"/>
        <v>0</v>
      </c>
      <c r="H284" s="2">
        <f t="shared" si="28"/>
        <v>0</v>
      </c>
      <c r="I284" s="198">
        <f>I275</f>
        <v>4.8100000000000005</v>
      </c>
      <c r="J284" s="186" t="s">
        <v>178</v>
      </c>
      <c r="K284" s="2">
        <f t="shared" si="29"/>
        <v>0</v>
      </c>
      <c r="AE284" s="42"/>
    </row>
    <row r="285" spans="1:31">
      <c r="A285" s="1" t="s">
        <v>204</v>
      </c>
      <c r="B285" s="1"/>
      <c r="C285" s="182">
        <v>0</v>
      </c>
      <c r="D285" s="182">
        <v>0</v>
      </c>
      <c r="E285" s="199">
        <f>E276</f>
        <v>45</v>
      </c>
      <c r="F285" s="186" t="s">
        <v>178</v>
      </c>
      <c r="G285" s="2">
        <f t="shared" si="28"/>
        <v>0</v>
      </c>
      <c r="H285" s="2">
        <f t="shared" si="28"/>
        <v>0</v>
      </c>
      <c r="I285" s="199">
        <f>I276</f>
        <v>45</v>
      </c>
      <c r="J285" s="186" t="s">
        <v>178</v>
      </c>
      <c r="K285" s="2">
        <f t="shared" si="29"/>
        <v>0</v>
      </c>
      <c r="AE285" s="42"/>
    </row>
    <row r="286" spans="1:31">
      <c r="A286" s="1" t="s">
        <v>211</v>
      </c>
      <c r="B286" s="1"/>
      <c r="C286" s="182">
        <v>0</v>
      </c>
      <c r="D286" s="182">
        <v>0</v>
      </c>
      <c r="E286" s="200">
        <v>60</v>
      </c>
      <c r="F286" s="184"/>
      <c r="G286" s="2">
        <f t="shared" si="28"/>
        <v>0</v>
      </c>
      <c r="H286" s="2">
        <f t="shared" si="28"/>
        <v>0</v>
      </c>
      <c r="I286" s="200">
        <f>$I$172</f>
        <v>60</v>
      </c>
      <c r="J286" s="186"/>
      <c r="K286" s="2">
        <f t="shared" si="29"/>
        <v>0</v>
      </c>
      <c r="AE286" s="42"/>
    </row>
    <row r="287" spans="1:31">
      <c r="A287" s="1" t="s">
        <v>212</v>
      </c>
      <c r="B287" s="1"/>
      <c r="C287" s="182">
        <v>0</v>
      </c>
      <c r="D287" s="182">
        <v>0</v>
      </c>
      <c r="E287" s="202">
        <v>-30</v>
      </c>
      <c r="F287" s="184" t="s">
        <v>178</v>
      </c>
      <c r="G287" s="2">
        <f t="shared" si="28"/>
        <v>0</v>
      </c>
      <c r="H287" s="2">
        <f t="shared" si="28"/>
        <v>0</v>
      </c>
      <c r="I287" s="202">
        <f>$I$173</f>
        <v>-30</v>
      </c>
      <c r="J287" s="186" t="s">
        <v>178</v>
      </c>
      <c r="K287" s="2">
        <f t="shared" si="29"/>
        <v>0</v>
      </c>
      <c r="AE287" s="42"/>
    </row>
    <row r="288" spans="1:31">
      <c r="A288" s="1" t="s">
        <v>185</v>
      </c>
      <c r="B288" s="1"/>
      <c r="C288" s="182">
        <f>C317+C346</f>
        <v>1479724</v>
      </c>
      <c r="D288" s="182">
        <f>D317+D346</f>
        <v>1512494.9193898283</v>
      </c>
      <c r="E288" s="193"/>
      <c r="F288" s="2"/>
      <c r="G288" s="2">
        <f t="shared" si="28"/>
        <v>145918</v>
      </c>
      <c r="H288" s="2">
        <f t="shared" si="28"/>
        <v>148139</v>
      </c>
      <c r="I288" s="193"/>
      <c r="J288" s="186"/>
      <c r="K288" s="2">
        <f t="shared" si="29"/>
        <v>158273</v>
      </c>
      <c r="AE288" s="42"/>
    </row>
    <row r="289" spans="1:31">
      <c r="A289" s="1" t="s">
        <v>167</v>
      </c>
      <c r="B289" s="1"/>
      <c r="C289" s="203">
        <f>C318+C347</f>
        <v>5637.1439953097415</v>
      </c>
      <c r="D289" s="203">
        <f>D318+D347</f>
        <v>0</v>
      </c>
      <c r="E289" s="172"/>
      <c r="F289" s="172"/>
      <c r="G289" s="204">
        <f t="shared" si="28"/>
        <v>415.97676418055232</v>
      </c>
      <c r="H289" s="204">
        <f t="shared" si="28"/>
        <v>0</v>
      </c>
      <c r="I289" s="172"/>
      <c r="J289" s="172"/>
      <c r="K289" s="204">
        <f t="shared" si="29"/>
        <v>0</v>
      </c>
      <c r="M289" s="152"/>
      <c r="N289" s="152"/>
      <c r="O289" s="153"/>
      <c r="AE289" s="42"/>
    </row>
    <row r="290" spans="1:31" ht="16.5" thickBot="1">
      <c r="A290" s="1" t="s">
        <v>186</v>
      </c>
      <c r="B290" s="1"/>
      <c r="C290" s="174">
        <f>SUM(C288:C289)</f>
        <v>1485361.1439953097</v>
      </c>
      <c r="D290" s="174">
        <f>SUM(D288:D289)</f>
        <v>1512494.9193898283</v>
      </c>
      <c r="E290" s="205"/>
      <c r="F290" s="206"/>
      <c r="G290" s="207">
        <f>G288+G289</f>
        <v>146333.97676418055</v>
      </c>
      <c r="H290" s="207">
        <f>H288+H289</f>
        <v>148139</v>
      </c>
      <c r="I290" s="205"/>
      <c r="J290" s="208"/>
      <c r="K290" s="207">
        <f>K288+K289</f>
        <v>158273</v>
      </c>
      <c r="M290" s="154"/>
      <c r="N290" s="154"/>
      <c r="O290" s="155"/>
      <c r="AE290" s="42"/>
    </row>
    <row r="291" spans="1:31" ht="16.5" thickTop="1">
      <c r="A291" s="1"/>
      <c r="B291" s="1"/>
      <c r="C291" s="12"/>
      <c r="D291" s="12"/>
      <c r="E291" s="200"/>
      <c r="F291" s="2"/>
      <c r="G291" s="2"/>
      <c r="H291" s="2"/>
      <c r="I291" s="200"/>
      <c r="J291" s="1"/>
      <c r="K291" s="2" t="s">
        <v>13</v>
      </c>
      <c r="AE291" s="42"/>
    </row>
    <row r="292" spans="1:31">
      <c r="A292" s="156" t="s">
        <v>219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AE292" s="42"/>
    </row>
    <row r="293" spans="1:31">
      <c r="A293" s="1" t="s">
        <v>215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42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42"/>
    </row>
    <row r="295" spans="1:31">
      <c r="A295" s="1" t="s">
        <v>197</v>
      </c>
      <c r="B295" s="1"/>
      <c r="C295" s="182"/>
      <c r="D295" s="182"/>
      <c r="E295" s="2"/>
      <c r="F295" s="2"/>
      <c r="G295" s="1"/>
      <c r="H295" s="1"/>
      <c r="I295" s="2"/>
      <c r="J295" s="1"/>
      <c r="K295" s="1"/>
      <c r="AE295" s="42"/>
    </row>
    <row r="296" spans="1:31">
      <c r="A296" s="1" t="s">
        <v>220</v>
      </c>
      <c r="B296" s="1"/>
      <c r="C296" s="182">
        <f>3955+554</f>
        <v>4509</v>
      </c>
      <c r="D296" s="182">
        <f>ROUND((D300/C300)*C296,0)</f>
        <v>4475</v>
      </c>
      <c r="E296" s="161">
        <v>7</v>
      </c>
      <c r="F296" s="184"/>
      <c r="G296" s="2">
        <f>ROUND(E296*$C296,0)</f>
        <v>31563</v>
      </c>
      <c r="H296" s="2">
        <f>ROUND(E296*$D296,0)</f>
        <v>31325</v>
      </c>
      <c r="I296" s="161">
        <f>$I$153</f>
        <v>7.53</v>
      </c>
      <c r="J296" s="186"/>
      <c r="K296" s="2">
        <f>ROUND(I296*$D296,0)</f>
        <v>33697</v>
      </c>
      <c r="AE296" s="42"/>
    </row>
    <row r="297" spans="1:31">
      <c r="A297" s="1" t="s">
        <v>195</v>
      </c>
      <c r="B297" s="1"/>
      <c r="C297" s="182">
        <v>0</v>
      </c>
      <c r="D297" s="182">
        <v>0</v>
      </c>
      <c r="E297" s="161">
        <v>10.4</v>
      </c>
      <c r="F297" s="187"/>
      <c r="G297" s="2">
        <f>ROUND(E297*$C297,0)</f>
        <v>0</v>
      </c>
      <c r="H297" s="2">
        <f>ROUND(E297*$D297,0)</f>
        <v>0</v>
      </c>
      <c r="I297" s="161">
        <f>$I$154</f>
        <v>11.18</v>
      </c>
      <c r="J297" s="188"/>
      <c r="K297" s="2">
        <f>ROUND(I297*$D297,0)</f>
        <v>0</v>
      </c>
      <c r="AE297" s="42"/>
    </row>
    <row r="298" spans="1:31">
      <c r="A298" s="1" t="s">
        <v>196</v>
      </c>
      <c r="B298" s="1"/>
      <c r="C298" s="182">
        <v>0</v>
      </c>
      <c r="D298" s="182">
        <v>0</v>
      </c>
      <c r="E298" s="161">
        <v>0.69</v>
      </c>
      <c r="F298" s="187"/>
      <c r="G298" s="2">
        <f>ROUND(E298*$C298,0)</f>
        <v>0</v>
      </c>
      <c r="H298" s="2">
        <f>ROUND(E298*$D298,0)</f>
        <v>0</v>
      </c>
      <c r="I298" s="161">
        <f>$I$155</f>
        <v>0.78</v>
      </c>
      <c r="J298" s="188"/>
      <c r="K298" s="2">
        <f>ROUND(I298*$D298,0)</f>
        <v>0</v>
      </c>
      <c r="AE298" s="42"/>
    </row>
    <row r="299" spans="1:31">
      <c r="A299" s="1" t="s">
        <v>198</v>
      </c>
      <c r="B299" s="1"/>
      <c r="C299" s="182">
        <f>SUM(C296:C297)</f>
        <v>4509</v>
      </c>
      <c r="D299" s="182">
        <f>ROUND((D300/C300)*C299,0)</f>
        <v>4475</v>
      </c>
      <c r="E299" s="161"/>
      <c r="F299" s="184"/>
      <c r="G299" s="2"/>
      <c r="H299" s="2"/>
      <c r="I299" s="161"/>
      <c r="J299" s="186"/>
      <c r="K299" s="2"/>
      <c r="AE299" s="42"/>
    </row>
    <row r="300" spans="1:31">
      <c r="A300" s="1" t="s">
        <v>166</v>
      </c>
      <c r="B300" s="1"/>
      <c r="C300" s="182">
        <f>118+1463</f>
        <v>1581</v>
      </c>
      <c r="D300" s="182">
        <v>1569</v>
      </c>
      <c r="E300" s="161"/>
      <c r="F300" s="184"/>
      <c r="G300" s="2"/>
      <c r="H300" s="2"/>
      <c r="I300" s="161"/>
      <c r="J300" s="186"/>
      <c r="K300" s="2"/>
      <c r="AE300" s="42"/>
    </row>
    <row r="301" spans="1:31">
      <c r="A301" s="1" t="s">
        <v>199</v>
      </c>
      <c r="B301" s="1"/>
      <c r="C301" s="182">
        <v>0</v>
      </c>
      <c r="D301" s="182">
        <v>0</v>
      </c>
      <c r="E301" s="189">
        <v>2.81</v>
      </c>
      <c r="F301" s="186"/>
      <c r="G301" s="2">
        <f>ROUND(E301*$C301,0)</f>
        <v>0</v>
      </c>
      <c r="H301" s="2">
        <f>ROUND(E301*$D301,0)</f>
        <v>0</v>
      </c>
      <c r="I301" s="189">
        <f>$I$158</f>
        <v>2.88</v>
      </c>
      <c r="J301" s="186"/>
      <c r="K301" s="2">
        <f>ROUND(I301*$D301,0)</f>
        <v>0</v>
      </c>
      <c r="AE301" s="42"/>
    </row>
    <row r="302" spans="1:31">
      <c r="A302" s="1" t="s">
        <v>201</v>
      </c>
      <c r="B302" s="1"/>
      <c r="C302" s="182">
        <f>36756+1134799+210050</f>
        <v>1381605</v>
      </c>
      <c r="D302" s="182">
        <f>ROUND(($D$317/'Blocking - detail'!$C$317)*C302,0)</f>
        <v>1407918</v>
      </c>
      <c r="E302" s="162">
        <v>7.5869999999999997</v>
      </c>
      <c r="F302" s="186" t="s">
        <v>178</v>
      </c>
      <c r="G302" s="2">
        <f>ROUND(E302*$C302/100,0)</f>
        <v>104822</v>
      </c>
      <c r="H302" s="2">
        <f>ROUND(E302*$D302/100,0)</f>
        <v>106819</v>
      </c>
      <c r="I302" s="162">
        <f>$I$159</f>
        <v>8.0890000000000004</v>
      </c>
      <c r="J302" s="186" t="s">
        <v>178</v>
      </c>
      <c r="K302" s="2">
        <f>ROUND(I302*$D302/100,0)</f>
        <v>113886</v>
      </c>
      <c r="AE302" s="42"/>
    </row>
    <row r="303" spans="1:31">
      <c r="A303" s="1" t="s">
        <v>202</v>
      </c>
      <c r="B303" s="12"/>
      <c r="C303" s="182">
        <f>64806</f>
        <v>64806</v>
      </c>
      <c r="D303" s="182">
        <f>ROUND(($D$317/'Blocking - detail'!$C$317)*C303,0)</f>
        <v>66040</v>
      </c>
      <c r="E303" s="162">
        <v>5.2370000000000001</v>
      </c>
      <c r="F303" s="186" t="s">
        <v>178</v>
      </c>
      <c r="G303" s="2">
        <f>ROUND(E303*$C303/100,0)</f>
        <v>3394</v>
      </c>
      <c r="H303" s="2">
        <f>ROUND(E303*$D303/100,0)</f>
        <v>3459</v>
      </c>
      <c r="I303" s="162">
        <f>$I$160</f>
        <v>5.5839999999999996</v>
      </c>
      <c r="J303" s="186" t="s">
        <v>178</v>
      </c>
      <c r="K303" s="2">
        <f>ROUND(I303*$D303/100,0)</f>
        <v>3688</v>
      </c>
      <c r="AE303" s="42"/>
    </row>
    <row r="304" spans="1:31">
      <c r="A304" s="1" t="s">
        <v>203</v>
      </c>
      <c r="B304" s="1"/>
      <c r="C304" s="182">
        <f>36756+1199605+210050-C302-C303</f>
        <v>0</v>
      </c>
      <c r="D304" s="182">
        <f>ROUND(($D$317/'Blocking - detail'!$C$317)*C304,0)</f>
        <v>0</v>
      </c>
      <c r="E304" s="162">
        <v>4.5129999999999999</v>
      </c>
      <c r="F304" s="186" t="s">
        <v>178</v>
      </c>
      <c r="G304" s="2">
        <f>ROUND(E304*$C304/100,0)</f>
        <v>0</v>
      </c>
      <c r="H304" s="2">
        <f>ROUND(E304*$D304/100,0)</f>
        <v>0</v>
      </c>
      <c r="I304" s="162">
        <f>$I$161</f>
        <v>4.8100000000000005</v>
      </c>
      <c r="J304" s="186" t="s">
        <v>178</v>
      </c>
      <c r="K304" s="2">
        <f>ROUND(I304*$D304/100,0)</f>
        <v>0</v>
      </c>
      <c r="AE304" s="42"/>
    </row>
    <row r="305" spans="1:31">
      <c r="A305" s="1" t="s">
        <v>204</v>
      </c>
      <c r="B305" s="1"/>
      <c r="C305" s="182">
        <v>0</v>
      </c>
      <c r="D305" s="182">
        <f>ROUND(($D$317/'Blocking - detail'!$C$317)*C305,0)</f>
        <v>0</v>
      </c>
      <c r="E305" s="193">
        <v>45</v>
      </c>
      <c r="F305" s="184" t="s">
        <v>178</v>
      </c>
      <c r="G305" s="2">
        <f>ROUND(E305*$C305/100,0)</f>
        <v>0</v>
      </c>
      <c r="H305" s="2">
        <f>ROUND(E305*$D305/100,0)</f>
        <v>0</v>
      </c>
      <c r="I305" s="193">
        <f>$I$162</f>
        <v>45</v>
      </c>
      <c r="J305" s="186" t="s">
        <v>178</v>
      </c>
      <c r="K305" s="2">
        <f>ROUND(I305*$D305/100,0)</f>
        <v>0</v>
      </c>
      <c r="AE305" s="42"/>
    </row>
    <row r="306" spans="1:31">
      <c r="A306" s="194" t="s">
        <v>205</v>
      </c>
      <c r="B306" s="1"/>
      <c r="C306" s="182"/>
      <c r="D306" s="182"/>
      <c r="E306" s="195">
        <v>-0.01</v>
      </c>
      <c r="F306" s="184"/>
      <c r="G306" s="2"/>
      <c r="H306" s="2"/>
      <c r="I306" s="195">
        <f>$I$163</f>
        <v>-0.01</v>
      </c>
      <c r="J306" s="186"/>
      <c r="K306" s="2"/>
      <c r="AE306" s="42"/>
    </row>
    <row r="307" spans="1:31">
      <c r="A307" s="1" t="s">
        <v>194</v>
      </c>
      <c r="B307" s="1"/>
      <c r="C307" s="182">
        <v>0</v>
      </c>
      <c r="D307" s="182">
        <v>0</v>
      </c>
      <c r="E307" s="197">
        <f>E296</f>
        <v>7</v>
      </c>
      <c r="F307" s="184"/>
      <c r="G307" s="2">
        <f>-ROUND(E307*$C307/100,0)</f>
        <v>0</v>
      </c>
      <c r="H307" s="2">
        <f t="shared" ref="H307:H316" si="30">-ROUND(E307*$D307/100,0)</f>
        <v>0</v>
      </c>
      <c r="I307" s="197">
        <f>I297</f>
        <v>11.18</v>
      </c>
      <c r="J307" s="184"/>
      <c r="K307" s="2">
        <f>-ROUND(I307*$D307/100,0)</f>
        <v>0</v>
      </c>
      <c r="AE307" s="42"/>
    </row>
    <row r="308" spans="1:31">
      <c r="A308" s="1" t="s">
        <v>195</v>
      </c>
      <c r="B308" s="1"/>
      <c r="C308" s="182">
        <v>0</v>
      </c>
      <c r="D308" s="182">
        <v>0</v>
      </c>
      <c r="E308" s="197">
        <f>E297</f>
        <v>10.4</v>
      </c>
      <c r="F308" s="184"/>
      <c r="G308" s="2">
        <f>-ROUND(E308*$C308/100,0)</f>
        <v>0</v>
      </c>
      <c r="H308" s="2">
        <f t="shared" si="30"/>
        <v>0</v>
      </c>
      <c r="I308" s="197">
        <f>I298</f>
        <v>0.78</v>
      </c>
      <c r="J308" s="184"/>
      <c r="K308" s="2">
        <f>-ROUND(I308*$D308/100,0)</f>
        <v>0</v>
      </c>
      <c r="AE308" s="42"/>
    </row>
    <row r="309" spans="1:31">
      <c r="A309" s="1" t="s">
        <v>206</v>
      </c>
      <c r="B309" s="1"/>
      <c r="C309" s="182">
        <v>0</v>
      </c>
      <c r="D309" s="182">
        <f>ROUND(($D$317/'Blocking - detail'!$C$317)*C309,0)</f>
        <v>0</v>
      </c>
      <c r="E309" s="197">
        <f>E298</f>
        <v>0.69</v>
      </c>
      <c r="F309" s="184"/>
      <c r="G309" s="2">
        <f>-ROUND(E309*$C309/100,0)</f>
        <v>0</v>
      </c>
      <c r="H309" s="2">
        <f t="shared" si="30"/>
        <v>0</v>
      </c>
      <c r="I309" s="197">
        <f>I299</f>
        <v>0</v>
      </c>
      <c r="J309" s="184"/>
      <c r="K309" s="2">
        <f>-ROUND(I309*$D309/100,0)</f>
        <v>0</v>
      </c>
      <c r="AE309" s="42"/>
    </row>
    <row r="310" spans="1:31">
      <c r="A310" s="1" t="s">
        <v>207</v>
      </c>
      <c r="B310" s="1"/>
      <c r="C310" s="182">
        <v>0</v>
      </c>
      <c r="D310" s="182">
        <f>ROUND(($D$317/'Blocking - detail'!$C$317)*C310,0)</f>
        <v>0</v>
      </c>
      <c r="E310" s="197">
        <f>E301</f>
        <v>2.81</v>
      </c>
      <c r="F310" s="186"/>
      <c r="G310" s="2">
        <f>-ROUND(E310*$C310/100,0)</f>
        <v>0</v>
      </c>
      <c r="H310" s="2">
        <f t="shared" si="30"/>
        <v>0</v>
      </c>
      <c r="I310" s="197">
        <f>I301</f>
        <v>2.88</v>
      </c>
      <c r="J310" s="186"/>
      <c r="K310" s="2">
        <f>-ROUND(I310*$D310/100,0)</f>
        <v>0</v>
      </c>
      <c r="AE310" s="42"/>
    </row>
    <row r="311" spans="1:31">
      <c r="A311" s="1" t="s">
        <v>209</v>
      </c>
      <c r="B311" s="1"/>
      <c r="C311" s="182">
        <v>0</v>
      </c>
      <c r="D311" s="182">
        <f>ROUND(($D$317/'Blocking - detail'!$C$317)*C311,0)</f>
        <v>0</v>
      </c>
      <c r="E311" s="198">
        <f>E302</f>
        <v>7.5869999999999997</v>
      </c>
      <c r="F311" s="186" t="s">
        <v>178</v>
      </c>
      <c r="G311" s="2">
        <f>ROUND(E311*$C311/100*E306,0)</f>
        <v>0</v>
      </c>
      <c r="H311" s="2">
        <f t="shared" si="30"/>
        <v>0</v>
      </c>
      <c r="I311" s="198">
        <f>I302</f>
        <v>8.0890000000000004</v>
      </c>
      <c r="J311" s="186" t="s">
        <v>178</v>
      </c>
      <c r="K311" s="2">
        <f>ROUND(I311*$D311/100*I306,0)</f>
        <v>0</v>
      </c>
      <c r="AE311" s="42"/>
    </row>
    <row r="312" spans="1:31">
      <c r="A312" s="1" t="s">
        <v>202</v>
      </c>
      <c r="B312" s="1"/>
      <c r="C312" s="182">
        <v>0</v>
      </c>
      <c r="D312" s="182">
        <f>ROUND(($D$317/'Blocking - detail'!$C$317)*C312,0)</f>
        <v>0</v>
      </c>
      <c r="E312" s="198">
        <f>E303</f>
        <v>5.2370000000000001</v>
      </c>
      <c r="F312" s="186" t="s">
        <v>178</v>
      </c>
      <c r="G312" s="2">
        <f>ROUND(E312*$C312/100*E306,0)</f>
        <v>0</v>
      </c>
      <c r="H312" s="2">
        <f t="shared" si="30"/>
        <v>0</v>
      </c>
      <c r="I312" s="198">
        <f>I303</f>
        <v>5.5839999999999996</v>
      </c>
      <c r="J312" s="186" t="s">
        <v>178</v>
      </c>
      <c r="K312" s="2">
        <f>ROUND(I312*$D312/100*I306,0)</f>
        <v>0</v>
      </c>
      <c r="AE312" s="42"/>
    </row>
    <row r="313" spans="1:31">
      <c r="A313" s="1" t="s">
        <v>203</v>
      </c>
      <c r="B313" s="1"/>
      <c r="C313" s="182">
        <v>0</v>
      </c>
      <c r="D313" s="182">
        <f>ROUND(($D$317/'Blocking - detail'!$C$317)*C313,0)</f>
        <v>0</v>
      </c>
      <c r="E313" s="198">
        <f>E304</f>
        <v>4.5129999999999999</v>
      </c>
      <c r="F313" s="186" t="s">
        <v>178</v>
      </c>
      <c r="G313" s="2">
        <f>ROUND(E313*$C313/100*E306,0)</f>
        <v>0</v>
      </c>
      <c r="H313" s="2">
        <f t="shared" si="30"/>
        <v>0</v>
      </c>
      <c r="I313" s="198">
        <f>I304</f>
        <v>4.8100000000000005</v>
      </c>
      <c r="J313" s="186" t="s">
        <v>178</v>
      </c>
      <c r="K313" s="2">
        <f>ROUND(I313*$D313/100*I306,0)</f>
        <v>0</v>
      </c>
      <c r="AE313" s="42"/>
    </row>
    <row r="314" spans="1:31">
      <c r="A314" s="1" t="s">
        <v>204</v>
      </c>
      <c r="B314" s="1"/>
      <c r="C314" s="182">
        <v>0</v>
      </c>
      <c r="D314" s="182">
        <f>ROUND(($D$317/'Blocking - detail'!$C$317)*C314,0)</f>
        <v>0</v>
      </c>
      <c r="E314" s="199">
        <f>E305</f>
        <v>45</v>
      </c>
      <c r="F314" s="186" t="s">
        <v>178</v>
      </c>
      <c r="G314" s="2">
        <f>ROUND(E314*$C314/100*E306,0)</f>
        <v>0</v>
      </c>
      <c r="H314" s="2">
        <f t="shared" si="30"/>
        <v>0</v>
      </c>
      <c r="I314" s="199">
        <f>I305</f>
        <v>45</v>
      </c>
      <c r="J314" s="186" t="s">
        <v>178</v>
      </c>
      <c r="K314" s="2">
        <f>ROUND(I314*$D314/100*I306,0)</f>
        <v>0</v>
      </c>
      <c r="AE314" s="42"/>
    </row>
    <row r="315" spans="1:31">
      <c r="A315" s="1" t="s">
        <v>211</v>
      </c>
      <c r="B315" s="1"/>
      <c r="C315" s="182">
        <v>0</v>
      </c>
      <c r="D315" s="182">
        <f>ROUND(($D$317/'Blocking - detail'!$C$317)*C315,0)</f>
        <v>0</v>
      </c>
      <c r="E315" s="200">
        <v>60</v>
      </c>
      <c r="F315" s="184"/>
      <c r="G315" s="2">
        <f>ROUND(E315*$C315,0)</f>
        <v>0</v>
      </c>
      <c r="H315" s="2">
        <f t="shared" si="30"/>
        <v>0</v>
      </c>
      <c r="I315" s="200">
        <f>$I$172</f>
        <v>60</v>
      </c>
      <c r="J315" s="186"/>
      <c r="K315" s="2">
        <f>ROUND(I315*$D315,0)</f>
        <v>0</v>
      </c>
      <c r="AE315" s="42"/>
    </row>
    <row r="316" spans="1:31">
      <c r="A316" s="1" t="s">
        <v>212</v>
      </c>
      <c r="B316" s="1"/>
      <c r="C316" s="182">
        <v>0</v>
      </c>
      <c r="D316" s="182">
        <f>ROUND(($D$317/'Blocking - detail'!$C$317)*C316,0)</f>
        <v>0</v>
      </c>
      <c r="E316" s="202">
        <v>-30</v>
      </c>
      <c r="F316" s="184" t="s">
        <v>178</v>
      </c>
      <c r="G316" s="2">
        <f>ROUND(E316*$C316/100,0)</f>
        <v>0</v>
      </c>
      <c r="H316" s="2">
        <f t="shared" si="30"/>
        <v>0</v>
      </c>
      <c r="I316" s="202">
        <f>$I$173</f>
        <v>-30</v>
      </c>
      <c r="J316" s="186" t="s">
        <v>178</v>
      </c>
      <c r="K316" s="2">
        <f>ROUND(I316*$D316/100,0)</f>
        <v>0</v>
      </c>
      <c r="AE316" s="42"/>
    </row>
    <row r="317" spans="1:31">
      <c r="A317" s="1" t="s">
        <v>185</v>
      </c>
      <c r="B317" s="1"/>
      <c r="C317" s="182">
        <f>SUM(C302:C304)</f>
        <v>1446411</v>
      </c>
      <c r="D317" s="182">
        <v>1473957.9193898283</v>
      </c>
      <c r="E317" s="193"/>
      <c r="F317" s="2"/>
      <c r="G317" s="2">
        <f>SUM(G296:G316)</f>
        <v>139779</v>
      </c>
      <c r="H317" s="2">
        <f>SUM(H296:H316)</f>
        <v>141603</v>
      </c>
      <c r="I317" s="193"/>
      <c r="J317" s="186"/>
      <c r="K317" s="2">
        <f>SUM(K296:K316)</f>
        <v>151271</v>
      </c>
      <c r="AE317" s="42"/>
    </row>
    <row r="318" spans="1:31">
      <c r="A318" s="1" t="s">
        <v>167</v>
      </c>
      <c r="B318" s="1"/>
      <c r="C318" s="212">
        <v>6388.0237176284736</v>
      </c>
      <c r="D318" s="203">
        <v>0</v>
      </c>
      <c r="E318" s="172"/>
      <c r="F318" s="172"/>
      <c r="G318" s="204">
        <v>524.67537963993209</v>
      </c>
      <c r="H318" s="204">
        <v>0</v>
      </c>
      <c r="I318" s="172"/>
      <c r="J318" s="172"/>
      <c r="K318" s="204">
        <v>0</v>
      </c>
      <c r="M318" s="152"/>
      <c r="N318" s="152"/>
      <c r="O318" s="153"/>
      <c r="AE318" s="42"/>
    </row>
    <row r="319" spans="1:31" ht="16.5" thickBot="1">
      <c r="A319" s="1" t="s">
        <v>186</v>
      </c>
      <c r="B319" s="1"/>
      <c r="C319" s="174">
        <f>SUM(C317:C318)</f>
        <v>1452799.0237176286</v>
      </c>
      <c r="D319" s="174">
        <f>SUM(D317:D318)</f>
        <v>1473957.9193898283</v>
      </c>
      <c r="E319" s="205"/>
      <c r="F319" s="206"/>
      <c r="G319" s="207">
        <f>G317+G318</f>
        <v>140303.67537963993</v>
      </c>
      <c r="H319" s="207">
        <f>H317+H318</f>
        <v>141603</v>
      </c>
      <c r="I319" s="205"/>
      <c r="J319" s="208"/>
      <c r="K319" s="207">
        <f>K317+K318</f>
        <v>151271</v>
      </c>
      <c r="M319" s="154"/>
      <c r="N319" s="154"/>
      <c r="O319" s="155"/>
      <c r="AE319" s="42"/>
    </row>
    <row r="320" spans="1:31" ht="16.5" thickTop="1">
      <c r="A320" s="1"/>
      <c r="B320" s="1"/>
      <c r="C320" s="12"/>
      <c r="D320" s="12"/>
      <c r="E320" s="200"/>
      <c r="F320" s="2"/>
      <c r="G320" s="2"/>
      <c r="H320" s="2"/>
      <c r="I320" s="200"/>
      <c r="J320" s="1"/>
      <c r="K320" s="2" t="s">
        <v>13</v>
      </c>
      <c r="AE320" s="42"/>
    </row>
    <row r="321" spans="1:31">
      <c r="A321" s="156" t="s">
        <v>219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AE321" s="42"/>
    </row>
    <row r="322" spans="1:31">
      <c r="A322" s="1" t="s">
        <v>218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42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42"/>
    </row>
    <row r="324" spans="1:31">
      <c r="A324" s="1" t="s">
        <v>197</v>
      </c>
      <c r="B324" s="1"/>
      <c r="C324" s="182"/>
      <c r="D324" s="182"/>
      <c r="E324" s="2"/>
      <c r="F324" s="2"/>
      <c r="G324" s="1"/>
      <c r="H324" s="1"/>
      <c r="I324" s="2"/>
      <c r="J324" s="1"/>
      <c r="K324" s="1"/>
      <c r="AE324" s="42"/>
    </row>
    <row r="325" spans="1:31">
      <c r="A325" s="1" t="s">
        <v>220</v>
      </c>
      <c r="B325" s="1"/>
      <c r="C325" s="182">
        <v>516</v>
      </c>
      <c r="D325" s="182">
        <f>ROUND((D329/C329)*C325,0)</f>
        <v>516</v>
      </c>
      <c r="E325" s="161">
        <v>7</v>
      </c>
      <c r="F325" s="184"/>
      <c r="G325" s="2">
        <f>ROUND(E325*$C325,0)</f>
        <v>3612</v>
      </c>
      <c r="H325" s="2">
        <f>ROUND(E325*$D325,0)</f>
        <v>3612</v>
      </c>
      <c r="I325" s="161">
        <f>$I$153</f>
        <v>7.53</v>
      </c>
      <c r="J325" s="186"/>
      <c r="K325" s="2">
        <f>ROUND(I325*$D325,0)</f>
        <v>3885</v>
      </c>
      <c r="AE325" s="42"/>
    </row>
    <row r="326" spans="1:31">
      <c r="A326" s="1" t="s">
        <v>195</v>
      </c>
      <c r="B326" s="1"/>
      <c r="C326" s="182">
        <v>0</v>
      </c>
      <c r="D326" s="182">
        <v>0</v>
      </c>
      <c r="E326" s="161">
        <v>10.4</v>
      </c>
      <c r="F326" s="187"/>
      <c r="G326" s="2">
        <f>ROUND(E326*$C326,0)</f>
        <v>0</v>
      </c>
      <c r="H326" s="2">
        <f>ROUND(E326*$D326,0)</f>
        <v>0</v>
      </c>
      <c r="I326" s="161">
        <f>$I$154</f>
        <v>11.18</v>
      </c>
      <c r="J326" s="188"/>
      <c r="K326" s="2">
        <f>ROUND(I326*$D326,0)</f>
        <v>0</v>
      </c>
      <c r="AE326" s="42"/>
    </row>
    <row r="327" spans="1:31">
      <c r="A327" s="1" t="s">
        <v>196</v>
      </c>
      <c r="B327" s="1"/>
      <c r="C327" s="182">
        <v>0</v>
      </c>
      <c r="D327" s="182">
        <v>0</v>
      </c>
      <c r="E327" s="161">
        <v>0.69</v>
      </c>
      <c r="F327" s="187"/>
      <c r="G327" s="2">
        <f>ROUND(E327*$C327,0)</f>
        <v>0</v>
      </c>
      <c r="H327" s="2">
        <f>ROUND(E327*$D327,0)</f>
        <v>0</v>
      </c>
      <c r="I327" s="161">
        <f>$I$155</f>
        <v>0.78</v>
      </c>
      <c r="J327" s="188"/>
      <c r="K327" s="2">
        <f>ROUND(I327*$D327,0)</f>
        <v>0</v>
      </c>
      <c r="AE327" s="42"/>
    </row>
    <row r="328" spans="1:31">
      <c r="A328" s="1" t="s">
        <v>198</v>
      </c>
      <c r="B328" s="1"/>
      <c r="C328" s="182">
        <f>SUM(C325:C326)</f>
        <v>516</v>
      </c>
      <c r="D328" s="182">
        <f>ROUND((D329/C329)*C328,0)</f>
        <v>516</v>
      </c>
      <c r="E328" s="161"/>
      <c r="F328" s="184"/>
      <c r="G328" s="2"/>
      <c r="H328" s="2"/>
      <c r="I328" s="161"/>
      <c r="J328" s="186"/>
      <c r="K328" s="2"/>
      <c r="AE328" s="42"/>
    </row>
    <row r="329" spans="1:31">
      <c r="A329" s="1" t="s">
        <v>166</v>
      </c>
      <c r="B329" s="1"/>
      <c r="C329" s="182">
        <v>48</v>
      </c>
      <c r="D329" s="182">
        <v>48</v>
      </c>
      <c r="E329" s="161"/>
      <c r="F329" s="184"/>
      <c r="G329" s="2"/>
      <c r="H329" s="2"/>
      <c r="I329" s="161"/>
      <c r="J329" s="186"/>
      <c r="K329" s="2"/>
      <c r="AE329" s="42"/>
    </row>
    <row r="330" spans="1:31">
      <c r="A330" s="1" t="s">
        <v>199</v>
      </c>
      <c r="B330" s="1"/>
      <c r="C330" s="182">
        <v>0</v>
      </c>
      <c r="D330" s="182">
        <v>0</v>
      </c>
      <c r="E330" s="189">
        <v>2.81</v>
      </c>
      <c r="F330" s="186"/>
      <c r="G330" s="2">
        <f>ROUND(E330*$C330,0)</f>
        <v>0</v>
      </c>
      <c r="H330" s="2">
        <f>ROUND(E330*$D330,0)</f>
        <v>0</v>
      </c>
      <c r="I330" s="189">
        <f>$I$158</f>
        <v>2.88</v>
      </c>
      <c r="J330" s="186"/>
      <c r="K330" s="2">
        <f>ROUND(I330*$D330,0)</f>
        <v>0</v>
      </c>
      <c r="AE330" s="42"/>
    </row>
    <row r="331" spans="1:31">
      <c r="A331" s="1" t="s">
        <v>201</v>
      </c>
      <c r="B331" s="1"/>
      <c r="C331" s="182">
        <f>33313</f>
        <v>33313</v>
      </c>
      <c r="D331" s="182">
        <f>ROUND(($D$346/'Blocking - detail'!$C$346)*C331,0)</f>
        <v>38537</v>
      </c>
      <c r="E331" s="162">
        <v>7.5869999999999997</v>
      </c>
      <c r="F331" s="186" t="s">
        <v>178</v>
      </c>
      <c r="G331" s="2">
        <f>ROUND(E331*$C331/100,0)</f>
        <v>2527</v>
      </c>
      <c r="H331" s="2">
        <f>ROUND(E331*$D331/100,0)</f>
        <v>2924</v>
      </c>
      <c r="I331" s="162">
        <f>$I$159</f>
        <v>8.0890000000000004</v>
      </c>
      <c r="J331" s="186" t="s">
        <v>178</v>
      </c>
      <c r="K331" s="2">
        <f>ROUND(I331*$D331/100,0)</f>
        <v>3117</v>
      </c>
      <c r="AE331" s="42"/>
    </row>
    <row r="332" spans="1:31">
      <c r="A332" s="1" t="s">
        <v>202</v>
      </c>
      <c r="B332" s="1"/>
      <c r="C332" s="182">
        <v>0</v>
      </c>
      <c r="D332" s="182">
        <v>0</v>
      </c>
      <c r="E332" s="162">
        <v>5.2370000000000001</v>
      </c>
      <c r="F332" s="186" t="s">
        <v>178</v>
      </c>
      <c r="G332" s="2">
        <f>ROUND(E332*$C332/100,0)</f>
        <v>0</v>
      </c>
      <c r="H332" s="2">
        <f>ROUND(E332*$D332/100,0)</f>
        <v>0</v>
      </c>
      <c r="I332" s="162">
        <f>$I$160</f>
        <v>5.5839999999999996</v>
      </c>
      <c r="J332" s="186" t="s">
        <v>178</v>
      </c>
      <c r="K332" s="2">
        <f>ROUND(I332*$D332/100,0)</f>
        <v>0</v>
      </c>
      <c r="AE332" s="42"/>
    </row>
    <row r="333" spans="1:31">
      <c r="A333" s="1" t="s">
        <v>203</v>
      </c>
      <c r="B333" s="1"/>
      <c r="C333" s="182">
        <f>33313-C331</f>
        <v>0</v>
      </c>
      <c r="D333" s="182">
        <v>0</v>
      </c>
      <c r="E333" s="162">
        <v>4.5129999999999999</v>
      </c>
      <c r="F333" s="186" t="s">
        <v>178</v>
      </c>
      <c r="G333" s="2">
        <f>ROUND(E333*$C333/100,0)</f>
        <v>0</v>
      </c>
      <c r="H333" s="2">
        <f>ROUND(E333*$D333/100,0)</f>
        <v>0</v>
      </c>
      <c r="I333" s="162">
        <f>$I$161</f>
        <v>4.8100000000000005</v>
      </c>
      <c r="J333" s="186" t="s">
        <v>178</v>
      </c>
      <c r="K333" s="2">
        <f>ROUND(I333*$D333/100,0)</f>
        <v>0</v>
      </c>
      <c r="AE333" s="42"/>
    </row>
    <row r="334" spans="1:31">
      <c r="A334" s="1" t="s">
        <v>204</v>
      </c>
      <c r="B334" s="1"/>
      <c r="C334" s="182">
        <v>0</v>
      </c>
      <c r="D334" s="182">
        <v>0</v>
      </c>
      <c r="E334" s="193">
        <v>45</v>
      </c>
      <c r="F334" s="184" t="s">
        <v>178</v>
      </c>
      <c r="G334" s="2">
        <f>ROUND(E334*$C334/100,0)</f>
        <v>0</v>
      </c>
      <c r="H334" s="2">
        <f>ROUND(E334*$D334/100,0)</f>
        <v>0</v>
      </c>
      <c r="I334" s="193">
        <f>$I$162</f>
        <v>45</v>
      </c>
      <c r="J334" s="186" t="s">
        <v>178</v>
      </c>
      <c r="K334" s="2">
        <f>ROUND(I334*$D334/100,0)</f>
        <v>0</v>
      </c>
      <c r="AE334" s="42"/>
    </row>
    <row r="335" spans="1:31">
      <c r="A335" s="194" t="s">
        <v>205</v>
      </c>
      <c r="B335" s="1"/>
      <c r="C335" s="182"/>
      <c r="D335" s="182"/>
      <c r="E335" s="195">
        <v>-0.01</v>
      </c>
      <c r="F335" s="184"/>
      <c r="G335" s="2"/>
      <c r="H335" s="2"/>
      <c r="I335" s="195">
        <f>$I$163</f>
        <v>-0.01</v>
      </c>
      <c r="J335" s="186"/>
      <c r="K335" s="2"/>
      <c r="AE335" s="42"/>
    </row>
    <row r="336" spans="1:31">
      <c r="A336" s="1" t="s">
        <v>194</v>
      </c>
      <c r="B336" s="1"/>
      <c r="C336" s="182">
        <v>0</v>
      </c>
      <c r="D336" s="182">
        <v>0</v>
      </c>
      <c r="E336" s="197">
        <f>E325</f>
        <v>7</v>
      </c>
      <c r="F336" s="184"/>
      <c r="G336" s="2">
        <f>-ROUND(E336*$C336/100,0)</f>
        <v>0</v>
      </c>
      <c r="H336" s="2">
        <f t="shared" ref="H336:H345" si="31">-ROUND(E336*$D336/100,0)</f>
        <v>0</v>
      </c>
      <c r="I336" s="197">
        <f>I326</f>
        <v>11.18</v>
      </c>
      <c r="J336" s="184"/>
      <c r="K336" s="2">
        <f>-ROUND(I336*$D336/100,0)</f>
        <v>0</v>
      </c>
      <c r="AE336" s="42"/>
    </row>
    <row r="337" spans="1:31">
      <c r="A337" s="1" t="s">
        <v>195</v>
      </c>
      <c r="B337" s="1"/>
      <c r="C337" s="182">
        <v>0</v>
      </c>
      <c r="D337" s="182">
        <v>0</v>
      </c>
      <c r="E337" s="197">
        <f>E326</f>
        <v>10.4</v>
      </c>
      <c r="F337" s="184"/>
      <c r="G337" s="2">
        <f>-ROUND(E337*$C337/100,0)</f>
        <v>0</v>
      </c>
      <c r="H337" s="2">
        <f t="shared" si="31"/>
        <v>0</v>
      </c>
      <c r="I337" s="197">
        <f>I327</f>
        <v>0.78</v>
      </c>
      <c r="J337" s="184"/>
      <c r="K337" s="2">
        <f>-ROUND(I337*$D337/100,0)</f>
        <v>0</v>
      </c>
      <c r="AE337" s="42"/>
    </row>
    <row r="338" spans="1:31">
      <c r="A338" s="1" t="s">
        <v>206</v>
      </c>
      <c r="B338" s="1"/>
      <c r="C338" s="182">
        <v>0</v>
      </c>
      <c r="D338" s="182">
        <v>0</v>
      </c>
      <c r="E338" s="197">
        <f>E327</f>
        <v>0.69</v>
      </c>
      <c r="F338" s="184"/>
      <c r="G338" s="2">
        <f>-ROUND(E338*$C338/100,0)</f>
        <v>0</v>
      </c>
      <c r="H338" s="2">
        <f t="shared" si="31"/>
        <v>0</v>
      </c>
      <c r="I338" s="197">
        <f>I328</f>
        <v>0</v>
      </c>
      <c r="J338" s="184"/>
      <c r="K338" s="2">
        <f>-ROUND(I338*$D338/100,0)</f>
        <v>0</v>
      </c>
      <c r="AE338" s="42"/>
    </row>
    <row r="339" spans="1:31">
      <c r="A339" s="1" t="s">
        <v>207</v>
      </c>
      <c r="B339" s="1"/>
      <c r="C339" s="182">
        <v>0</v>
      </c>
      <c r="D339" s="182">
        <v>0</v>
      </c>
      <c r="E339" s="197">
        <f>E330</f>
        <v>2.81</v>
      </c>
      <c r="F339" s="186"/>
      <c r="G339" s="2">
        <f>-ROUND(E339*$C339/100,0)</f>
        <v>0</v>
      </c>
      <c r="H339" s="2">
        <f t="shared" si="31"/>
        <v>0</v>
      </c>
      <c r="I339" s="197">
        <f>I330</f>
        <v>2.88</v>
      </c>
      <c r="J339" s="186"/>
      <c r="K339" s="2">
        <f>-ROUND(I339*$D339/100,0)</f>
        <v>0</v>
      </c>
      <c r="AE339" s="42"/>
    </row>
    <row r="340" spans="1:31">
      <c r="A340" s="1" t="s">
        <v>209</v>
      </c>
      <c r="B340" s="1"/>
      <c r="C340" s="182">
        <v>0</v>
      </c>
      <c r="D340" s="182">
        <v>0</v>
      </c>
      <c r="E340" s="198">
        <f>E331</f>
        <v>7.5869999999999997</v>
      </c>
      <c r="F340" s="186" t="s">
        <v>178</v>
      </c>
      <c r="G340" s="2">
        <f>ROUND(E340*$C340/100*E335,0)</f>
        <v>0</v>
      </c>
      <c r="H340" s="2">
        <f t="shared" si="31"/>
        <v>0</v>
      </c>
      <c r="I340" s="198">
        <f>I331</f>
        <v>8.0890000000000004</v>
      </c>
      <c r="J340" s="186" t="s">
        <v>178</v>
      </c>
      <c r="K340" s="2">
        <f>ROUND(I340*$D340/100*I335,0)</f>
        <v>0</v>
      </c>
      <c r="AE340" s="42"/>
    </row>
    <row r="341" spans="1:31">
      <c r="A341" s="1" t="s">
        <v>202</v>
      </c>
      <c r="B341" s="1"/>
      <c r="C341" s="182">
        <v>0</v>
      </c>
      <c r="D341" s="182">
        <v>0</v>
      </c>
      <c r="E341" s="198">
        <f>E332</f>
        <v>5.2370000000000001</v>
      </c>
      <c r="F341" s="186" t="s">
        <v>178</v>
      </c>
      <c r="G341" s="2">
        <f>ROUND(E341*$C341/100*E335,0)</f>
        <v>0</v>
      </c>
      <c r="H341" s="2">
        <f t="shared" si="31"/>
        <v>0</v>
      </c>
      <c r="I341" s="198">
        <f>I332</f>
        <v>5.5839999999999996</v>
      </c>
      <c r="J341" s="186" t="s">
        <v>178</v>
      </c>
      <c r="K341" s="2">
        <f>ROUND(I341*$D341/100*I335,0)</f>
        <v>0</v>
      </c>
      <c r="AE341" s="42"/>
    </row>
    <row r="342" spans="1:31">
      <c r="A342" s="1" t="s">
        <v>203</v>
      </c>
      <c r="B342" s="1"/>
      <c r="C342" s="182">
        <v>0</v>
      </c>
      <c r="D342" s="182">
        <v>0</v>
      </c>
      <c r="E342" s="198">
        <f>E333</f>
        <v>4.5129999999999999</v>
      </c>
      <c r="F342" s="186" t="s">
        <v>178</v>
      </c>
      <c r="G342" s="2">
        <f>ROUND(E342*$C342/100*E335,0)</f>
        <v>0</v>
      </c>
      <c r="H342" s="2">
        <f t="shared" si="31"/>
        <v>0</v>
      </c>
      <c r="I342" s="198">
        <f>I333</f>
        <v>4.8100000000000005</v>
      </c>
      <c r="J342" s="186" t="s">
        <v>178</v>
      </c>
      <c r="K342" s="2">
        <f>ROUND(I342*$D342/100*I335,0)</f>
        <v>0</v>
      </c>
      <c r="AE342" s="42"/>
    </row>
    <row r="343" spans="1:31">
      <c r="A343" s="1" t="s">
        <v>204</v>
      </c>
      <c r="B343" s="1"/>
      <c r="C343" s="182">
        <v>0</v>
      </c>
      <c r="D343" s="182">
        <v>0</v>
      </c>
      <c r="E343" s="199">
        <f>E334</f>
        <v>45</v>
      </c>
      <c r="F343" s="186" t="s">
        <v>178</v>
      </c>
      <c r="G343" s="2">
        <f>ROUND(E343*$C343/100*E335,0)</f>
        <v>0</v>
      </c>
      <c r="H343" s="2">
        <f t="shared" si="31"/>
        <v>0</v>
      </c>
      <c r="I343" s="199">
        <f>I334</f>
        <v>45</v>
      </c>
      <c r="J343" s="186" t="s">
        <v>178</v>
      </c>
      <c r="K343" s="2">
        <f>ROUND(I343*$D343/100*I335,0)</f>
        <v>0</v>
      </c>
      <c r="AE343" s="42"/>
    </row>
    <row r="344" spans="1:31">
      <c r="A344" s="1" t="s">
        <v>211</v>
      </c>
      <c r="B344" s="1"/>
      <c r="C344" s="182">
        <v>0</v>
      </c>
      <c r="D344" s="182">
        <v>0</v>
      </c>
      <c r="E344" s="200">
        <v>60</v>
      </c>
      <c r="F344" s="184"/>
      <c r="G344" s="2">
        <f>ROUND(E344*$C344,0)</f>
        <v>0</v>
      </c>
      <c r="H344" s="2">
        <f t="shared" si="31"/>
        <v>0</v>
      </c>
      <c r="I344" s="200">
        <f>$I$172</f>
        <v>60</v>
      </c>
      <c r="J344" s="186"/>
      <c r="K344" s="2">
        <f>ROUND(I344*$D344,0)</f>
        <v>0</v>
      </c>
      <c r="AE344" s="42"/>
    </row>
    <row r="345" spans="1:31">
      <c r="A345" s="1" t="s">
        <v>212</v>
      </c>
      <c r="B345" s="1"/>
      <c r="C345" s="182">
        <v>0</v>
      </c>
      <c r="D345" s="182">
        <v>0</v>
      </c>
      <c r="E345" s="202">
        <v>-30</v>
      </c>
      <c r="F345" s="184" t="s">
        <v>178</v>
      </c>
      <c r="G345" s="2">
        <f>ROUND(E345*$C345/100,0)</f>
        <v>0</v>
      </c>
      <c r="H345" s="2">
        <f t="shared" si="31"/>
        <v>0</v>
      </c>
      <c r="I345" s="202">
        <f>$I$173</f>
        <v>-30</v>
      </c>
      <c r="J345" s="186" t="s">
        <v>178</v>
      </c>
      <c r="K345" s="2">
        <f>ROUND(I345*$D345/100,0)</f>
        <v>0</v>
      </c>
      <c r="AE345" s="42"/>
    </row>
    <row r="346" spans="1:31">
      <c r="A346" s="1" t="s">
        <v>185</v>
      </c>
      <c r="B346" s="1"/>
      <c r="C346" s="182">
        <f>SUM(C331:C333)</f>
        <v>33313</v>
      </c>
      <c r="D346" s="182">
        <v>38537</v>
      </c>
      <c r="E346" s="193"/>
      <c r="F346" s="2"/>
      <c r="G346" s="2">
        <f>SUM(G325:G345)</f>
        <v>6139</v>
      </c>
      <c r="H346" s="2">
        <f>SUM(H325:H345)</f>
        <v>6536</v>
      </c>
      <c r="I346" s="193"/>
      <c r="J346" s="186"/>
      <c r="K346" s="2">
        <f>SUM(K325:K345)</f>
        <v>7002</v>
      </c>
      <c r="AE346" s="42"/>
    </row>
    <row r="347" spans="1:31">
      <c r="A347" s="1" t="s">
        <v>167</v>
      </c>
      <c r="B347" s="1"/>
      <c r="C347" s="212">
        <v>-750.87972231873164</v>
      </c>
      <c r="D347" s="203">
        <v>0</v>
      </c>
      <c r="E347" s="172"/>
      <c r="F347" s="172"/>
      <c r="G347" s="204">
        <v>-108.69861545937974</v>
      </c>
      <c r="H347" s="204">
        <v>0</v>
      </c>
      <c r="I347" s="172"/>
      <c r="J347" s="172"/>
      <c r="K347" s="204">
        <v>0</v>
      </c>
      <c r="M347" s="152"/>
      <c r="N347" s="152"/>
      <c r="O347" s="153"/>
      <c r="AE347" s="42"/>
    </row>
    <row r="348" spans="1:31" ht="16.5" thickBot="1">
      <c r="A348" s="1" t="s">
        <v>186</v>
      </c>
      <c r="B348" s="1"/>
      <c r="C348" s="174">
        <f>SUM(C346:C347)</f>
        <v>32562.120277681268</v>
      </c>
      <c r="D348" s="174">
        <f>SUM(D346:D347)</f>
        <v>38537</v>
      </c>
      <c r="E348" s="205"/>
      <c r="F348" s="206"/>
      <c r="G348" s="207">
        <f>G346+G347</f>
        <v>6030.3013845406203</v>
      </c>
      <c r="H348" s="207">
        <f>H346+H347</f>
        <v>6536</v>
      </c>
      <c r="I348" s="205"/>
      <c r="J348" s="208"/>
      <c r="K348" s="207">
        <f>K346+K347</f>
        <v>7002</v>
      </c>
      <c r="M348" s="154"/>
      <c r="N348" s="154"/>
      <c r="O348" s="155"/>
      <c r="AE348" s="42"/>
    </row>
    <row r="349" spans="1:31" ht="16.5" thickTop="1">
      <c r="A349" s="1"/>
      <c r="B349" s="1"/>
      <c r="C349" s="12"/>
      <c r="D349" s="12"/>
      <c r="E349" s="200"/>
      <c r="F349" s="2"/>
      <c r="G349" s="2"/>
      <c r="H349" s="2"/>
      <c r="I349" s="216" t="s">
        <v>13</v>
      </c>
      <c r="J349" s="1"/>
      <c r="K349" s="2" t="s">
        <v>13</v>
      </c>
      <c r="AE349" s="42"/>
    </row>
    <row r="350" spans="1:31">
      <c r="A350" s="1"/>
      <c r="B350" s="1"/>
      <c r="C350" s="12"/>
      <c r="D350" s="12"/>
      <c r="E350" s="200"/>
      <c r="F350" s="2"/>
      <c r="G350" s="2"/>
      <c r="H350" s="2"/>
      <c r="I350" s="216" t="s">
        <v>13</v>
      </c>
      <c r="J350" s="1"/>
      <c r="K350" s="2" t="s">
        <v>13</v>
      </c>
      <c r="AE350" s="42"/>
    </row>
    <row r="351" spans="1:31">
      <c r="A351" s="156" t="s">
        <v>221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AE351" s="42"/>
    </row>
    <row r="352" spans="1:31">
      <c r="A352" s="1" t="s">
        <v>214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222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197</v>
      </c>
      <c r="B354" s="1"/>
      <c r="C354" s="182"/>
      <c r="D354" s="182"/>
      <c r="E354" s="2"/>
      <c r="F354" s="2"/>
      <c r="G354" s="1"/>
      <c r="H354" s="1"/>
      <c r="I354" s="2"/>
      <c r="J354" s="1"/>
      <c r="K354" s="1"/>
    </row>
    <row r="355" spans="1:11">
      <c r="A355" s="1" t="s">
        <v>194</v>
      </c>
      <c r="B355" s="1"/>
      <c r="C355" s="182">
        <f t="shared" ref="C355:D364" si="32">C384+C413</f>
        <v>1</v>
      </c>
      <c r="D355" s="182">
        <f t="shared" si="32"/>
        <v>1</v>
      </c>
      <c r="E355" s="161">
        <v>84</v>
      </c>
      <c r="F355" s="184"/>
      <c r="G355" s="2">
        <f t="shared" ref="G355:H357" si="33">G384+G413</f>
        <v>84</v>
      </c>
      <c r="H355" s="2">
        <f t="shared" si="33"/>
        <v>84</v>
      </c>
      <c r="I355" s="161">
        <f>$I$149</f>
        <v>90.36</v>
      </c>
      <c r="J355" s="186"/>
      <c r="K355" s="2">
        <f>K384+K413</f>
        <v>90</v>
      </c>
    </row>
    <row r="356" spans="1:11">
      <c r="A356" s="1" t="s">
        <v>195</v>
      </c>
      <c r="B356" s="1"/>
      <c r="C356" s="182">
        <f t="shared" si="32"/>
        <v>112</v>
      </c>
      <c r="D356" s="182">
        <f t="shared" si="32"/>
        <v>109</v>
      </c>
      <c r="E356" s="161">
        <v>124.8</v>
      </c>
      <c r="F356" s="187"/>
      <c r="G356" s="2">
        <f t="shared" si="33"/>
        <v>13978</v>
      </c>
      <c r="H356" s="2">
        <f t="shared" si="33"/>
        <v>13603</v>
      </c>
      <c r="I356" s="161">
        <f>$I$150</f>
        <v>134.16</v>
      </c>
      <c r="J356" s="188"/>
      <c r="K356" s="2">
        <f>K385+K414</f>
        <v>14623</v>
      </c>
    </row>
    <row r="357" spans="1:11">
      <c r="A357" s="1" t="s">
        <v>196</v>
      </c>
      <c r="B357" s="1"/>
      <c r="C357" s="182">
        <f t="shared" si="32"/>
        <v>4566</v>
      </c>
      <c r="D357" s="182">
        <f t="shared" si="32"/>
        <v>3312</v>
      </c>
      <c r="E357" s="161">
        <v>8.2799999999999994</v>
      </c>
      <c r="F357" s="187"/>
      <c r="G357" s="2">
        <f t="shared" si="33"/>
        <v>37806</v>
      </c>
      <c r="H357" s="2">
        <f t="shared" si="33"/>
        <v>27423</v>
      </c>
      <c r="I357" s="161">
        <f>$I$151</f>
        <v>9.36</v>
      </c>
      <c r="J357" s="188"/>
      <c r="K357" s="2">
        <f>K386+K415</f>
        <v>31000</v>
      </c>
    </row>
    <row r="358" spans="1:11">
      <c r="A358" s="1" t="s">
        <v>198</v>
      </c>
      <c r="B358" s="1"/>
      <c r="C358" s="182">
        <f t="shared" si="32"/>
        <v>113</v>
      </c>
      <c r="D358" s="182">
        <f t="shared" si="32"/>
        <v>109.75</v>
      </c>
      <c r="E358" s="161"/>
      <c r="F358" s="184"/>
      <c r="G358" s="2"/>
      <c r="H358" s="2"/>
      <c r="I358" s="161"/>
      <c r="J358" s="186"/>
      <c r="K358" s="2"/>
    </row>
    <row r="359" spans="1:11">
      <c r="A359" s="1" t="s">
        <v>223</v>
      </c>
      <c r="B359" s="1"/>
      <c r="C359" s="182">
        <f t="shared" si="32"/>
        <v>511</v>
      </c>
      <c r="D359" s="182">
        <f t="shared" si="32"/>
        <v>497</v>
      </c>
      <c r="E359" s="161"/>
      <c r="F359" s="184"/>
      <c r="G359" s="2"/>
      <c r="H359" s="2"/>
      <c r="I359" s="161"/>
      <c r="J359" s="186"/>
      <c r="K359" s="2"/>
    </row>
    <row r="360" spans="1:11">
      <c r="A360" s="1" t="s">
        <v>199</v>
      </c>
      <c r="B360" s="1"/>
      <c r="C360" s="182">
        <f t="shared" si="32"/>
        <v>12874</v>
      </c>
      <c r="D360" s="182">
        <f t="shared" si="32"/>
        <v>9698</v>
      </c>
      <c r="E360" s="189">
        <v>2.81</v>
      </c>
      <c r="F360" s="186"/>
      <c r="G360" s="2">
        <f t="shared" ref="G360:H364" si="34">G389+G418</f>
        <v>36176</v>
      </c>
      <c r="H360" s="2">
        <f t="shared" si="34"/>
        <v>27251</v>
      </c>
      <c r="I360" s="189">
        <f>$I$158</f>
        <v>2.88</v>
      </c>
      <c r="J360" s="186"/>
      <c r="K360" s="2">
        <f>K389+K418</f>
        <v>27931</v>
      </c>
    </row>
    <row r="361" spans="1:11">
      <c r="A361" s="1" t="s">
        <v>201</v>
      </c>
      <c r="B361" s="1"/>
      <c r="C361" s="182">
        <f t="shared" si="32"/>
        <v>184406</v>
      </c>
      <c r="D361" s="182">
        <f t="shared" si="32"/>
        <v>137037</v>
      </c>
      <c r="E361" s="162">
        <v>7.5869999999999997</v>
      </c>
      <c r="F361" s="186" t="s">
        <v>178</v>
      </c>
      <c r="G361" s="2">
        <f t="shared" si="34"/>
        <v>13991</v>
      </c>
      <c r="H361" s="2">
        <f t="shared" si="34"/>
        <v>10397</v>
      </c>
      <c r="I361" s="162">
        <f>$I$159</f>
        <v>8.0890000000000004</v>
      </c>
      <c r="J361" s="186" t="s">
        <v>178</v>
      </c>
      <c r="K361" s="2">
        <f>K390+K419</f>
        <v>11085</v>
      </c>
    </row>
    <row r="362" spans="1:11">
      <c r="A362" s="1" t="s">
        <v>202</v>
      </c>
      <c r="B362" s="1"/>
      <c r="C362" s="182">
        <f t="shared" si="32"/>
        <v>224259</v>
      </c>
      <c r="D362" s="182">
        <f t="shared" si="32"/>
        <v>163082</v>
      </c>
      <c r="E362" s="162">
        <v>5.2370000000000001</v>
      </c>
      <c r="F362" s="186" t="s">
        <v>178</v>
      </c>
      <c r="G362" s="2">
        <f t="shared" si="34"/>
        <v>11745</v>
      </c>
      <c r="H362" s="2">
        <f t="shared" si="34"/>
        <v>8541</v>
      </c>
      <c r="I362" s="162">
        <f>$I$160</f>
        <v>5.5839999999999996</v>
      </c>
      <c r="J362" s="186" t="s">
        <v>178</v>
      </c>
      <c r="K362" s="2">
        <f>K391+K420</f>
        <v>9107</v>
      </c>
    </row>
    <row r="363" spans="1:11">
      <c r="A363" s="1" t="s">
        <v>203</v>
      </c>
      <c r="B363" s="1"/>
      <c r="C363" s="182">
        <f t="shared" si="32"/>
        <v>0</v>
      </c>
      <c r="D363" s="182">
        <f t="shared" si="32"/>
        <v>0</v>
      </c>
      <c r="E363" s="162">
        <v>4.5129999999999999</v>
      </c>
      <c r="F363" s="186" t="s">
        <v>178</v>
      </c>
      <c r="G363" s="2">
        <f t="shared" si="34"/>
        <v>0</v>
      </c>
      <c r="H363" s="2">
        <f t="shared" si="34"/>
        <v>0</v>
      </c>
      <c r="I363" s="162">
        <f>$I$161</f>
        <v>4.8100000000000005</v>
      </c>
      <c r="J363" s="186" t="s">
        <v>178</v>
      </c>
      <c r="K363" s="2">
        <f>K392+K421</f>
        <v>0</v>
      </c>
    </row>
    <row r="364" spans="1:11">
      <c r="A364" s="1" t="s">
        <v>204</v>
      </c>
      <c r="B364" s="1"/>
      <c r="C364" s="182">
        <f t="shared" si="32"/>
        <v>1798</v>
      </c>
      <c r="D364" s="182">
        <f t="shared" si="32"/>
        <v>1304</v>
      </c>
      <c r="E364" s="193">
        <v>45</v>
      </c>
      <c r="F364" s="184" t="s">
        <v>178</v>
      </c>
      <c r="G364" s="2">
        <f t="shared" si="34"/>
        <v>809</v>
      </c>
      <c r="H364" s="2">
        <f t="shared" si="34"/>
        <v>587</v>
      </c>
      <c r="I364" s="193">
        <f>$I$162</f>
        <v>45</v>
      </c>
      <c r="J364" s="186" t="s">
        <v>178</v>
      </c>
      <c r="K364" s="2">
        <f>K393+K422</f>
        <v>587</v>
      </c>
    </row>
    <row r="365" spans="1:11">
      <c r="A365" s="194" t="s">
        <v>205</v>
      </c>
      <c r="B365" s="1"/>
      <c r="C365" s="182"/>
      <c r="D365" s="182"/>
      <c r="E365" s="195">
        <v>-0.01</v>
      </c>
      <c r="F365" s="184"/>
      <c r="G365" s="2"/>
      <c r="H365" s="2"/>
      <c r="I365" s="195">
        <f>$I$163</f>
        <v>-0.01</v>
      </c>
      <c r="J365" s="186"/>
      <c r="K365" s="2"/>
    </row>
    <row r="366" spans="1:11">
      <c r="A366" s="1" t="s">
        <v>194</v>
      </c>
      <c r="B366" s="1"/>
      <c r="C366" s="182">
        <v>0</v>
      </c>
      <c r="D366" s="182">
        <v>0</v>
      </c>
      <c r="E366" s="197">
        <f>E355</f>
        <v>84</v>
      </c>
      <c r="F366" s="184"/>
      <c r="G366" s="2">
        <f t="shared" ref="G366:H377" si="35">G395+G424</f>
        <v>0</v>
      </c>
      <c r="H366" s="2">
        <f t="shared" si="35"/>
        <v>0</v>
      </c>
      <c r="I366" s="197">
        <f>I355</f>
        <v>90.36</v>
      </c>
      <c r="J366" s="184"/>
      <c r="K366" s="2">
        <f t="shared" ref="K366:K377" si="36">K395+K424</f>
        <v>0</v>
      </c>
    </row>
    <row r="367" spans="1:11">
      <c r="A367" s="1" t="s">
        <v>195</v>
      </c>
      <c r="B367" s="1"/>
      <c r="C367" s="182">
        <v>0</v>
      </c>
      <c r="D367" s="182">
        <v>0</v>
      </c>
      <c r="E367" s="197">
        <f>E356</f>
        <v>124.8</v>
      </c>
      <c r="F367" s="184"/>
      <c r="G367" s="2">
        <f t="shared" si="35"/>
        <v>0</v>
      </c>
      <c r="H367" s="2">
        <f t="shared" si="35"/>
        <v>0</v>
      </c>
      <c r="I367" s="197">
        <f>I356</f>
        <v>134.16</v>
      </c>
      <c r="J367" s="184"/>
      <c r="K367" s="2">
        <f t="shared" si="36"/>
        <v>0</v>
      </c>
    </row>
    <row r="368" spans="1:11">
      <c r="A368" s="1" t="s">
        <v>206</v>
      </c>
      <c r="B368" s="1"/>
      <c r="C368" s="182">
        <v>0</v>
      </c>
      <c r="D368" s="182">
        <v>0</v>
      </c>
      <c r="E368" s="197">
        <f>E357</f>
        <v>8.2799999999999994</v>
      </c>
      <c r="F368" s="184"/>
      <c r="G368" s="2">
        <f t="shared" si="35"/>
        <v>0</v>
      </c>
      <c r="H368" s="2">
        <f t="shared" si="35"/>
        <v>0</v>
      </c>
      <c r="I368" s="197">
        <f>I357</f>
        <v>9.36</v>
      </c>
      <c r="J368" s="184"/>
      <c r="K368" s="2">
        <f t="shared" si="36"/>
        <v>0</v>
      </c>
    </row>
    <row r="369" spans="1:15">
      <c r="A369" s="1" t="s">
        <v>207</v>
      </c>
      <c r="B369" s="1"/>
      <c r="C369" s="182">
        <v>0</v>
      </c>
      <c r="D369" s="182">
        <v>0</v>
      </c>
      <c r="E369" s="197">
        <f>E360</f>
        <v>2.81</v>
      </c>
      <c r="F369" s="186"/>
      <c r="G369" s="2">
        <f t="shared" si="35"/>
        <v>0</v>
      </c>
      <c r="H369" s="2">
        <f t="shared" si="35"/>
        <v>0</v>
      </c>
      <c r="I369" s="197">
        <f>I360</f>
        <v>2.88</v>
      </c>
      <c r="J369" s="186"/>
      <c r="K369" s="2">
        <f t="shared" si="36"/>
        <v>0</v>
      </c>
    </row>
    <row r="370" spans="1:15">
      <c r="A370" s="1" t="s">
        <v>209</v>
      </c>
      <c r="B370" s="1"/>
      <c r="C370" s="182">
        <v>0</v>
      </c>
      <c r="D370" s="182">
        <v>0</v>
      </c>
      <c r="E370" s="198">
        <f>E361</f>
        <v>7.5869999999999997</v>
      </c>
      <c r="F370" s="186" t="s">
        <v>178</v>
      </c>
      <c r="G370" s="2">
        <f t="shared" si="35"/>
        <v>0</v>
      </c>
      <c r="H370" s="2">
        <f t="shared" si="35"/>
        <v>0</v>
      </c>
      <c r="I370" s="198">
        <f>I361</f>
        <v>8.0890000000000004</v>
      </c>
      <c r="J370" s="186" t="s">
        <v>178</v>
      </c>
      <c r="K370" s="2">
        <f t="shared" si="36"/>
        <v>0</v>
      </c>
    </row>
    <row r="371" spans="1:15">
      <c r="A371" s="1" t="s">
        <v>202</v>
      </c>
      <c r="B371" s="1"/>
      <c r="C371" s="182">
        <v>0</v>
      </c>
      <c r="D371" s="182">
        <v>0</v>
      </c>
      <c r="E371" s="198">
        <f>E362</f>
        <v>5.2370000000000001</v>
      </c>
      <c r="F371" s="186" t="s">
        <v>178</v>
      </c>
      <c r="G371" s="2">
        <f t="shared" si="35"/>
        <v>0</v>
      </c>
      <c r="H371" s="2">
        <f t="shared" si="35"/>
        <v>0</v>
      </c>
      <c r="I371" s="198">
        <f>I362</f>
        <v>5.5839999999999996</v>
      </c>
      <c r="J371" s="186" t="s">
        <v>178</v>
      </c>
      <c r="K371" s="2">
        <f t="shared" si="36"/>
        <v>0</v>
      </c>
    </row>
    <row r="372" spans="1:15">
      <c r="A372" s="1" t="s">
        <v>203</v>
      </c>
      <c r="B372" s="1"/>
      <c r="C372" s="182">
        <v>0</v>
      </c>
      <c r="D372" s="182">
        <v>0</v>
      </c>
      <c r="E372" s="198">
        <f>E363</f>
        <v>4.5129999999999999</v>
      </c>
      <c r="F372" s="186" t="s">
        <v>178</v>
      </c>
      <c r="G372" s="2">
        <f t="shared" si="35"/>
        <v>0</v>
      </c>
      <c r="H372" s="2">
        <f t="shared" si="35"/>
        <v>0</v>
      </c>
      <c r="I372" s="198">
        <f>I363</f>
        <v>4.8100000000000005</v>
      </c>
      <c r="J372" s="186" t="s">
        <v>178</v>
      </c>
      <c r="K372" s="2">
        <f t="shared" si="36"/>
        <v>0</v>
      </c>
    </row>
    <row r="373" spans="1:15">
      <c r="A373" s="1" t="s">
        <v>204</v>
      </c>
      <c r="B373" s="1"/>
      <c r="C373" s="182">
        <v>0</v>
      </c>
      <c r="D373" s="182">
        <v>0</v>
      </c>
      <c r="E373" s="199">
        <f>E364</f>
        <v>45</v>
      </c>
      <c r="F373" s="186" t="s">
        <v>178</v>
      </c>
      <c r="G373" s="2">
        <f t="shared" si="35"/>
        <v>0</v>
      </c>
      <c r="H373" s="2">
        <f t="shared" si="35"/>
        <v>0</v>
      </c>
      <c r="I373" s="199">
        <f>I364</f>
        <v>45</v>
      </c>
      <c r="J373" s="186" t="s">
        <v>178</v>
      </c>
      <c r="K373" s="2">
        <f t="shared" si="36"/>
        <v>0</v>
      </c>
    </row>
    <row r="374" spans="1:15">
      <c r="A374" s="1" t="s">
        <v>211</v>
      </c>
      <c r="B374" s="1"/>
      <c r="C374" s="182">
        <v>0</v>
      </c>
      <c r="D374" s="182">
        <v>0</v>
      </c>
      <c r="E374" s="200">
        <v>60</v>
      </c>
      <c r="F374" s="184"/>
      <c r="G374" s="2">
        <f t="shared" si="35"/>
        <v>0</v>
      </c>
      <c r="H374" s="2">
        <f t="shared" si="35"/>
        <v>0</v>
      </c>
      <c r="I374" s="200">
        <f>$I$172</f>
        <v>60</v>
      </c>
      <c r="J374" s="186"/>
      <c r="K374" s="2">
        <f t="shared" si="36"/>
        <v>0</v>
      </c>
    </row>
    <row r="375" spans="1:15">
      <c r="A375" s="1" t="s">
        <v>212</v>
      </c>
      <c r="B375" s="1"/>
      <c r="C375" s="182">
        <v>0</v>
      </c>
      <c r="D375" s="182">
        <v>0</v>
      </c>
      <c r="E375" s="202">
        <v>-30</v>
      </c>
      <c r="F375" s="184" t="s">
        <v>178</v>
      </c>
      <c r="G375" s="2">
        <f t="shared" si="35"/>
        <v>0</v>
      </c>
      <c r="H375" s="2">
        <f t="shared" si="35"/>
        <v>0</v>
      </c>
      <c r="I375" s="202">
        <f>$I$173</f>
        <v>-30</v>
      </c>
      <c r="J375" s="186" t="s">
        <v>178</v>
      </c>
      <c r="K375" s="2">
        <f t="shared" si="36"/>
        <v>0</v>
      </c>
    </row>
    <row r="376" spans="1:15">
      <c r="A376" s="1" t="s">
        <v>185</v>
      </c>
      <c r="B376" s="1"/>
      <c r="C376" s="182">
        <f>C405+C434</f>
        <v>408665</v>
      </c>
      <c r="D376" s="182">
        <f>D405+D434</f>
        <v>300118.64975971833</v>
      </c>
      <c r="E376" s="193"/>
      <c r="F376" s="2"/>
      <c r="G376" s="2">
        <f t="shared" si="35"/>
        <v>114589</v>
      </c>
      <c r="H376" s="2">
        <f t="shared" si="35"/>
        <v>87886</v>
      </c>
      <c r="I376" s="2"/>
      <c r="J376" s="186"/>
      <c r="K376" s="2">
        <f t="shared" si="36"/>
        <v>94423</v>
      </c>
    </row>
    <row r="377" spans="1:15">
      <c r="A377" s="1" t="s">
        <v>167</v>
      </c>
      <c r="B377" s="1"/>
      <c r="C377" s="203">
        <f>C406+C435</f>
        <v>1708.559032095249</v>
      </c>
      <c r="D377" s="203">
        <f>D406+D435</f>
        <v>0</v>
      </c>
      <c r="E377" s="172"/>
      <c r="F377" s="172"/>
      <c r="G377" s="204">
        <f t="shared" si="35"/>
        <v>340.00809002605808</v>
      </c>
      <c r="H377" s="204">
        <f t="shared" si="35"/>
        <v>0</v>
      </c>
      <c r="I377" s="172"/>
      <c r="J377" s="172"/>
      <c r="K377" s="204">
        <f t="shared" si="36"/>
        <v>0</v>
      </c>
      <c r="M377" s="152"/>
      <c r="N377" s="152"/>
      <c r="O377" s="153"/>
    </row>
    <row r="378" spans="1:15" ht="16.5" thickBot="1">
      <c r="A378" s="1" t="s">
        <v>186</v>
      </c>
      <c r="B378" s="1"/>
      <c r="C378" s="174">
        <f>SUM(C376:C377)</f>
        <v>410373.55903209525</v>
      </c>
      <c r="D378" s="174">
        <f>SUM(D376:D377)</f>
        <v>300118.64975971833</v>
      </c>
      <c r="E378" s="205"/>
      <c r="F378" s="206"/>
      <c r="G378" s="207">
        <f>G376+G377</f>
        <v>114929.00809002605</v>
      </c>
      <c r="H378" s="207">
        <f>H376+H377</f>
        <v>87886</v>
      </c>
      <c r="I378" s="205"/>
      <c r="J378" s="208"/>
      <c r="K378" s="207">
        <f>K376+K377</f>
        <v>94423</v>
      </c>
      <c r="M378" s="154"/>
      <c r="N378" s="154"/>
      <c r="O378" s="155"/>
    </row>
    <row r="379" spans="1:15" ht="16.5" thickTop="1">
      <c r="A379" s="1"/>
      <c r="B379" s="1"/>
      <c r="C379" s="12"/>
      <c r="D379" s="12"/>
      <c r="E379" s="200"/>
      <c r="F379" s="2"/>
      <c r="G379" s="2"/>
      <c r="H379" s="2"/>
      <c r="I379" s="216" t="s">
        <v>13</v>
      </c>
      <c r="J379" s="1"/>
      <c r="K379" s="2" t="s">
        <v>13</v>
      </c>
    </row>
    <row r="380" spans="1:15">
      <c r="A380" s="156" t="s">
        <v>221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</row>
    <row r="381" spans="1:15">
      <c r="A381" s="1" t="s">
        <v>215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222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197</v>
      </c>
      <c r="B383" s="1"/>
      <c r="C383" s="182"/>
      <c r="D383" s="182"/>
      <c r="E383" s="2"/>
      <c r="F383" s="2"/>
      <c r="G383" s="1"/>
      <c r="H383" s="1"/>
      <c r="I383" s="2"/>
      <c r="J383" s="1"/>
      <c r="K383" s="1"/>
    </row>
    <row r="384" spans="1:15">
      <c r="A384" s="1" t="s">
        <v>194</v>
      </c>
      <c r="B384" s="1"/>
      <c r="C384" s="182">
        <v>1</v>
      </c>
      <c r="D384" s="182">
        <f>ROUND(($D$387/$C$387)*C384,0)</f>
        <v>1</v>
      </c>
      <c r="E384" s="161">
        <v>84</v>
      </c>
      <c r="F384" s="184"/>
      <c r="G384" s="2">
        <f>ROUND(E384*$C384,0)</f>
        <v>84</v>
      </c>
      <c r="H384" s="2">
        <f>ROUND(E384*$D384,0)</f>
        <v>84</v>
      </c>
      <c r="I384" s="161">
        <f>$I$149</f>
        <v>90.36</v>
      </c>
      <c r="J384" s="186"/>
      <c r="K384" s="2">
        <f>ROUND(I384*$D384,0)</f>
        <v>90</v>
      </c>
    </row>
    <row r="385" spans="1:11">
      <c r="A385" s="1" t="s">
        <v>195</v>
      </c>
      <c r="B385" s="1"/>
      <c r="C385" s="182">
        <v>111</v>
      </c>
      <c r="D385" s="182">
        <f>ROUND(($D$387/$C$387)*C385,0)</f>
        <v>108</v>
      </c>
      <c r="E385" s="161">
        <v>124.8</v>
      </c>
      <c r="F385" s="187"/>
      <c r="G385" s="2">
        <f>ROUND(E385*$C385,0)</f>
        <v>13853</v>
      </c>
      <c r="H385" s="2">
        <f>ROUND(E385*$D385,0)</f>
        <v>13478</v>
      </c>
      <c r="I385" s="161">
        <f>$I$150</f>
        <v>134.16</v>
      </c>
      <c r="J385" s="188"/>
      <c r="K385" s="2">
        <f>ROUND(I385*$D385,0)</f>
        <v>14489</v>
      </c>
    </row>
    <row r="386" spans="1:11">
      <c r="A386" s="1" t="s">
        <v>196</v>
      </c>
      <c r="B386" s="1"/>
      <c r="C386" s="182">
        <f>4491</f>
        <v>4491</v>
      </c>
      <c r="D386" s="182">
        <f>ROUND(($D$405/$C$405)*C386,0)</f>
        <v>3258</v>
      </c>
      <c r="E386" s="161">
        <v>8.2799999999999994</v>
      </c>
      <c r="F386" s="187"/>
      <c r="G386" s="2">
        <f>ROUND(E386*$C386,0)</f>
        <v>37185</v>
      </c>
      <c r="H386" s="2">
        <f>ROUND(E386*$D386,0)</f>
        <v>26976</v>
      </c>
      <c r="I386" s="161">
        <f>$I$151</f>
        <v>9.36</v>
      </c>
      <c r="J386" s="188"/>
      <c r="K386" s="2">
        <f>ROUND(I386*$D386,0)</f>
        <v>30495</v>
      </c>
    </row>
    <row r="387" spans="1:11">
      <c r="A387" s="1" t="s">
        <v>198</v>
      </c>
      <c r="B387" s="1"/>
      <c r="C387" s="182">
        <f>SUM(C384:C385)</f>
        <v>112</v>
      </c>
      <c r="D387" s="182">
        <v>108.75</v>
      </c>
      <c r="E387" s="161"/>
      <c r="F387" s="184"/>
      <c r="G387" s="2"/>
      <c r="H387" s="2"/>
      <c r="I387" s="161"/>
      <c r="J387" s="186"/>
      <c r="K387" s="2"/>
    </row>
    <row r="388" spans="1:11">
      <c r="A388" s="1" t="s">
        <v>223</v>
      </c>
      <c r="B388" s="1"/>
      <c r="C388" s="182">
        <f>8+491</f>
        <v>499</v>
      </c>
      <c r="D388" s="182">
        <f>ROUND(($D$387/$C$387)*C388,0)</f>
        <v>485</v>
      </c>
      <c r="E388" s="161"/>
      <c r="F388" s="184"/>
      <c r="G388" s="2"/>
      <c r="H388" s="2"/>
      <c r="I388" s="161"/>
      <c r="J388" s="186"/>
      <c r="K388" s="2"/>
    </row>
    <row r="389" spans="1:11">
      <c r="A389" s="1" t="s">
        <v>199</v>
      </c>
      <c r="B389" s="1"/>
      <c r="C389" s="182">
        <f>12607</f>
        <v>12607</v>
      </c>
      <c r="D389" s="182">
        <f>ROUND(($D$405/$C$405)*C389,0)</f>
        <v>9145</v>
      </c>
      <c r="E389" s="189">
        <v>2.81</v>
      </c>
      <c r="F389" s="186"/>
      <c r="G389" s="2">
        <f>ROUND(E389*$C389,0)</f>
        <v>35426</v>
      </c>
      <c r="H389" s="2">
        <f>ROUND(E389*$D389,0)</f>
        <v>25697</v>
      </c>
      <c r="I389" s="189">
        <f>$I$158</f>
        <v>2.88</v>
      </c>
      <c r="J389" s="186"/>
      <c r="K389" s="2">
        <f>ROUND(I389*$D389,0)</f>
        <v>26338</v>
      </c>
    </row>
    <row r="390" spans="1:11">
      <c r="A390" s="1" t="s">
        <v>201</v>
      </c>
      <c r="B390" s="1"/>
      <c r="C390" s="182">
        <f>4567+177412</f>
        <v>181979</v>
      </c>
      <c r="D390" s="182">
        <f>ROUND(($D$405/$C$405)*C390,0)</f>
        <v>132006</v>
      </c>
      <c r="E390" s="162">
        <v>7.5869999999999997</v>
      </c>
      <c r="F390" s="186" t="s">
        <v>178</v>
      </c>
      <c r="G390" s="2">
        <f>ROUND(E390*$C390/100,0)</f>
        <v>13807</v>
      </c>
      <c r="H390" s="2">
        <f>ROUND(E390*$D390/100,0)</f>
        <v>10015</v>
      </c>
      <c r="I390" s="162">
        <f>$I$159</f>
        <v>8.0890000000000004</v>
      </c>
      <c r="J390" s="186" t="s">
        <v>178</v>
      </c>
      <c r="K390" s="2">
        <f>ROUND(I390*$D390/100,0)</f>
        <v>10678</v>
      </c>
    </row>
    <row r="391" spans="1:11">
      <c r="A391" s="1" t="s">
        <v>202</v>
      </c>
      <c r="B391" s="1"/>
      <c r="C391" s="182">
        <f>223170+787</f>
        <v>223957</v>
      </c>
      <c r="D391" s="182">
        <f>ROUND(($D$405/$C$405)*C391,0)</f>
        <v>162456</v>
      </c>
      <c r="E391" s="162">
        <v>5.2370000000000001</v>
      </c>
      <c r="F391" s="186" t="s">
        <v>178</v>
      </c>
      <c r="G391" s="2">
        <f>ROUND(E391*$C391/100,0)</f>
        <v>11729</v>
      </c>
      <c r="H391" s="2">
        <f>ROUND(E391*$D391/100,0)</f>
        <v>8508</v>
      </c>
      <c r="I391" s="162">
        <f>$I$160</f>
        <v>5.5839999999999996</v>
      </c>
      <c r="J391" s="186" t="s">
        <v>178</v>
      </c>
      <c r="K391" s="2">
        <f>ROUND(I391*$D391/100,0)</f>
        <v>9072</v>
      </c>
    </row>
    <row r="392" spans="1:11">
      <c r="A392" s="1" t="s">
        <v>203</v>
      </c>
      <c r="B392" s="1"/>
      <c r="C392" s="182">
        <f>0</f>
        <v>0</v>
      </c>
      <c r="D392" s="182">
        <f>ROUND(($D$405/$C$405)*C392,0)</f>
        <v>0</v>
      </c>
      <c r="E392" s="162">
        <v>4.5129999999999999</v>
      </c>
      <c r="F392" s="186" t="s">
        <v>178</v>
      </c>
      <c r="G392" s="2">
        <f>ROUND(E392*$C392/100,0)</f>
        <v>0</v>
      </c>
      <c r="H392" s="2">
        <f>ROUND(E392*$D392/100,0)</f>
        <v>0</v>
      </c>
      <c r="I392" s="162">
        <f>$I$161</f>
        <v>4.8100000000000005</v>
      </c>
      <c r="J392" s="186" t="s">
        <v>178</v>
      </c>
      <c r="K392" s="2">
        <f>ROUND(I392*$D392/100,0)</f>
        <v>0</v>
      </c>
    </row>
    <row r="393" spans="1:11">
      <c r="A393" s="1" t="s">
        <v>204</v>
      </c>
      <c r="B393" s="1"/>
      <c r="C393" s="182">
        <f>1798</f>
        <v>1798</v>
      </c>
      <c r="D393" s="182">
        <f>ROUND(($D$405/$C$405)*C393,0)</f>
        <v>1304</v>
      </c>
      <c r="E393" s="193">
        <v>45</v>
      </c>
      <c r="F393" s="184" t="s">
        <v>178</v>
      </c>
      <c r="G393" s="2">
        <f>ROUND(E393*$C393/100,0)</f>
        <v>809</v>
      </c>
      <c r="H393" s="2">
        <f>ROUND(E393*$D393/100,0)</f>
        <v>587</v>
      </c>
      <c r="I393" s="193">
        <f>$I$162</f>
        <v>45</v>
      </c>
      <c r="J393" s="186" t="s">
        <v>178</v>
      </c>
      <c r="K393" s="2">
        <f>ROUND(I393*$D393/100,0)</f>
        <v>587</v>
      </c>
    </row>
    <row r="394" spans="1:11">
      <c r="A394" s="194" t="s">
        <v>205</v>
      </c>
      <c r="B394" s="1"/>
      <c r="C394" s="182"/>
      <c r="D394" s="182"/>
      <c r="E394" s="195">
        <v>-0.01</v>
      </c>
      <c r="F394" s="184"/>
      <c r="G394" s="2"/>
      <c r="H394" s="2"/>
      <c r="I394" s="195">
        <f>$I$163</f>
        <v>-0.01</v>
      </c>
      <c r="J394" s="186"/>
      <c r="K394" s="2"/>
    </row>
    <row r="395" spans="1:11">
      <c r="A395" s="1" t="s">
        <v>194</v>
      </c>
      <c r="B395" s="1"/>
      <c r="C395" s="182">
        <v>0</v>
      </c>
      <c r="D395" s="182">
        <f>ROUND(($D$387/$C$387)*C395,0)</f>
        <v>0</v>
      </c>
      <c r="E395" s="197">
        <f>E384</f>
        <v>84</v>
      </c>
      <c r="F395" s="184"/>
      <c r="G395" s="2">
        <f>-ROUND(E395*$C395/100,0)</f>
        <v>0</v>
      </c>
      <c r="H395" s="2">
        <f>-ROUND(E395*$D395/100,0)</f>
        <v>0</v>
      </c>
      <c r="I395" s="197">
        <f>I384</f>
        <v>90.36</v>
      </c>
      <c r="J395" s="184"/>
      <c r="K395" s="2">
        <f>-ROUND(I395*$D395/100,0)</f>
        <v>0</v>
      </c>
    </row>
    <row r="396" spans="1:11">
      <c r="A396" s="1" t="s">
        <v>195</v>
      </c>
      <c r="B396" s="1"/>
      <c r="C396" s="182">
        <v>0</v>
      </c>
      <c r="D396" s="182">
        <f>ROUND(($D$387/$C$387)*C396,0)</f>
        <v>0</v>
      </c>
      <c r="E396" s="197">
        <f>E385</f>
        <v>124.8</v>
      </c>
      <c r="F396" s="184"/>
      <c r="G396" s="2">
        <f>-ROUND(E396*$C396/100,0)</f>
        <v>0</v>
      </c>
      <c r="H396" s="2">
        <f>-ROUND(E396*$D396/100,0)</f>
        <v>0</v>
      </c>
      <c r="I396" s="197">
        <f>I385</f>
        <v>134.16</v>
      </c>
      <c r="J396" s="184"/>
      <c r="K396" s="2">
        <f>-ROUND(I396*$D396/100,0)</f>
        <v>0</v>
      </c>
    </row>
    <row r="397" spans="1:11">
      <c r="A397" s="1" t="s">
        <v>206</v>
      </c>
      <c r="B397" s="1"/>
      <c r="C397" s="182">
        <v>0</v>
      </c>
      <c r="D397" s="182">
        <f t="shared" ref="D397:D402" si="37">ROUND(($D$405/$C$405)*C397,0)</f>
        <v>0</v>
      </c>
      <c r="E397" s="197">
        <f>E386</f>
        <v>8.2799999999999994</v>
      </c>
      <c r="F397" s="184"/>
      <c r="G397" s="2">
        <f>-ROUND(E397*$C397/100,0)</f>
        <v>0</v>
      </c>
      <c r="H397" s="2">
        <f>-ROUND(E397*$D397/100,0)</f>
        <v>0</v>
      </c>
      <c r="I397" s="197">
        <f>I386</f>
        <v>9.36</v>
      </c>
      <c r="J397" s="184"/>
      <c r="K397" s="2">
        <f>-ROUND(I397*$D397/100,0)</f>
        <v>0</v>
      </c>
    </row>
    <row r="398" spans="1:11">
      <c r="A398" s="1" t="s">
        <v>207</v>
      </c>
      <c r="B398" s="1"/>
      <c r="C398" s="182">
        <v>0</v>
      </c>
      <c r="D398" s="182">
        <f t="shared" si="37"/>
        <v>0</v>
      </c>
      <c r="E398" s="197">
        <f>E389</f>
        <v>2.81</v>
      </c>
      <c r="F398" s="186"/>
      <c r="G398" s="2">
        <f>-ROUND(E398*$C398/100,0)</f>
        <v>0</v>
      </c>
      <c r="H398" s="2">
        <f>-ROUND(E398*$D398/100,0)</f>
        <v>0</v>
      </c>
      <c r="I398" s="197">
        <f>I389</f>
        <v>2.88</v>
      </c>
      <c r="J398" s="186"/>
      <c r="K398" s="2">
        <f>-ROUND(I398*$D398/100,0)</f>
        <v>0</v>
      </c>
    </row>
    <row r="399" spans="1:11">
      <c r="A399" s="1" t="s">
        <v>209</v>
      </c>
      <c r="B399" s="1"/>
      <c r="C399" s="182">
        <v>0</v>
      </c>
      <c r="D399" s="182">
        <f t="shared" si="37"/>
        <v>0</v>
      </c>
      <c r="E399" s="198">
        <f>E390</f>
        <v>7.5869999999999997</v>
      </c>
      <c r="F399" s="186" t="s">
        <v>178</v>
      </c>
      <c r="G399" s="2">
        <f>ROUND(E399*$C399/100*E394,0)</f>
        <v>0</v>
      </c>
      <c r="H399" s="2">
        <f>ROUND(E399*$D399/100*E394,0)</f>
        <v>0</v>
      </c>
      <c r="I399" s="198">
        <f>I390</f>
        <v>8.0890000000000004</v>
      </c>
      <c r="J399" s="186" t="s">
        <v>178</v>
      </c>
      <c r="K399" s="2">
        <f>ROUND(I399*$D399/100*I394,0)</f>
        <v>0</v>
      </c>
    </row>
    <row r="400" spans="1:11">
      <c r="A400" s="1" t="s">
        <v>202</v>
      </c>
      <c r="B400" s="1"/>
      <c r="C400" s="182">
        <v>0</v>
      </c>
      <c r="D400" s="182">
        <f t="shared" si="37"/>
        <v>0</v>
      </c>
      <c r="E400" s="198">
        <f>E391</f>
        <v>5.2370000000000001</v>
      </c>
      <c r="F400" s="186" t="s">
        <v>178</v>
      </c>
      <c r="G400" s="2">
        <f>ROUND(E400*$C400/100*E394,0)</f>
        <v>0</v>
      </c>
      <c r="H400" s="2">
        <f>ROUND(E400*$D400/100*E394,0)</f>
        <v>0</v>
      </c>
      <c r="I400" s="198">
        <f>I391</f>
        <v>5.5839999999999996</v>
      </c>
      <c r="J400" s="186" t="s">
        <v>178</v>
      </c>
      <c r="K400" s="2">
        <f>ROUND(I400*$D400/100*I394,0)</f>
        <v>0</v>
      </c>
    </row>
    <row r="401" spans="1:15">
      <c r="A401" s="1" t="s">
        <v>203</v>
      </c>
      <c r="B401" s="1"/>
      <c r="C401" s="182">
        <v>0</v>
      </c>
      <c r="D401" s="182">
        <f t="shared" si="37"/>
        <v>0</v>
      </c>
      <c r="E401" s="198">
        <f>E392</f>
        <v>4.5129999999999999</v>
      </c>
      <c r="F401" s="186" t="s">
        <v>178</v>
      </c>
      <c r="G401" s="2">
        <f>ROUND(E401*$C401/100*E394,0)</f>
        <v>0</v>
      </c>
      <c r="H401" s="2">
        <f>ROUND(E401*$D401/100*E394,0)</f>
        <v>0</v>
      </c>
      <c r="I401" s="198">
        <f>I392</f>
        <v>4.8100000000000005</v>
      </c>
      <c r="J401" s="186" t="s">
        <v>178</v>
      </c>
      <c r="K401" s="2">
        <f>ROUND(I401*$D401/100*I394,0)</f>
        <v>0</v>
      </c>
    </row>
    <row r="402" spans="1:15">
      <c r="A402" s="1" t="s">
        <v>204</v>
      </c>
      <c r="B402" s="1"/>
      <c r="C402" s="182">
        <v>0</v>
      </c>
      <c r="D402" s="182">
        <f t="shared" si="37"/>
        <v>0</v>
      </c>
      <c r="E402" s="199">
        <f>E393</f>
        <v>45</v>
      </c>
      <c r="F402" s="186" t="s">
        <v>178</v>
      </c>
      <c r="G402" s="2">
        <f>ROUND(E402*$C402/100*E394,0)</f>
        <v>0</v>
      </c>
      <c r="H402" s="2">
        <f>ROUND(E402*$D402/100*E394,0)</f>
        <v>0</v>
      </c>
      <c r="I402" s="199">
        <f>I393</f>
        <v>45</v>
      </c>
      <c r="J402" s="186" t="s">
        <v>178</v>
      </c>
      <c r="K402" s="2">
        <f>ROUND(I402*$D402/100*I394,0)</f>
        <v>0</v>
      </c>
    </row>
    <row r="403" spans="1:15">
      <c r="A403" s="1" t="s">
        <v>211</v>
      </c>
      <c r="B403" s="1"/>
      <c r="C403" s="182">
        <v>0</v>
      </c>
      <c r="D403" s="182">
        <f>ROUND(($D$387/$C$387)*C403,0)</f>
        <v>0</v>
      </c>
      <c r="E403" s="200">
        <v>60</v>
      </c>
      <c r="F403" s="184"/>
      <c r="G403" s="2">
        <f>ROUND(E403*$C403,0)</f>
        <v>0</v>
      </c>
      <c r="H403" s="2">
        <f>ROUND(E403*$D403,0)</f>
        <v>0</v>
      </c>
      <c r="I403" s="200">
        <f>$I$172</f>
        <v>60</v>
      </c>
      <c r="J403" s="186"/>
      <c r="K403" s="2">
        <f>ROUND(I403*$D403,0)</f>
        <v>0</v>
      </c>
    </row>
    <row r="404" spans="1:15">
      <c r="A404" s="1" t="s">
        <v>212</v>
      </c>
      <c r="B404" s="1"/>
      <c r="C404" s="182">
        <v>0</v>
      </c>
      <c r="D404" s="182">
        <f>ROUND(($D$405/$C$405)*C404,0)</f>
        <v>0</v>
      </c>
      <c r="E404" s="202">
        <v>-30</v>
      </c>
      <c r="F404" s="184" t="s">
        <v>178</v>
      </c>
      <c r="G404" s="2">
        <f>ROUND(E404*$C404/100,0)</f>
        <v>0</v>
      </c>
      <c r="H404" s="2">
        <f>ROUND(E404*$D404/100,0)</f>
        <v>0</v>
      </c>
      <c r="I404" s="202">
        <f>$I$173</f>
        <v>-30</v>
      </c>
      <c r="J404" s="186" t="s">
        <v>178</v>
      </c>
      <c r="K404" s="2">
        <f>ROUND(I404*$D404/100,0)</f>
        <v>0</v>
      </c>
    </row>
    <row r="405" spans="1:15">
      <c r="A405" s="1" t="s">
        <v>185</v>
      </c>
      <c r="B405" s="1"/>
      <c r="C405" s="182">
        <f>SUM(C390:C392)</f>
        <v>405936</v>
      </c>
      <c r="D405" s="182">
        <v>294461.5</v>
      </c>
      <c r="E405" s="193"/>
      <c r="F405" s="2"/>
      <c r="G405" s="2">
        <f>SUM(G384:G404)</f>
        <v>112893</v>
      </c>
      <c r="H405" s="2">
        <f>SUM(H384:H404)</f>
        <v>85345</v>
      </c>
      <c r="I405" s="193"/>
      <c r="J405" s="186"/>
      <c r="K405" s="2">
        <f>SUM(K384:K404)</f>
        <v>91749</v>
      </c>
    </row>
    <row r="406" spans="1:15">
      <c r="A406" s="1" t="s">
        <v>167</v>
      </c>
      <c r="B406" s="1"/>
      <c r="C406" s="212">
        <v>1770.0710773090641</v>
      </c>
      <c r="D406" s="212">
        <v>0</v>
      </c>
      <c r="E406" s="172"/>
      <c r="F406" s="172"/>
      <c r="G406" s="204">
        <v>368.47443953217015</v>
      </c>
      <c r="H406" s="204">
        <v>0</v>
      </c>
      <c r="I406" s="172"/>
      <c r="J406" s="172"/>
      <c r="K406" s="204">
        <v>0</v>
      </c>
      <c r="M406" s="152"/>
      <c r="N406" s="152"/>
      <c r="O406" s="153"/>
    </row>
    <row r="407" spans="1:15" ht="16.5" thickBot="1">
      <c r="A407" s="1" t="s">
        <v>186</v>
      </c>
      <c r="B407" s="1"/>
      <c r="C407" s="174">
        <f>SUM(C405:C406)</f>
        <v>407706.07107730908</v>
      </c>
      <c r="D407" s="174">
        <f>SUM(D405:D406)</f>
        <v>294461.5</v>
      </c>
      <c r="E407" s="205"/>
      <c r="F407" s="206"/>
      <c r="G407" s="207">
        <f>G405+G406</f>
        <v>113261.47443953218</v>
      </c>
      <c r="H407" s="207">
        <f>H405+H406</f>
        <v>85345</v>
      </c>
      <c r="I407" s="205"/>
      <c r="J407" s="208"/>
      <c r="K407" s="207">
        <f>K405+K406</f>
        <v>91749</v>
      </c>
      <c r="M407" s="154"/>
      <c r="N407" s="154"/>
      <c r="O407" s="155"/>
    </row>
    <row r="408" spans="1:15" ht="16.5" thickTop="1">
      <c r="A408" s="1"/>
      <c r="B408" s="1"/>
      <c r="C408" s="12"/>
      <c r="D408" s="12"/>
      <c r="E408" s="200"/>
      <c r="F408" s="2"/>
      <c r="G408" s="2"/>
      <c r="H408" s="2"/>
      <c r="I408" s="216" t="s">
        <v>13</v>
      </c>
      <c r="J408" s="1"/>
      <c r="K408" s="2" t="s">
        <v>13</v>
      </c>
    </row>
    <row r="409" spans="1:15">
      <c r="A409" s="156" t="s">
        <v>221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</row>
    <row r="410" spans="1:15">
      <c r="A410" s="1" t="s">
        <v>218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222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197</v>
      </c>
      <c r="B412" s="1"/>
      <c r="C412" s="182"/>
      <c r="D412" s="182"/>
      <c r="E412" s="2"/>
      <c r="F412" s="2"/>
      <c r="G412" s="1"/>
      <c r="H412" s="1"/>
      <c r="I412" s="2"/>
      <c r="J412" s="1"/>
      <c r="K412" s="1"/>
    </row>
    <row r="413" spans="1:15">
      <c r="A413" s="1" t="s">
        <v>194</v>
      </c>
      <c r="B413" s="1"/>
      <c r="C413" s="182">
        <v>0</v>
      </c>
      <c r="D413" s="182">
        <f>$D$417/$C$417*C413</f>
        <v>0</v>
      </c>
      <c r="E413" s="161">
        <v>84</v>
      </c>
      <c r="F413" s="184"/>
      <c r="G413" s="2">
        <f>ROUND(E413*$C413,0)</f>
        <v>0</v>
      </c>
      <c r="H413" s="2">
        <f>ROUND(E413*$D413,0)</f>
        <v>0</v>
      </c>
      <c r="I413" s="161">
        <f>$I$149</f>
        <v>90.36</v>
      </c>
      <c r="J413" s="186"/>
      <c r="K413" s="2">
        <f>ROUND(I413*$D413,0)</f>
        <v>0</v>
      </c>
    </row>
    <row r="414" spans="1:15">
      <c r="A414" s="1" t="s">
        <v>195</v>
      </c>
      <c r="B414" s="1"/>
      <c r="C414" s="182">
        <v>1</v>
      </c>
      <c r="D414" s="182">
        <f>$D$417/$C$417*C414</f>
        <v>1</v>
      </c>
      <c r="E414" s="161">
        <v>124.8</v>
      </c>
      <c r="F414" s="187"/>
      <c r="G414" s="2">
        <f>ROUND(E414*$C414,0)</f>
        <v>125</v>
      </c>
      <c r="H414" s="2">
        <f>ROUND(E414*$D414,0)</f>
        <v>125</v>
      </c>
      <c r="I414" s="161">
        <f>$I$150</f>
        <v>134.16</v>
      </c>
      <c r="J414" s="188"/>
      <c r="K414" s="2">
        <f>ROUND(I414*$D414,0)</f>
        <v>134</v>
      </c>
    </row>
    <row r="415" spans="1:15">
      <c r="A415" s="1" t="s">
        <v>196</v>
      </c>
      <c r="B415" s="1"/>
      <c r="C415" s="182">
        <v>75</v>
      </c>
      <c r="D415" s="182">
        <v>54</v>
      </c>
      <c r="E415" s="161">
        <v>8.2799999999999994</v>
      </c>
      <c r="F415" s="187"/>
      <c r="G415" s="2">
        <f>ROUND(E415*$C415,0)</f>
        <v>621</v>
      </c>
      <c r="H415" s="2">
        <f>ROUND(E415*$D415,0)</f>
        <v>447</v>
      </c>
      <c r="I415" s="161">
        <f>$I$151</f>
        <v>9.36</v>
      </c>
      <c r="J415" s="188"/>
      <c r="K415" s="2">
        <f>ROUND(I415*$D415,0)</f>
        <v>505</v>
      </c>
    </row>
    <row r="416" spans="1:15">
      <c r="A416" s="1" t="s">
        <v>198</v>
      </c>
      <c r="B416" s="1"/>
      <c r="C416" s="182">
        <f>SUM(C413:C414)</f>
        <v>1</v>
      </c>
      <c r="D416" s="182">
        <f>SUM(D413:D414)</f>
        <v>1</v>
      </c>
      <c r="E416" s="161"/>
      <c r="F416" s="184"/>
      <c r="G416" s="2"/>
      <c r="H416" s="2"/>
      <c r="I416" s="161"/>
      <c r="J416" s="186"/>
      <c r="K416" s="2"/>
    </row>
    <row r="417" spans="1:11">
      <c r="A417" s="1" t="s">
        <v>223</v>
      </c>
      <c r="B417" s="1"/>
      <c r="C417" s="182">
        <f>12</f>
        <v>12</v>
      </c>
      <c r="D417" s="182">
        <v>12</v>
      </c>
      <c r="E417" s="161"/>
      <c r="F417" s="184"/>
      <c r="G417" s="2"/>
      <c r="H417" s="2"/>
      <c r="I417" s="161"/>
      <c r="J417" s="186"/>
      <c r="K417" s="2"/>
    </row>
    <row r="418" spans="1:11">
      <c r="A418" s="1" t="s">
        <v>199</v>
      </c>
      <c r="B418" s="1"/>
      <c r="C418" s="182">
        <f>267</f>
        <v>267</v>
      </c>
      <c r="D418" s="182">
        <f>ROUND(($D$434/$C$434)*C418,0)</f>
        <v>553</v>
      </c>
      <c r="E418" s="189">
        <v>2.81</v>
      </c>
      <c r="F418" s="186"/>
      <c r="G418" s="2">
        <f>ROUND(E418*$C418,0)</f>
        <v>750</v>
      </c>
      <c r="H418" s="2">
        <f>ROUND(E418*$D418,0)</f>
        <v>1554</v>
      </c>
      <c r="I418" s="189">
        <f>$I$158</f>
        <v>2.88</v>
      </c>
      <c r="J418" s="186"/>
      <c r="K418" s="2">
        <f>ROUND(I418*$D418,0)</f>
        <v>1593</v>
      </c>
    </row>
    <row r="419" spans="1:11">
      <c r="A419" s="1" t="s">
        <v>201</v>
      </c>
      <c r="B419" s="1"/>
      <c r="C419" s="182">
        <f>2427</f>
        <v>2427</v>
      </c>
      <c r="D419" s="182">
        <f>ROUND(($D$434/$C$434)*C419,0)</f>
        <v>5031</v>
      </c>
      <c r="E419" s="162">
        <v>7.5869999999999997</v>
      </c>
      <c r="F419" s="186" t="s">
        <v>178</v>
      </c>
      <c r="G419" s="2">
        <f>ROUND(E419*$C419/100,0)</f>
        <v>184</v>
      </c>
      <c r="H419" s="2">
        <f>ROUND(E419*$D419/100,0)</f>
        <v>382</v>
      </c>
      <c r="I419" s="162">
        <f>$I$159</f>
        <v>8.0890000000000004</v>
      </c>
      <c r="J419" s="186" t="s">
        <v>178</v>
      </c>
      <c r="K419" s="2">
        <f>ROUND(I419*$D419/100,0)</f>
        <v>407</v>
      </c>
    </row>
    <row r="420" spans="1:11">
      <c r="A420" s="1" t="s">
        <v>202</v>
      </c>
      <c r="B420" s="1"/>
      <c r="C420" s="182">
        <f>302</f>
        <v>302</v>
      </c>
      <c r="D420" s="182">
        <f>ROUND(($D$434/$C$434)*C420,0)</f>
        <v>626</v>
      </c>
      <c r="E420" s="162">
        <v>5.2370000000000001</v>
      </c>
      <c r="F420" s="186" t="s">
        <v>178</v>
      </c>
      <c r="G420" s="2">
        <f>ROUND(E420*$C420/100,0)</f>
        <v>16</v>
      </c>
      <c r="H420" s="2">
        <f>ROUND(E420*$D420/100,0)</f>
        <v>33</v>
      </c>
      <c r="I420" s="162">
        <f>$I$160</f>
        <v>5.5839999999999996</v>
      </c>
      <c r="J420" s="186" t="s">
        <v>178</v>
      </c>
      <c r="K420" s="2">
        <f>ROUND(I420*$D420/100,0)</f>
        <v>35</v>
      </c>
    </row>
    <row r="421" spans="1:11">
      <c r="A421" s="1" t="s">
        <v>203</v>
      </c>
      <c r="B421" s="1"/>
      <c r="C421" s="182">
        <v>0</v>
      </c>
      <c r="D421" s="182">
        <f>ROUND(($D$434/$C$434)*C421,0)</f>
        <v>0</v>
      </c>
      <c r="E421" s="162">
        <v>4.5129999999999999</v>
      </c>
      <c r="F421" s="186" t="s">
        <v>178</v>
      </c>
      <c r="G421" s="2">
        <f>ROUND(E421*$C421/100,0)</f>
        <v>0</v>
      </c>
      <c r="H421" s="2">
        <f>ROUND(E421*$D421/100,0)</f>
        <v>0</v>
      </c>
      <c r="I421" s="162">
        <f>$I$161</f>
        <v>4.8100000000000005</v>
      </c>
      <c r="J421" s="186" t="s">
        <v>178</v>
      </c>
      <c r="K421" s="2">
        <f>ROUND(I421*$D421/100,0)</f>
        <v>0</v>
      </c>
    </row>
    <row r="422" spans="1:11">
      <c r="A422" s="1" t="s">
        <v>204</v>
      </c>
      <c r="B422" s="1"/>
      <c r="C422" s="182">
        <v>0</v>
      </c>
      <c r="D422" s="182">
        <f>ROUND(($D$434/$C$434)*C422,0)</f>
        <v>0</v>
      </c>
      <c r="E422" s="193">
        <v>45</v>
      </c>
      <c r="F422" s="184" t="s">
        <v>178</v>
      </c>
      <c r="G422" s="2">
        <f>ROUND(E422*$C422/100,0)</f>
        <v>0</v>
      </c>
      <c r="H422" s="2">
        <f>ROUND(E422*$D422/100,0)</f>
        <v>0</v>
      </c>
      <c r="I422" s="193">
        <f>$I$162</f>
        <v>45</v>
      </c>
      <c r="J422" s="186" t="s">
        <v>178</v>
      </c>
      <c r="K422" s="2">
        <f>ROUND(I422*$D422/100,0)</f>
        <v>0</v>
      </c>
    </row>
    <row r="423" spans="1:11">
      <c r="A423" s="194" t="s">
        <v>205</v>
      </c>
      <c r="B423" s="1"/>
      <c r="C423" s="182"/>
      <c r="D423" s="182"/>
      <c r="E423" s="195">
        <v>-0.01</v>
      </c>
      <c r="F423" s="184"/>
      <c r="G423" s="2"/>
      <c r="H423" s="2"/>
      <c r="I423" s="195">
        <f>$I$163</f>
        <v>-0.01</v>
      </c>
      <c r="J423" s="186"/>
      <c r="K423" s="2"/>
    </row>
    <row r="424" spans="1:11">
      <c r="A424" s="1" t="s">
        <v>194</v>
      </c>
      <c r="B424" s="1"/>
      <c r="C424" s="182">
        <v>0</v>
      </c>
      <c r="D424" s="182">
        <f>$D$417/$C$417*C424</f>
        <v>0</v>
      </c>
      <c r="E424" s="197">
        <f>E413</f>
        <v>84</v>
      </c>
      <c r="F424" s="184"/>
      <c r="G424" s="2">
        <f>-ROUND(E424*$C424/100,0)</f>
        <v>0</v>
      </c>
      <c r="H424" s="2">
        <f>-ROUND(E424*$D424/100,0)</f>
        <v>0</v>
      </c>
      <c r="I424" s="197">
        <f>I413</f>
        <v>90.36</v>
      </c>
      <c r="J424" s="184"/>
      <c r="K424" s="2">
        <f>-ROUND(I424*$D424/100,0)</f>
        <v>0</v>
      </c>
    </row>
    <row r="425" spans="1:11">
      <c r="A425" s="1" t="s">
        <v>195</v>
      </c>
      <c r="B425" s="1"/>
      <c r="C425" s="182">
        <v>0</v>
      </c>
      <c r="D425" s="182">
        <f>$D$417/$C$417*C425</f>
        <v>0</v>
      </c>
      <c r="E425" s="197">
        <f>E414</f>
        <v>124.8</v>
      </c>
      <c r="F425" s="184"/>
      <c r="G425" s="2">
        <f>-ROUND(E425*$C425/100,0)</f>
        <v>0</v>
      </c>
      <c r="H425" s="2">
        <f>-ROUND(E425*$D425/100,0)</f>
        <v>0</v>
      </c>
      <c r="I425" s="197">
        <f>I414</f>
        <v>134.16</v>
      </c>
      <c r="J425" s="184"/>
      <c r="K425" s="2">
        <f>-ROUND(I425*$D425/100,0)</f>
        <v>0</v>
      </c>
    </row>
    <row r="426" spans="1:11">
      <c r="A426" s="1" t="s">
        <v>206</v>
      </c>
      <c r="B426" s="1"/>
      <c r="C426" s="182">
        <v>0</v>
      </c>
      <c r="D426" s="182">
        <f t="shared" ref="D426:D431" si="38">ROUND(($D$434/$C$434)*C426,0)</f>
        <v>0</v>
      </c>
      <c r="E426" s="197">
        <f>E415</f>
        <v>8.2799999999999994</v>
      </c>
      <c r="F426" s="184"/>
      <c r="G426" s="2">
        <f>-ROUND(E426*$C426/100,0)</f>
        <v>0</v>
      </c>
      <c r="H426" s="2">
        <f>-ROUND(E426*$D426/100,0)</f>
        <v>0</v>
      </c>
      <c r="I426" s="197">
        <f>I415</f>
        <v>9.36</v>
      </c>
      <c r="J426" s="184"/>
      <c r="K426" s="2">
        <f>-ROUND(I426*$D426/100,0)</f>
        <v>0</v>
      </c>
    </row>
    <row r="427" spans="1:11">
      <c r="A427" s="1" t="s">
        <v>207</v>
      </c>
      <c r="B427" s="1"/>
      <c r="C427" s="182">
        <v>0</v>
      </c>
      <c r="D427" s="182">
        <f t="shared" si="38"/>
        <v>0</v>
      </c>
      <c r="E427" s="197">
        <f>E418</f>
        <v>2.81</v>
      </c>
      <c r="F427" s="186"/>
      <c r="G427" s="2">
        <f>-ROUND(E427*$C427/100,0)</f>
        <v>0</v>
      </c>
      <c r="H427" s="2">
        <f>-ROUND(E427*$D427/100,0)</f>
        <v>0</v>
      </c>
      <c r="I427" s="197">
        <f>I418</f>
        <v>2.88</v>
      </c>
      <c r="J427" s="186"/>
      <c r="K427" s="2">
        <f>-ROUND(I427*$D427/100,0)</f>
        <v>0</v>
      </c>
    </row>
    <row r="428" spans="1:11">
      <c r="A428" s="1" t="s">
        <v>209</v>
      </c>
      <c r="B428" s="1"/>
      <c r="C428" s="182">
        <v>0</v>
      </c>
      <c r="D428" s="182">
        <f t="shared" si="38"/>
        <v>0</v>
      </c>
      <c r="E428" s="198">
        <f>E419</f>
        <v>7.5869999999999997</v>
      </c>
      <c r="F428" s="186" t="s">
        <v>178</v>
      </c>
      <c r="G428" s="2">
        <f>ROUND(E428*$C428/100*E423,0)</f>
        <v>0</v>
      </c>
      <c r="H428" s="2">
        <f>ROUND(E428*$D428/100*E423,0)</f>
        <v>0</v>
      </c>
      <c r="I428" s="198">
        <f>I419</f>
        <v>8.0890000000000004</v>
      </c>
      <c r="J428" s="186" t="s">
        <v>178</v>
      </c>
      <c r="K428" s="2">
        <f>ROUND(I428*$D428/100*I423,0)</f>
        <v>0</v>
      </c>
    </row>
    <row r="429" spans="1:11">
      <c r="A429" s="1" t="s">
        <v>202</v>
      </c>
      <c r="B429" s="1"/>
      <c r="C429" s="182">
        <v>0</v>
      </c>
      <c r="D429" s="182">
        <f t="shared" si="38"/>
        <v>0</v>
      </c>
      <c r="E429" s="198">
        <f>E420</f>
        <v>5.2370000000000001</v>
      </c>
      <c r="F429" s="186" t="s">
        <v>178</v>
      </c>
      <c r="G429" s="2">
        <f>ROUND(E429*$C429/100*E423,0)</f>
        <v>0</v>
      </c>
      <c r="H429" s="2">
        <f>ROUND(E429*$D429/100*E423,0)</f>
        <v>0</v>
      </c>
      <c r="I429" s="198">
        <f>I420</f>
        <v>5.5839999999999996</v>
      </c>
      <c r="J429" s="186" t="s">
        <v>178</v>
      </c>
      <c r="K429" s="2">
        <f>ROUND(I429*$D429/100*I423,0)</f>
        <v>0</v>
      </c>
    </row>
    <row r="430" spans="1:11">
      <c r="A430" s="1" t="s">
        <v>203</v>
      </c>
      <c r="B430" s="1"/>
      <c r="C430" s="182">
        <v>0</v>
      </c>
      <c r="D430" s="182">
        <f t="shared" si="38"/>
        <v>0</v>
      </c>
      <c r="E430" s="198">
        <f>E421</f>
        <v>4.5129999999999999</v>
      </c>
      <c r="F430" s="186" t="s">
        <v>178</v>
      </c>
      <c r="G430" s="2">
        <f>ROUND(E430*$C430/100*E423,0)</f>
        <v>0</v>
      </c>
      <c r="H430" s="2">
        <f>ROUND(E430*$D430/100*E423,0)</f>
        <v>0</v>
      </c>
      <c r="I430" s="198">
        <f>I421</f>
        <v>4.8100000000000005</v>
      </c>
      <c r="J430" s="186" t="s">
        <v>178</v>
      </c>
      <c r="K430" s="2">
        <f>ROUND(I430*$D430/100*I423,0)</f>
        <v>0</v>
      </c>
    </row>
    <row r="431" spans="1:11">
      <c r="A431" s="1" t="s">
        <v>204</v>
      </c>
      <c r="B431" s="1"/>
      <c r="C431" s="182">
        <v>0</v>
      </c>
      <c r="D431" s="182">
        <f t="shared" si="38"/>
        <v>0</v>
      </c>
      <c r="E431" s="199">
        <f>E422</f>
        <v>45</v>
      </c>
      <c r="F431" s="186" t="s">
        <v>178</v>
      </c>
      <c r="G431" s="2">
        <f>ROUND(E431*$C431/100*E423,0)</f>
        <v>0</v>
      </c>
      <c r="H431" s="2">
        <f>ROUND(E431*$D431/100*E423,0)</f>
        <v>0</v>
      </c>
      <c r="I431" s="199">
        <f>I422</f>
        <v>45</v>
      </c>
      <c r="J431" s="186" t="s">
        <v>178</v>
      </c>
      <c r="K431" s="2">
        <f>ROUND(I431*$D431/100*I423,0)</f>
        <v>0</v>
      </c>
    </row>
    <row r="432" spans="1:11">
      <c r="A432" s="1" t="s">
        <v>211</v>
      </c>
      <c r="B432" s="1"/>
      <c r="C432" s="182">
        <v>0</v>
      </c>
      <c r="D432" s="182">
        <f>$D$417/$C$417*C432</f>
        <v>0</v>
      </c>
      <c r="E432" s="200">
        <v>60</v>
      </c>
      <c r="F432" s="184"/>
      <c r="G432" s="2">
        <f>ROUND(E432*$C432,0)</f>
        <v>0</v>
      </c>
      <c r="H432" s="2">
        <f>ROUND(E432*$D432,0)</f>
        <v>0</v>
      </c>
      <c r="I432" s="200">
        <f>$I$172</f>
        <v>60</v>
      </c>
      <c r="J432" s="186"/>
      <c r="K432" s="2">
        <f>ROUND(I432*$D432,0)</f>
        <v>0</v>
      </c>
    </row>
    <row r="433" spans="1:15">
      <c r="A433" s="1" t="s">
        <v>212</v>
      </c>
      <c r="B433" s="1"/>
      <c r="C433" s="182">
        <v>0</v>
      </c>
      <c r="D433" s="182">
        <f>ROUND(($D$434/$C$434)*C433,0)</f>
        <v>0</v>
      </c>
      <c r="E433" s="202">
        <v>-30</v>
      </c>
      <c r="F433" s="184" t="s">
        <v>178</v>
      </c>
      <c r="G433" s="2">
        <f>ROUND(E433*$C433/100,0)</f>
        <v>0</v>
      </c>
      <c r="H433" s="2">
        <f>ROUND(E433*$D433/100,0)</f>
        <v>0</v>
      </c>
      <c r="I433" s="202">
        <f>$I$173</f>
        <v>-30</v>
      </c>
      <c r="J433" s="186" t="s">
        <v>178</v>
      </c>
      <c r="K433" s="2">
        <f>ROUND(I433*$D433/100,0)</f>
        <v>0</v>
      </c>
    </row>
    <row r="434" spans="1:15">
      <c r="A434" s="1" t="s">
        <v>185</v>
      </c>
      <c r="B434" s="1"/>
      <c r="C434" s="182">
        <f>SUM(C419:C421)</f>
        <v>2729</v>
      </c>
      <c r="D434" s="182">
        <v>5657.1497597183234</v>
      </c>
      <c r="E434" s="193"/>
      <c r="F434" s="2"/>
      <c r="G434" s="2">
        <f>SUM(G413:G433)</f>
        <v>1696</v>
      </c>
      <c r="H434" s="2">
        <f>SUM(H413:H433)</f>
        <v>2541</v>
      </c>
      <c r="I434" s="193"/>
      <c r="J434" s="186"/>
      <c r="K434" s="2">
        <f>SUM(K413:K433)</f>
        <v>2674</v>
      </c>
    </row>
    <row r="435" spans="1:15">
      <c r="A435" s="1" t="s">
        <v>167</v>
      </c>
      <c r="B435" s="1"/>
      <c r="C435" s="212">
        <v>-61.512045213815</v>
      </c>
      <c r="D435" s="212">
        <v>0</v>
      </c>
      <c r="E435" s="172"/>
      <c r="F435" s="172"/>
      <c r="G435" s="204">
        <v>-28.466349506112088</v>
      </c>
      <c r="H435" s="204">
        <v>0</v>
      </c>
      <c r="I435" s="172"/>
      <c r="J435" s="172"/>
      <c r="K435" s="204">
        <v>0</v>
      </c>
      <c r="M435" s="152"/>
      <c r="N435" s="152"/>
      <c r="O435" s="153"/>
    </row>
    <row r="436" spans="1:15" ht="16.5" thickBot="1">
      <c r="A436" s="1" t="s">
        <v>186</v>
      </c>
      <c r="B436" s="1"/>
      <c r="C436" s="174">
        <f>SUM(C434:C435)</f>
        <v>2667.4879547861851</v>
      </c>
      <c r="D436" s="174">
        <f>SUM(D434:D435)</f>
        <v>5657.1497597183234</v>
      </c>
      <c r="E436" s="205"/>
      <c r="F436" s="206"/>
      <c r="G436" s="207">
        <f>G434+G435</f>
        <v>1667.533650493888</v>
      </c>
      <c r="H436" s="207">
        <f>H434+H435</f>
        <v>2541</v>
      </c>
      <c r="I436" s="205"/>
      <c r="J436" s="208"/>
      <c r="K436" s="207">
        <f>K434+K435</f>
        <v>2674</v>
      </c>
      <c r="M436" s="154"/>
      <c r="N436" s="154"/>
      <c r="O436" s="155"/>
    </row>
    <row r="437" spans="1:15" ht="16.5" thickTop="1">
      <c r="A437" s="1"/>
      <c r="B437" s="1"/>
      <c r="C437" s="12"/>
      <c r="D437" s="12"/>
      <c r="E437" s="200"/>
      <c r="F437" s="2"/>
      <c r="G437" s="2"/>
      <c r="H437" s="2"/>
      <c r="I437" s="216" t="s">
        <v>13</v>
      </c>
      <c r="J437" s="1"/>
      <c r="K437" s="2" t="s">
        <v>13</v>
      </c>
    </row>
    <row r="438" spans="1:15">
      <c r="A438" s="1"/>
      <c r="B438" s="1"/>
      <c r="C438" s="12"/>
      <c r="D438" s="12"/>
      <c r="E438" s="200"/>
      <c r="F438" s="2"/>
      <c r="G438" s="2"/>
      <c r="H438" s="2"/>
      <c r="I438" s="216" t="s">
        <v>13</v>
      </c>
      <c r="J438" s="1"/>
      <c r="K438" s="2" t="s">
        <v>13</v>
      </c>
    </row>
    <row r="439" spans="1:15">
      <c r="A439" s="156" t="s">
        <v>224</v>
      </c>
      <c r="B439" s="1"/>
      <c r="C439" s="217"/>
      <c r="D439" s="217"/>
      <c r="E439" s="2"/>
      <c r="F439" s="2"/>
      <c r="G439" s="1"/>
      <c r="H439" s="1"/>
      <c r="I439" s="2"/>
      <c r="J439" s="1"/>
      <c r="K439" s="2" t="s">
        <v>13</v>
      </c>
    </row>
    <row r="440" spans="1:15">
      <c r="A440" s="186" t="s">
        <v>139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186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186" t="s">
        <v>197</v>
      </c>
      <c r="B442" s="1"/>
      <c r="C442" s="182"/>
      <c r="D442" s="182"/>
      <c r="E442" s="2"/>
      <c r="F442" s="2"/>
      <c r="G442" s="1"/>
      <c r="H442" s="1"/>
      <c r="I442" s="2"/>
      <c r="J442" s="1"/>
      <c r="K442" s="1"/>
    </row>
    <row r="443" spans="1:15">
      <c r="A443" s="186" t="s">
        <v>225</v>
      </c>
      <c r="B443" s="1"/>
      <c r="C443" s="182">
        <v>0</v>
      </c>
      <c r="D443" s="182">
        <v>0</v>
      </c>
      <c r="E443" s="218">
        <f>E480</f>
        <v>205</v>
      </c>
      <c r="F443" s="186"/>
      <c r="G443" s="184">
        <f t="shared" ref="G443:H445" si="39">ROUND(E443*$C443,0)</f>
        <v>0</v>
      </c>
      <c r="H443" s="184">
        <f t="shared" si="39"/>
        <v>0</v>
      </c>
      <c r="I443" s="218">
        <f>I480</f>
        <v>225</v>
      </c>
      <c r="J443" s="186"/>
      <c r="K443" s="184">
        <f>ROUND(I443*$D443,0)</f>
        <v>0</v>
      </c>
    </row>
    <row r="444" spans="1:15">
      <c r="A444" s="186" t="s">
        <v>226</v>
      </c>
      <c r="B444" s="1"/>
      <c r="C444" s="182">
        <v>0</v>
      </c>
      <c r="D444" s="182">
        <v>0</v>
      </c>
      <c r="E444" s="218">
        <f>E481</f>
        <v>75</v>
      </c>
      <c r="F444" s="186"/>
      <c r="G444" s="184">
        <f t="shared" si="39"/>
        <v>0</v>
      </c>
      <c r="H444" s="184">
        <f t="shared" si="39"/>
        <v>0</v>
      </c>
      <c r="I444" s="218">
        <f>I481</f>
        <v>83</v>
      </c>
      <c r="J444" s="186"/>
      <c r="K444" s="184">
        <f>ROUND(I444*$D444,0)</f>
        <v>0</v>
      </c>
    </row>
    <row r="445" spans="1:15">
      <c r="A445" s="186" t="s">
        <v>227</v>
      </c>
      <c r="B445" s="1"/>
      <c r="C445" s="182">
        <v>0</v>
      </c>
      <c r="D445" s="182">
        <v>0</v>
      </c>
      <c r="E445" s="218">
        <f>E482</f>
        <v>150</v>
      </c>
      <c r="F445" s="188"/>
      <c r="G445" s="184">
        <f t="shared" si="39"/>
        <v>0</v>
      </c>
      <c r="H445" s="184">
        <f t="shared" si="39"/>
        <v>0</v>
      </c>
      <c r="I445" s="218">
        <f>I482</f>
        <v>166</v>
      </c>
      <c r="J445" s="188"/>
      <c r="K445" s="184">
        <f>ROUND(I445*$D445,0)</f>
        <v>0</v>
      </c>
    </row>
    <row r="446" spans="1:15">
      <c r="A446" s="186" t="s">
        <v>198</v>
      </c>
      <c r="B446" s="1"/>
      <c r="C446" s="182">
        <f>SUM(C443:C445)</f>
        <v>0</v>
      </c>
      <c r="D446" s="182">
        <f>SUM(D443:D445)</f>
        <v>0</v>
      </c>
      <c r="E446" s="218"/>
      <c r="F446" s="186"/>
      <c r="G446" s="184"/>
      <c r="H446" s="184"/>
      <c r="I446" s="218"/>
      <c r="J446" s="186"/>
      <c r="K446" s="184"/>
    </row>
    <row r="447" spans="1:15">
      <c r="A447" s="186" t="s">
        <v>226</v>
      </c>
      <c r="B447" s="1"/>
      <c r="C447" s="182">
        <v>0</v>
      </c>
      <c r="D447" s="182">
        <v>0</v>
      </c>
      <c r="E447" s="218">
        <f>E484</f>
        <v>1.38</v>
      </c>
      <c r="F447" s="186" t="s">
        <v>13</v>
      </c>
      <c r="G447" s="184">
        <f>ROUND(E447*$C447,0)</f>
        <v>0</v>
      </c>
      <c r="H447" s="184">
        <f>ROUND(F447*$C447,0)</f>
        <v>0</v>
      </c>
      <c r="I447" s="218">
        <f>I484</f>
        <v>1.47</v>
      </c>
      <c r="J447" s="186" t="s">
        <v>13</v>
      </c>
      <c r="K447" s="184">
        <f>ROUND(I447*$D447,0)</f>
        <v>0</v>
      </c>
    </row>
    <row r="448" spans="1:15">
      <c r="A448" s="186" t="s">
        <v>227</v>
      </c>
      <c r="B448" s="1"/>
      <c r="C448" s="182">
        <v>0</v>
      </c>
      <c r="D448" s="182">
        <v>0</v>
      </c>
      <c r="E448" s="218">
        <f>E485</f>
        <v>1.1299999999999999</v>
      </c>
      <c r="F448" s="186" t="s">
        <v>13</v>
      </c>
      <c r="G448" s="184">
        <f>ROUND(E448*$C448,0)</f>
        <v>0</v>
      </c>
      <c r="H448" s="184">
        <f>ROUND(F448*$C448,0)</f>
        <v>0</v>
      </c>
      <c r="I448" s="218">
        <f>I485</f>
        <v>1.2</v>
      </c>
      <c r="J448" s="186" t="s">
        <v>13</v>
      </c>
      <c r="K448" s="184">
        <f>ROUND(I448*$D448,0)</f>
        <v>0</v>
      </c>
    </row>
    <row r="449" spans="1:11">
      <c r="A449" s="172" t="s">
        <v>228</v>
      </c>
      <c r="B449" s="1"/>
      <c r="C449" s="182"/>
      <c r="D449" s="182"/>
      <c r="E449" s="218"/>
      <c r="F449" s="186"/>
      <c r="G449" s="184"/>
      <c r="H449" s="184"/>
      <c r="I449" s="218"/>
      <c r="J449" s="186"/>
      <c r="K449" s="184"/>
    </row>
    <row r="450" spans="1:11">
      <c r="A450" s="172" t="s">
        <v>229</v>
      </c>
      <c r="B450" s="1"/>
      <c r="C450" s="182">
        <v>0</v>
      </c>
      <c r="D450" s="182">
        <v>0</v>
      </c>
      <c r="E450" s="218">
        <f>E487</f>
        <v>3.64</v>
      </c>
      <c r="F450" s="186"/>
      <c r="G450" s="184">
        <f>ROUND(E450*$C450,0)</f>
        <v>0</v>
      </c>
      <c r="H450" s="184">
        <f>ROUND(F450*$C450,0)</f>
        <v>0</v>
      </c>
      <c r="I450" s="218">
        <f>I487</f>
        <v>3.75</v>
      </c>
      <c r="J450" s="186"/>
      <c r="K450" s="184">
        <f>ROUND(I450*$D450,0)</f>
        <v>0</v>
      </c>
    </row>
    <row r="451" spans="1:11">
      <c r="A451" s="186" t="s">
        <v>230</v>
      </c>
      <c r="B451" s="1"/>
      <c r="C451" s="182"/>
      <c r="D451" s="182"/>
      <c r="E451" s="219"/>
      <c r="F451" s="184"/>
      <c r="G451" s="184"/>
      <c r="H451" s="184"/>
      <c r="I451" s="219"/>
      <c r="J451" s="184"/>
      <c r="K451" s="184"/>
    </row>
    <row r="452" spans="1:11">
      <c r="A452" s="186" t="s">
        <v>231</v>
      </c>
      <c r="B452" s="1"/>
      <c r="C452" s="182">
        <v>0</v>
      </c>
      <c r="D452" s="182">
        <v>0</v>
      </c>
      <c r="E452" s="220">
        <f>E490</f>
        <v>3.9809999999999999</v>
      </c>
      <c r="F452" s="184" t="s">
        <v>178</v>
      </c>
      <c r="G452" s="184">
        <f>ROUND($C452*E452/100,0)</f>
        <v>0</v>
      </c>
      <c r="H452" s="184">
        <f>ROUND($C452*F452/100,0)</f>
        <v>0</v>
      </c>
      <c r="I452" s="220">
        <f>I490</f>
        <v>4.3570000000000002</v>
      </c>
      <c r="J452" s="184" t="s">
        <v>178</v>
      </c>
      <c r="K452" s="184">
        <f>ROUND($D452*I452/100,0)</f>
        <v>0</v>
      </c>
    </row>
    <row r="453" spans="1:11">
      <c r="A453" s="186" t="s">
        <v>203</v>
      </c>
      <c r="B453" s="1"/>
      <c r="C453" s="182">
        <v>0</v>
      </c>
      <c r="D453" s="182">
        <v>0</v>
      </c>
      <c r="E453" s="220">
        <f>E491</f>
        <v>3.649</v>
      </c>
      <c r="F453" s="184" t="s">
        <v>178</v>
      </c>
      <c r="G453" s="184">
        <f>ROUND($C453*E453/100,0)</f>
        <v>0</v>
      </c>
      <c r="H453" s="184">
        <f>ROUND($C453*F453/100,0)</f>
        <v>0</v>
      </c>
      <c r="I453" s="220">
        <f>I491</f>
        <v>3.9930000000000003</v>
      </c>
      <c r="J453" s="184" t="s">
        <v>178</v>
      </c>
      <c r="K453" s="184">
        <f>ROUND($D453*I453/100,0)</f>
        <v>0</v>
      </c>
    </row>
    <row r="454" spans="1:11">
      <c r="A454" s="186" t="s">
        <v>204</v>
      </c>
      <c r="B454" s="1"/>
      <c r="C454" s="182">
        <v>0</v>
      </c>
      <c r="D454" s="182">
        <v>0</v>
      </c>
      <c r="E454" s="221">
        <v>45</v>
      </c>
      <c r="F454" s="184" t="s">
        <v>178</v>
      </c>
      <c r="G454" s="184">
        <f>ROUND(E454*$C454/100,0)</f>
        <v>0</v>
      </c>
      <c r="H454" s="184">
        <f>ROUND(F454*$C454/100,0)</f>
        <v>0</v>
      </c>
      <c r="I454" s="221">
        <v>45</v>
      </c>
      <c r="J454" s="184" t="s">
        <v>178</v>
      </c>
      <c r="K454" s="184">
        <f>ROUND(I454*$D454,0)</f>
        <v>0</v>
      </c>
    </row>
    <row r="455" spans="1:11">
      <c r="A455" s="186" t="s">
        <v>232</v>
      </c>
      <c r="B455" s="1"/>
      <c r="C455" s="182">
        <v>0</v>
      </c>
      <c r="D455" s="182">
        <v>0</v>
      </c>
      <c r="E455" s="222">
        <v>0.06</v>
      </c>
      <c r="F455" s="184"/>
      <c r="G455" s="184">
        <f>ROUND($C455*E455/100,0)</f>
        <v>0</v>
      </c>
      <c r="H455" s="184">
        <f>ROUND($C455*F455/100,0)</f>
        <v>0</v>
      </c>
      <c r="I455" s="222">
        <v>0.06</v>
      </c>
      <c r="J455" s="184"/>
      <c r="K455" s="184">
        <f>ROUND($D455*I455/100,0)</f>
        <v>0</v>
      </c>
    </row>
    <row r="456" spans="1:11">
      <c r="A456" s="223" t="s">
        <v>205</v>
      </c>
      <c r="B456" s="1"/>
      <c r="C456" s="182"/>
      <c r="D456" s="182"/>
      <c r="E456" s="195">
        <v>-0.01</v>
      </c>
      <c r="F456" s="224"/>
      <c r="G456" s="224"/>
      <c r="H456" s="224"/>
      <c r="I456" s="195">
        <v>-0.01</v>
      </c>
      <c r="J456" s="224"/>
      <c r="K456" s="2"/>
    </row>
    <row r="457" spans="1:11">
      <c r="A457" s="186" t="s">
        <v>225</v>
      </c>
      <c r="B457" s="1"/>
      <c r="C457" s="182">
        <v>0</v>
      </c>
      <c r="D457" s="182">
        <v>0</v>
      </c>
      <c r="E457" s="218">
        <f>E443</f>
        <v>205</v>
      </c>
      <c r="F457" s="186"/>
      <c r="G457" s="184">
        <f t="shared" ref="G457:H462" si="40">ROUND(E457*$C457*$E$456,0)</f>
        <v>0</v>
      </c>
      <c r="H457" s="184">
        <f t="shared" si="40"/>
        <v>0</v>
      </c>
      <c r="I457" s="218">
        <f>I443</f>
        <v>225</v>
      </c>
      <c r="J457" s="186"/>
      <c r="K457" s="184">
        <f t="shared" ref="K457:K462" si="41">ROUND(I457*$D457*$E$456,0)</f>
        <v>0</v>
      </c>
    </row>
    <row r="458" spans="1:11">
      <c r="A458" s="186" t="s">
        <v>226</v>
      </c>
      <c r="B458" s="1"/>
      <c r="C458" s="182">
        <v>0</v>
      </c>
      <c r="D458" s="182">
        <v>0</v>
      </c>
      <c r="E458" s="218">
        <f>E444</f>
        <v>75</v>
      </c>
      <c r="F458" s="186"/>
      <c r="G458" s="184">
        <f t="shared" si="40"/>
        <v>0</v>
      </c>
      <c r="H458" s="184">
        <f t="shared" si="40"/>
        <v>0</v>
      </c>
      <c r="I458" s="218">
        <f>I444</f>
        <v>83</v>
      </c>
      <c r="J458" s="186"/>
      <c r="K458" s="184">
        <f t="shared" si="41"/>
        <v>0</v>
      </c>
    </row>
    <row r="459" spans="1:11">
      <c r="A459" s="186" t="s">
        <v>227</v>
      </c>
      <c r="B459" s="1"/>
      <c r="C459" s="182">
        <v>0</v>
      </c>
      <c r="D459" s="182">
        <v>0</v>
      </c>
      <c r="E459" s="218">
        <f>E445</f>
        <v>150</v>
      </c>
      <c r="F459" s="188"/>
      <c r="G459" s="184">
        <f t="shared" si="40"/>
        <v>0</v>
      </c>
      <c r="H459" s="184">
        <f t="shared" si="40"/>
        <v>0</v>
      </c>
      <c r="I459" s="218">
        <f>I445</f>
        <v>166</v>
      </c>
      <c r="J459" s="188"/>
      <c r="K459" s="184">
        <f t="shared" si="41"/>
        <v>0</v>
      </c>
    </row>
    <row r="460" spans="1:11">
      <c r="A460" s="186" t="s">
        <v>226</v>
      </c>
      <c r="B460" s="1"/>
      <c r="C460" s="182">
        <v>0</v>
      </c>
      <c r="D460" s="182">
        <v>0</v>
      </c>
      <c r="E460" s="218">
        <f>E447</f>
        <v>1.38</v>
      </c>
      <c r="F460" s="186" t="s">
        <v>13</v>
      </c>
      <c r="G460" s="184">
        <f t="shared" si="40"/>
        <v>0</v>
      </c>
      <c r="H460" s="184">
        <f t="shared" si="40"/>
        <v>0</v>
      </c>
      <c r="I460" s="218">
        <f>I447</f>
        <v>1.47</v>
      </c>
      <c r="J460" s="186" t="s">
        <v>13</v>
      </c>
      <c r="K460" s="184">
        <f t="shared" si="41"/>
        <v>0</v>
      </c>
    </row>
    <row r="461" spans="1:11">
      <c r="A461" s="186" t="s">
        <v>227</v>
      </c>
      <c r="B461" s="1"/>
      <c r="C461" s="182">
        <v>0</v>
      </c>
      <c r="D461" s="182">
        <v>0</v>
      </c>
      <c r="E461" s="218">
        <f>E448</f>
        <v>1.1299999999999999</v>
      </c>
      <c r="F461" s="186" t="s">
        <v>13</v>
      </c>
      <c r="G461" s="184">
        <f t="shared" si="40"/>
        <v>0</v>
      </c>
      <c r="H461" s="184">
        <f t="shared" si="40"/>
        <v>0</v>
      </c>
      <c r="I461" s="218">
        <f>I448</f>
        <v>1.2</v>
      </c>
      <c r="J461" s="186" t="s">
        <v>13</v>
      </c>
      <c r="K461" s="184">
        <f t="shared" si="41"/>
        <v>0</v>
      </c>
    </row>
    <row r="462" spans="1:11">
      <c r="A462" s="172" t="s">
        <v>229</v>
      </c>
      <c r="B462" s="1"/>
      <c r="C462" s="182">
        <v>0</v>
      </c>
      <c r="D462" s="182">
        <v>0</v>
      </c>
      <c r="E462" s="218">
        <f>E450</f>
        <v>3.64</v>
      </c>
      <c r="F462" s="186"/>
      <c r="G462" s="184">
        <f t="shared" si="40"/>
        <v>0</v>
      </c>
      <c r="H462" s="184">
        <f t="shared" si="40"/>
        <v>0</v>
      </c>
      <c r="I462" s="218">
        <f>I450</f>
        <v>3.75</v>
      </c>
      <c r="J462" s="186"/>
      <c r="K462" s="184">
        <f t="shared" si="41"/>
        <v>0</v>
      </c>
    </row>
    <row r="463" spans="1:11">
      <c r="A463" s="186" t="s">
        <v>231</v>
      </c>
      <c r="B463" s="1"/>
      <c r="C463" s="182">
        <v>0</v>
      </c>
      <c r="D463" s="182">
        <v>0</v>
      </c>
      <c r="E463" s="198">
        <f>E452</f>
        <v>3.9809999999999999</v>
      </c>
      <c r="F463" s="184" t="s">
        <v>178</v>
      </c>
      <c r="G463" s="184">
        <f>ROUND(E463/100*$C463*E456,0)</f>
        <v>0</v>
      </c>
      <c r="H463" s="184">
        <f>ROUND(F463/100*$C463*F456,0)</f>
        <v>0</v>
      </c>
      <c r="I463" s="198">
        <f>I452</f>
        <v>4.3570000000000002</v>
      </c>
      <c r="J463" s="184" t="s">
        <v>178</v>
      </c>
      <c r="K463" s="184">
        <f>ROUND(I463/100*$D463*E456,0)</f>
        <v>0</v>
      </c>
    </row>
    <row r="464" spans="1:11">
      <c r="A464" s="186" t="s">
        <v>203</v>
      </c>
      <c r="B464" s="1"/>
      <c r="C464" s="182">
        <v>0</v>
      </c>
      <c r="D464" s="182">
        <v>0</v>
      </c>
      <c r="E464" s="198">
        <f>E453</f>
        <v>3.649</v>
      </c>
      <c r="F464" s="184" t="s">
        <v>178</v>
      </c>
      <c r="G464" s="184">
        <f>ROUND(E464/100*$C464*E456,0)</f>
        <v>0</v>
      </c>
      <c r="H464" s="184">
        <f>ROUND(F464/100*$C464*F456,0)</f>
        <v>0</v>
      </c>
      <c r="I464" s="198">
        <f>I453</f>
        <v>3.9930000000000003</v>
      </c>
      <c r="J464" s="184" t="s">
        <v>178</v>
      </c>
      <c r="K464" s="184">
        <f>ROUND(I464/100*$D464*E456,0)</f>
        <v>0</v>
      </c>
    </row>
    <row r="465" spans="1:24">
      <c r="A465" s="172" t="s">
        <v>233</v>
      </c>
      <c r="B465" s="1"/>
      <c r="C465" s="182">
        <v>0</v>
      </c>
      <c r="D465" s="182">
        <v>0</v>
      </c>
      <c r="E465" s="225">
        <v>45</v>
      </c>
      <c r="F465" s="184" t="s">
        <v>178</v>
      </c>
      <c r="G465" s="184">
        <f>ROUND(E465*$C465*$E$456,0)</f>
        <v>0</v>
      </c>
      <c r="H465" s="184">
        <f>ROUND(F465*$C465*$E$456,0)</f>
        <v>0</v>
      </c>
      <c r="I465" s="225">
        <v>45</v>
      </c>
      <c r="J465" s="184" t="s">
        <v>178</v>
      </c>
      <c r="K465" s="184">
        <f>ROUND(I465*$D465*$E$456,0)</f>
        <v>0</v>
      </c>
    </row>
    <row r="466" spans="1:24">
      <c r="A466" s="172" t="s">
        <v>234</v>
      </c>
      <c r="B466" s="1"/>
      <c r="C466" s="182">
        <v>0</v>
      </c>
      <c r="D466" s="182">
        <v>0</v>
      </c>
      <c r="E466" s="199">
        <v>0.06</v>
      </c>
      <c r="F466" s="184" t="s">
        <v>178</v>
      </c>
      <c r="G466" s="184">
        <f>ROUND(E466/100*$C466*E456,0)</f>
        <v>0</v>
      </c>
      <c r="H466" s="184">
        <f>ROUND(F466/100*$C466*F456,0)</f>
        <v>0</v>
      </c>
      <c r="I466" s="199">
        <v>0.06</v>
      </c>
      <c r="J466" s="184" t="s">
        <v>178</v>
      </c>
      <c r="K466" s="184">
        <f>ROUND(I466/100*$D466*I456,0)</f>
        <v>0</v>
      </c>
    </row>
    <row r="467" spans="1:24">
      <c r="A467" s="186" t="s">
        <v>235</v>
      </c>
      <c r="B467" s="1"/>
      <c r="C467" s="182">
        <v>0</v>
      </c>
      <c r="D467" s="182">
        <v>0</v>
      </c>
      <c r="E467" s="226">
        <v>60</v>
      </c>
      <c r="F467" s="224" t="s">
        <v>13</v>
      </c>
      <c r="G467" s="184">
        <f>ROUND(E467*$C467,0)</f>
        <v>0</v>
      </c>
      <c r="H467" s="184">
        <f>ROUND(F467*$C467,0)</f>
        <v>0</v>
      </c>
      <c r="I467" s="226">
        <v>60</v>
      </c>
      <c r="J467" s="227" t="s">
        <v>13</v>
      </c>
      <c r="K467" s="184">
        <f>ROUND(I467*$D467,0)</f>
        <v>0</v>
      </c>
    </row>
    <row r="468" spans="1:24">
      <c r="A468" s="186" t="s">
        <v>236</v>
      </c>
      <c r="B468" s="1"/>
      <c r="C468" s="182">
        <v>0</v>
      </c>
      <c r="D468" s="182">
        <v>0</v>
      </c>
      <c r="E468" s="199">
        <v>-30</v>
      </c>
      <c r="F468" s="184" t="s">
        <v>178</v>
      </c>
      <c r="G468" s="184">
        <f>ROUND(E468*$C468*$E$456,0)</f>
        <v>0</v>
      </c>
      <c r="H468" s="184">
        <f>ROUND(F468*$C468*$E$456,0)</f>
        <v>0</v>
      </c>
      <c r="I468" s="199">
        <v>-30</v>
      </c>
      <c r="J468" s="184" t="s">
        <v>178</v>
      </c>
      <c r="K468" s="184">
        <f>ROUND(I468*$D468*$E$456,0)</f>
        <v>0</v>
      </c>
    </row>
    <row r="469" spans="1:24">
      <c r="A469" s="172" t="s">
        <v>237</v>
      </c>
      <c r="B469" s="1"/>
      <c r="C469" s="182">
        <v>0</v>
      </c>
      <c r="D469" s="182">
        <v>0</v>
      </c>
      <c r="E469" s="197">
        <f>E450/2</f>
        <v>1.82</v>
      </c>
      <c r="F469" s="184"/>
      <c r="G469" s="184"/>
      <c r="H469" s="184"/>
      <c r="I469" s="197">
        <f>I450/2</f>
        <v>1.875</v>
      </c>
      <c r="J469" s="184"/>
      <c r="K469" s="184">
        <f>ROUND($D469*I469,0)</f>
        <v>0</v>
      </c>
    </row>
    <row r="470" spans="1:24">
      <c r="A470" s="172" t="s">
        <v>238</v>
      </c>
      <c r="B470" s="1"/>
      <c r="C470" s="182">
        <v>0</v>
      </c>
      <c r="D470" s="182">
        <v>0</v>
      </c>
      <c r="E470" s="197">
        <f>E450*4</f>
        <v>14.56</v>
      </c>
      <c r="F470" s="184"/>
      <c r="G470" s="184"/>
      <c r="H470" s="184"/>
      <c r="I470" s="197">
        <f>I450*4</f>
        <v>15</v>
      </c>
      <c r="J470" s="184"/>
      <c r="K470" s="184">
        <f>ROUND($D470*I470,0)</f>
        <v>0</v>
      </c>
    </row>
    <row r="471" spans="1:24">
      <c r="A471" s="3" t="s">
        <v>239</v>
      </c>
      <c r="B471" s="166"/>
      <c r="C471" s="182">
        <v>0</v>
      </c>
      <c r="D471" s="182">
        <v>0</v>
      </c>
      <c r="E471" s="228">
        <f>E453*4</f>
        <v>14.596</v>
      </c>
      <c r="F471" s="184" t="s">
        <v>178</v>
      </c>
      <c r="G471" s="184">
        <f>ROUND($C471*E471/100,0)</f>
        <v>0</v>
      </c>
      <c r="H471" s="184">
        <f>ROUND($C471*F471/100,0)</f>
        <v>0</v>
      </c>
      <c r="I471" s="473">
        <f>I453*4</f>
        <v>15.972000000000001</v>
      </c>
      <c r="J471" s="184" t="s">
        <v>178</v>
      </c>
      <c r="K471" s="184">
        <f>ROUND($D471*I471/100,0)</f>
        <v>0</v>
      </c>
    </row>
    <row r="472" spans="1:24">
      <c r="A472" s="1" t="s">
        <v>185</v>
      </c>
      <c r="B472" s="1"/>
      <c r="C472" s="182">
        <f>SUM(C452:C453)</f>
        <v>0</v>
      </c>
      <c r="D472" s="182">
        <f>SUM(D452:D453)</f>
        <v>0</v>
      </c>
      <c r="E472" s="193"/>
      <c r="F472" s="2"/>
      <c r="G472" s="2">
        <f>SUM(G443:G471)</f>
        <v>0</v>
      </c>
      <c r="H472" s="2">
        <f>SUM(H443:H471)</f>
        <v>0</v>
      </c>
      <c r="I472" s="193"/>
      <c r="J472" s="186"/>
      <c r="K472" s="2">
        <f>SUM(K443:K471)</f>
        <v>0</v>
      </c>
    </row>
    <row r="473" spans="1:24">
      <c r="A473" s="1" t="s">
        <v>167</v>
      </c>
      <c r="B473" s="1"/>
      <c r="C473" s="212">
        <v>0</v>
      </c>
      <c r="D473" s="212">
        <v>0</v>
      </c>
      <c r="E473" s="172"/>
      <c r="F473" s="172"/>
      <c r="G473" s="173">
        <v>0</v>
      </c>
      <c r="H473" s="173">
        <v>0</v>
      </c>
      <c r="I473" s="172"/>
      <c r="J473" s="172"/>
      <c r="K473" s="173">
        <v>0</v>
      </c>
      <c r="M473" s="152"/>
      <c r="N473" s="152"/>
      <c r="O473" s="153"/>
    </row>
    <row r="474" spans="1:24" ht="16.5" thickBot="1">
      <c r="A474" s="1" t="s">
        <v>186</v>
      </c>
      <c r="B474" s="1"/>
      <c r="C474" s="229">
        <f>SUM(C472:C473)</f>
        <v>0</v>
      </c>
      <c r="D474" s="229">
        <f>SUM(D472:D473)</f>
        <v>0</v>
      </c>
      <c r="E474" s="205"/>
      <c r="F474" s="206"/>
      <c r="G474" s="207">
        <f>SUM(G472:G473)</f>
        <v>0</v>
      </c>
      <c r="H474" s="207">
        <f>SUM(H472:H473)</f>
        <v>0</v>
      </c>
      <c r="I474" s="205"/>
      <c r="J474" s="208"/>
      <c r="K474" s="207">
        <f>SUM(K472:K473)</f>
        <v>0</v>
      </c>
      <c r="M474" s="154"/>
      <c r="N474" s="154"/>
      <c r="O474" s="155"/>
    </row>
    <row r="475" spans="1:24" ht="16.5" thickTop="1">
      <c r="A475" s="1"/>
      <c r="B475" s="230"/>
      <c r="C475" s="12"/>
      <c r="D475" s="12"/>
      <c r="E475" s="200"/>
      <c r="F475" s="2"/>
      <c r="G475" s="2"/>
      <c r="H475" s="2"/>
      <c r="I475" s="200"/>
      <c r="J475" s="1"/>
      <c r="K475" s="2"/>
    </row>
    <row r="476" spans="1:24">
      <c r="A476" s="156" t="s">
        <v>240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</row>
    <row r="477" spans="1:24">
      <c r="A477" s="172" t="s">
        <v>241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186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186" t="s">
        <v>197</v>
      </c>
      <c r="B479" s="1"/>
      <c r="C479" s="182"/>
      <c r="D479" s="182"/>
      <c r="E479" s="2"/>
      <c r="F479" s="2"/>
      <c r="G479" s="1"/>
      <c r="H479" s="1"/>
      <c r="I479" s="2"/>
      <c r="J479" s="1"/>
      <c r="K479" s="1"/>
      <c r="S479" s="13">
        <v>100</v>
      </c>
      <c r="T479" s="13">
        <v>101</v>
      </c>
      <c r="U479" s="13">
        <v>300</v>
      </c>
      <c r="V479" s="13">
        <v>301</v>
      </c>
      <c r="W479" s="13" t="s">
        <v>242</v>
      </c>
      <c r="X479" s="13" t="s">
        <v>243</v>
      </c>
    </row>
    <row r="480" spans="1:24">
      <c r="A480" s="186" t="s">
        <v>225</v>
      </c>
      <c r="B480" s="1"/>
      <c r="C480" s="182">
        <f t="shared" ref="C480:D482" si="42">C514+C548</f>
        <v>289</v>
      </c>
      <c r="D480" s="182">
        <f t="shared" si="42"/>
        <v>292</v>
      </c>
      <c r="E480" s="161">
        <v>205</v>
      </c>
      <c r="F480" s="186"/>
      <c r="G480" s="184">
        <f t="shared" ref="G480:H482" si="43">G514+G548</f>
        <v>59245</v>
      </c>
      <c r="H480" s="184">
        <f t="shared" si="43"/>
        <v>59860</v>
      </c>
      <c r="I480" s="161">
        <v>225</v>
      </c>
      <c r="J480" s="186"/>
      <c r="K480" s="184">
        <f>K514+K548</f>
        <v>65700</v>
      </c>
      <c r="M480" s="42">
        <f>I480*D480</f>
        <v>65700</v>
      </c>
      <c r="N480" s="8"/>
      <c r="O480" s="8">
        <f>(I480-E480)/E480</f>
        <v>9.7560975609756101E-2</v>
      </c>
      <c r="P480" s="101">
        <f>SUM(K480:K485)/SUM(H480:H485)-1</f>
        <v>7.3572489540367991E-2</v>
      </c>
      <c r="R480" s="3" t="s">
        <v>175</v>
      </c>
      <c r="S480" s="192">
        <f>E480</f>
        <v>205</v>
      </c>
      <c r="T480" s="192">
        <f>E481+(E484*101)</f>
        <v>214.38</v>
      </c>
      <c r="U480" s="192">
        <f>E481+(E484*300)</f>
        <v>488.99999999999994</v>
      </c>
      <c r="V480" s="192">
        <f>E482+(E485*301)</f>
        <v>490.13</v>
      </c>
      <c r="W480" s="42">
        <f>(D480+D481+D482)*E480</f>
        <v>2621745</v>
      </c>
      <c r="X480" s="42">
        <f>SUM(H480:H485)-W480</f>
        <v>2785711</v>
      </c>
    </row>
    <row r="481" spans="1:25">
      <c r="A481" s="186" t="s">
        <v>226</v>
      </c>
      <c r="B481" s="1"/>
      <c r="C481" s="182">
        <f t="shared" si="42"/>
        <v>8907</v>
      </c>
      <c r="D481" s="182">
        <f t="shared" si="42"/>
        <v>8972</v>
      </c>
      <c r="E481" s="161">
        <v>75</v>
      </c>
      <c r="F481" s="186"/>
      <c r="G481" s="184">
        <f t="shared" si="43"/>
        <v>668025</v>
      </c>
      <c r="H481" s="184">
        <f t="shared" si="43"/>
        <v>672900</v>
      </c>
      <c r="I481" s="161">
        <v>83</v>
      </c>
      <c r="J481" s="186"/>
      <c r="K481" s="184">
        <f>K515+K549</f>
        <v>744676</v>
      </c>
      <c r="M481" s="42">
        <f>I481*D481</f>
        <v>744676</v>
      </c>
      <c r="N481" s="8"/>
      <c r="O481" s="8">
        <f>(I481-E481)/E481</f>
        <v>0.10666666666666667</v>
      </c>
      <c r="R481" s="3" t="s">
        <v>120</v>
      </c>
      <c r="S481" s="192">
        <f>I480</f>
        <v>225</v>
      </c>
      <c r="T481" s="192">
        <f>I481+(I484*101)</f>
        <v>231.47</v>
      </c>
      <c r="U481" s="192">
        <f>I481+(I484*300)</f>
        <v>524</v>
      </c>
      <c r="V481" s="192">
        <f>I482+(I485*301)</f>
        <v>527.20000000000005</v>
      </c>
      <c r="W481" s="42">
        <f>(D480+D481+D482)*I480</f>
        <v>2877525</v>
      </c>
      <c r="X481" s="42">
        <f>SUM(K480:K485)-W481</f>
        <v>2927771</v>
      </c>
    </row>
    <row r="482" spans="1:25">
      <c r="A482" s="186" t="s">
        <v>227</v>
      </c>
      <c r="B482" s="1"/>
      <c r="C482" s="182">
        <f t="shared" si="42"/>
        <v>3508</v>
      </c>
      <c r="D482" s="182">
        <f t="shared" si="42"/>
        <v>3525</v>
      </c>
      <c r="E482" s="161">
        <v>150</v>
      </c>
      <c r="F482" s="188"/>
      <c r="G482" s="184">
        <f t="shared" si="43"/>
        <v>526200</v>
      </c>
      <c r="H482" s="184">
        <f t="shared" si="43"/>
        <v>528750</v>
      </c>
      <c r="I482" s="161">
        <v>166</v>
      </c>
      <c r="J482" s="188"/>
      <c r="K482" s="184">
        <f>K516+K550</f>
        <v>585150</v>
      </c>
      <c r="M482" s="42">
        <f>I482*D482</f>
        <v>585150</v>
      </c>
      <c r="N482" s="8"/>
      <c r="O482" s="8">
        <f>(I482-E482)/E482</f>
        <v>0.10666666666666667</v>
      </c>
      <c r="R482" s="3" t="s">
        <v>112</v>
      </c>
      <c r="W482" s="3">
        <f>W481/W480</f>
        <v>1.0975609756097562</v>
      </c>
      <c r="X482" s="3">
        <f>X481/X480</f>
        <v>1.0509959575849757</v>
      </c>
    </row>
    <row r="483" spans="1:25">
      <c r="A483" s="186" t="s">
        <v>198</v>
      </c>
      <c r="B483" s="1"/>
      <c r="C483" s="182">
        <f>SUM(C480:C482)</f>
        <v>12704</v>
      </c>
      <c r="D483" s="182">
        <f>SUM(D480:D482)</f>
        <v>12789</v>
      </c>
      <c r="E483" s="161"/>
      <c r="F483" s="186"/>
      <c r="G483" s="184"/>
      <c r="H483" s="184"/>
      <c r="I483" s="161"/>
      <c r="J483" s="186"/>
      <c r="K483" s="184"/>
    </row>
    <row r="484" spans="1:25">
      <c r="A484" s="186" t="s">
        <v>226</v>
      </c>
      <c r="B484" s="1"/>
      <c r="C484" s="182">
        <f>C518+C552</f>
        <v>1535371</v>
      </c>
      <c r="D484" s="182">
        <f>D518+D552</f>
        <v>1549871</v>
      </c>
      <c r="E484" s="161">
        <v>1.38</v>
      </c>
      <c r="F484" s="186" t="s">
        <v>13</v>
      </c>
      <c r="G484" s="184">
        <f>G518+G552</f>
        <v>2118812</v>
      </c>
      <c r="H484" s="184">
        <f>H518+H552</f>
        <v>2138822</v>
      </c>
      <c r="I484" s="161">
        <v>1.47</v>
      </c>
      <c r="J484" s="186" t="s">
        <v>13</v>
      </c>
      <c r="K484" s="184">
        <f>K518+K552</f>
        <v>2278311</v>
      </c>
      <c r="M484" s="42">
        <f>I484*D484</f>
        <v>2278310.37</v>
      </c>
      <c r="N484" s="8"/>
      <c r="O484" s="8">
        <f>(I484-E484)/E484</f>
        <v>6.5217391304347894E-2</v>
      </c>
      <c r="R484" s="3" t="s">
        <v>244</v>
      </c>
    </row>
    <row r="485" spans="1:25">
      <c r="A485" s="186" t="s">
        <v>227</v>
      </c>
      <c r="B485" s="1"/>
      <c r="C485" s="182">
        <f>C519+C553</f>
        <v>1759859</v>
      </c>
      <c r="D485" s="182">
        <f>D519+D553</f>
        <v>1776216</v>
      </c>
      <c r="E485" s="161">
        <v>1.1299999999999999</v>
      </c>
      <c r="F485" s="186" t="s">
        <v>13</v>
      </c>
      <c r="G485" s="184">
        <f>G519+G553</f>
        <v>1988640</v>
      </c>
      <c r="H485" s="184">
        <f>H519+H553</f>
        <v>2007124</v>
      </c>
      <c r="I485" s="161">
        <v>1.2</v>
      </c>
      <c r="J485" s="186" t="s">
        <v>13</v>
      </c>
      <c r="K485" s="184">
        <f>K519+K553</f>
        <v>2131459</v>
      </c>
      <c r="M485" s="42">
        <f>I485*D485</f>
        <v>2131459.1999999997</v>
      </c>
      <c r="N485" s="8"/>
      <c r="O485" s="8">
        <f>(I485-E485)/E485</f>
        <v>6.1946902654867318E-2</v>
      </c>
      <c r="R485" s="3" t="s">
        <v>175</v>
      </c>
      <c r="T485" s="3">
        <f>(T480-S480)*12</f>
        <v>112.55999999999995</v>
      </c>
      <c r="V485" s="3">
        <f>(V480-U480)*12</f>
        <v>13.560000000000628</v>
      </c>
      <c r="X485" s="231"/>
      <c r="Y485" s="192"/>
    </row>
    <row r="486" spans="1:25">
      <c r="A486" s="172" t="s">
        <v>228</v>
      </c>
      <c r="B486" s="1"/>
      <c r="C486" s="182"/>
      <c r="D486" s="182"/>
      <c r="E486" s="218"/>
      <c r="F486" s="186"/>
      <c r="G486" s="184"/>
      <c r="H486" s="184"/>
      <c r="I486" s="218"/>
      <c r="J486" s="186"/>
      <c r="K486" s="184"/>
      <c r="R486" s="3" t="s">
        <v>120</v>
      </c>
      <c r="T486" s="3">
        <f>(T481-S481)*12</f>
        <v>77.639999999999986</v>
      </c>
      <c r="V486" s="3">
        <f>(V481-U481)*12</f>
        <v>38.400000000000546</v>
      </c>
    </row>
    <row r="487" spans="1:25">
      <c r="A487" s="172" t="s">
        <v>229</v>
      </c>
      <c r="B487" s="1"/>
      <c r="C487" s="182">
        <f>C521+C555</f>
        <v>2505096</v>
      </c>
      <c r="D487" s="182">
        <f>D521+D555</f>
        <v>2528566</v>
      </c>
      <c r="E487" s="161">
        <v>3.64</v>
      </c>
      <c r="F487" s="186"/>
      <c r="G487" s="184">
        <f>G521+G555</f>
        <v>9118549</v>
      </c>
      <c r="H487" s="184">
        <f>H521+H555</f>
        <v>9203980</v>
      </c>
      <c r="I487" s="161">
        <v>3.75</v>
      </c>
      <c r="J487" s="186"/>
      <c r="K487" s="184">
        <f>K521+K555</f>
        <v>9482123</v>
      </c>
      <c r="M487" s="42">
        <f>I487*D487</f>
        <v>9482122.5</v>
      </c>
      <c r="N487" s="8"/>
      <c r="O487" s="8">
        <f>(I487-E487)/E487</f>
        <v>3.0219780219780185E-2</v>
      </c>
    </row>
    <row r="488" spans="1:25">
      <c r="A488" s="172" t="s">
        <v>245</v>
      </c>
      <c r="B488" s="1"/>
      <c r="C488" s="182">
        <f>C522+C556</f>
        <v>29432</v>
      </c>
      <c r="D488" s="182">
        <f>D522+D556</f>
        <v>29702</v>
      </c>
      <c r="E488" s="232">
        <f>E487</f>
        <v>3.64</v>
      </c>
      <c r="F488" s="186"/>
      <c r="G488" s="184">
        <f>G522+G556</f>
        <v>107133</v>
      </c>
      <c r="H488" s="184">
        <f>H522+H556</f>
        <v>108115</v>
      </c>
      <c r="I488" s="232">
        <f>I487</f>
        <v>3.75</v>
      </c>
      <c r="J488" s="186"/>
      <c r="K488" s="184">
        <f>K522+K556</f>
        <v>111383</v>
      </c>
      <c r="M488" s="42">
        <f>I488*D488</f>
        <v>111382.5</v>
      </c>
      <c r="N488" s="8"/>
      <c r="O488" s="8">
        <f>(I488-E488)/E488</f>
        <v>3.0219780219780185E-2</v>
      </c>
    </row>
    <row r="489" spans="1:25">
      <c r="A489" s="186" t="s">
        <v>230</v>
      </c>
      <c r="B489" s="1"/>
      <c r="C489" s="182"/>
      <c r="D489" s="182"/>
      <c r="E489" s="161"/>
      <c r="F489" s="186"/>
      <c r="G489" s="184"/>
      <c r="H489" s="184"/>
      <c r="I489" s="161"/>
      <c r="J489" s="186"/>
      <c r="K489" s="184"/>
    </row>
    <row r="490" spans="1:25">
      <c r="A490" s="186" t="s">
        <v>231</v>
      </c>
      <c r="B490" s="182"/>
      <c r="C490" s="182">
        <v>399000610.21105069</v>
      </c>
      <c r="D490" s="182">
        <f>D524+D558</f>
        <v>402768334</v>
      </c>
      <c r="E490" s="233">
        <v>3.9809999999999999</v>
      </c>
      <c r="F490" s="186" t="s">
        <v>178</v>
      </c>
      <c r="G490" s="184">
        <f t="shared" ref="G490:H492" si="44">G524+G558</f>
        <v>15884355</v>
      </c>
      <c r="H490" s="184">
        <f t="shared" si="44"/>
        <v>16034207</v>
      </c>
      <c r="I490" s="190">
        <v>4.3570000000000002</v>
      </c>
      <c r="J490" s="186" t="s">
        <v>178</v>
      </c>
      <c r="K490" s="184">
        <f>K524+K558</f>
        <v>17548616</v>
      </c>
      <c r="M490" s="42">
        <f>(I490/100)*D490</f>
        <v>17548616.312380001</v>
      </c>
      <c r="N490" s="8"/>
      <c r="O490" s="8">
        <f>(I490-E490)/E490</f>
        <v>9.4448630997236965E-2</v>
      </c>
    </row>
    <row r="491" spans="1:25">
      <c r="A491" s="186" t="s">
        <v>203</v>
      </c>
      <c r="B491" s="182"/>
      <c r="C491" s="182">
        <v>502109624.78894931</v>
      </c>
      <c r="D491" s="182">
        <f>D525+D559</f>
        <v>506816374</v>
      </c>
      <c r="E491" s="233">
        <v>3.649</v>
      </c>
      <c r="F491" s="186" t="s">
        <v>178</v>
      </c>
      <c r="G491" s="184">
        <f t="shared" si="44"/>
        <v>18322143</v>
      </c>
      <c r="H491" s="184">
        <f t="shared" si="44"/>
        <v>18493730</v>
      </c>
      <c r="I491" s="233">
        <f>ROUND((E491/E490)*I490,3)-0.001</f>
        <v>3.9930000000000003</v>
      </c>
      <c r="J491" s="186" t="s">
        <v>178</v>
      </c>
      <c r="K491" s="184">
        <f>K525+K559</f>
        <v>20237178</v>
      </c>
      <c r="M491" s="42">
        <f>(I491/100)*D491</f>
        <v>20237177.813820001</v>
      </c>
      <c r="N491" s="8"/>
      <c r="O491" s="8">
        <f>(I491-E491)/E491</f>
        <v>9.4272403398191373E-2</v>
      </c>
    </row>
    <row r="492" spans="1:25">
      <c r="A492" s="186" t="s">
        <v>204</v>
      </c>
      <c r="B492" s="1"/>
      <c r="C492" s="182">
        <f>C526+C560</f>
        <v>523331</v>
      </c>
      <c r="D492" s="182">
        <f>D526+D560</f>
        <v>528143</v>
      </c>
      <c r="E492" s="202">
        <v>45</v>
      </c>
      <c r="F492" s="186" t="s">
        <v>178</v>
      </c>
      <c r="G492" s="184">
        <f t="shared" si="44"/>
        <v>235499</v>
      </c>
      <c r="H492" s="184">
        <f t="shared" si="44"/>
        <v>237664</v>
      </c>
      <c r="I492" s="202">
        <v>45</v>
      </c>
      <c r="J492" s="186" t="s">
        <v>178</v>
      </c>
      <c r="K492" s="184">
        <f>K526+K560</f>
        <v>237664</v>
      </c>
      <c r="M492" s="42">
        <f>(I492/100)*D492</f>
        <v>237664.35</v>
      </c>
      <c r="N492" s="8"/>
      <c r="O492" s="8">
        <f>(I492-E492)/E492</f>
        <v>0</v>
      </c>
      <c r="S492" s="3" t="s">
        <v>175</v>
      </c>
      <c r="T492" s="3" t="s">
        <v>120</v>
      </c>
      <c r="U492" s="3" t="s">
        <v>176</v>
      </c>
      <c r="V492" s="3" t="s">
        <v>126</v>
      </c>
    </row>
    <row r="493" spans="1:25">
      <c r="A493" s="223" t="s">
        <v>205</v>
      </c>
      <c r="B493" s="1"/>
      <c r="C493" s="182"/>
      <c r="D493" s="182"/>
      <c r="E493" s="195">
        <v>-0.01</v>
      </c>
      <c r="F493" s="2"/>
      <c r="G493" s="184"/>
      <c r="H493" s="184"/>
      <c r="I493" s="195">
        <v>-0.01</v>
      </c>
      <c r="J493" s="1"/>
      <c r="K493" s="184"/>
      <c r="R493" s="3" t="s">
        <v>246</v>
      </c>
      <c r="S493" s="42">
        <f>SUM(H480:H485)</f>
        <v>5407456</v>
      </c>
      <c r="T493" s="42">
        <f>SUM(K480:K485)</f>
        <v>5805296</v>
      </c>
      <c r="U493" s="49">
        <v>6297781.880353801</v>
      </c>
      <c r="V493" s="101">
        <f>T493/U493</f>
        <v>0.92180010522591582</v>
      </c>
    </row>
    <row r="494" spans="1:25">
      <c r="A494" s="186" t="s">
        <v>225</v>
      </c>
      <c r="B494" s="1"/>
      <c r="C494" s="182">
        <f t="shared" ref="C494:D507" si="45">C528+C562</f>
        <v>0</v>
      </c>
      <c r="D494" s="182">
        <f t="shared" si="45"/>
        <v>0</v>
      </c>
      <c r="E494" s="167">
        <f>E480</f>
        <v>205</v>
      </c>
      <c r="F494" s="227"/>
      <c r="G494" s="184">
        <f t="shared" ref="G494:H507" si="46">G528+G562</f>
        <v>0</v>
      </c>
      <c r="H494" s="184">
        <f t="shared" si="46"/>
        <v>0</v>
      </c>
      <c r="I494" s="167">
        <f>I480</f>
        <v>225</v>
      </c>
      <c r="J494" s="156"/>
      <c r="K494" s="184">
        <f t="shared" ref="K494:K507" si="47">K528+K562</f>
        <v>0</v>
      </c>
      <c r="M494" s="42">
        <f t="shared" ref="M494:M500" si="48">-(I494*D494)/100</f>
        <v>0</v>
      </c>
      <c r="R494" s="3" t="s">
        <v>180</v>
      </c>
      <c r="S494" s="42">
        <f>SUM(H490:H491)</f>
        <v>34527937</v>
      </c>
      <c r="T494" s="42">
        <f>SUM(K490:K491)</f>
        <v>37785794</v>
      </c>
      <c r="U494" s="49">
        <v>43870359.484416999</v>
      </c>
      <c r="V494" s="101">
        <f>T494/U494</f>
        <v>0.86130577556406229</v>
      </c>
    </row>
    <row r="495" spans="1:25">
      <c r="A495" s="186" t="s">
        <v>226</v>
      </c>
      <c r="B495" s="1"/>
      <c r="C495" s="182">
        <f t="shared" si="45"/>
        <v>36</v>
      </c>
      <c r="D495" s="182">
        <f t="shared" si="45"/>
        <v>36</v>
      </c>
      <c r="E495" s="167">
        <f>E481</f>
        <v>75</v>
      </c>
      <c r="F495" s="227"/>
      <c r="G495" s="184">
        <f t="shared" si="46"/>
        <v>-27</v>
      </c>
      <c r="H495" s="184">
        <f t="shared" si="46"/>
        <v>-27</v>
      </c>
      <c r="I495" s="167">
        <f>I481</f>
        <v>83</v>
      </c>
      <c r="J495" s="156"/>
      <c r="K495" s="184">
        <f t="shared" si="47"/>
        <v>-30</v>
      </c>
      <c r="M495" s="42">
        <f t="shared" si="48"/>
        <v>-29.88</v>
      </c>
      <c r="O495" s="234"/>
      <c r="R495" s="3" t="s">
        <v>210</v>
      </c>
      <c r="S495" s="42">
        <f>SUM(H487:H488)</f>
        <v>9312095</v>
      </c>
      <c r="T495" s="42">
        <f>SUM(K487:K488)</f>
        <v>9593506</v>
      </c>
      <c r="U495" s="49">
        <v>6509411.4532006206</v>
      </c>
      <c r="V495" s="101">
        <f>T495/U495</f>
        <v>1.4737900759496401</v>
      </c>
    </row>
    <row r="496" spans="1:25">
      <c r="A496" s="186" t="s">
        <v>227</v>
      </c>
      <c r="B496" s="1"/>
      <c r="C496" s="182">
        <f t="shared" si="45"/>
        <v>96</v>
      </c>
      <c r="D496" s="182">
        <f t="shared" si="45"/>
        <v>97</v>
      </c>
      <c r="E496" s="167">
        <f>E482</f>
        <v>150</v>
      </c>
      <c r="F496" s="235"/>
      <c r="G496" s="184">
        <f t="shared" si="46"/>
        <v>-144</v>
      </c>
      <c r="H496" s="184">
        <f t="shared" si="46"/>
        <v>-146</v>
      </c>
      <c r="I496" s="167">
        <f>I482</f>
        <v>166</v>
      </c>
      <c r="J496" s="236"/>
      <c r="K496" s="184">
        <f t="shared" si="47"/>
        <v>-161</v>
      </c>
      <c r="M496" s="42">
        <f t="shared" si="48"/>
        <v>-161.02000000000001</v>
      </c>
      <c r="O496" s="234"/>
    </row>
    <row r="497" spans="1:16">
      <c r="A497" s="186" t="s">
        <v>226</v>
      </c>
      <c r="B497" s="1"/>
      <c r="C497" s="182">
        <f t="shared" si="45"/>
        <v>5797</v>
      </c>
      <c r="D497" s="182">
        <f t="shared" si="45"/>
        <v>5851</v>
      </c>
      <c r="E497" s="167">
        <f>E484</f>
        <v>1.38</v>
      </c>
      <c r="F497" s="227"/>
      <c r="G497" s="184">
        <f t="shared" si="46"/>
        <v>-80</v>
      </c>
      <c r="H497" s="184">
        <f t="shared" si="46"/>
        <v>-81</v>
      </c>
      <c r="I497" s="167">
        <f>I484</f>
        <v>1.47</v>
      </c>
      <c r="J497" s="156"/>
      <c r="K497" s="184">
        <f t="shared" si="47"/>
        <v>-86</v>
      </c>
      <c r="M497" s="42">
        <f t="shared" si="48"/>
        <v>-86.009699999999995</v>
      </c>
    </row>
    <row r="498" spans="1:16">
      <c r="A498" s="186" t="s">
        <v>227</v>
      </c>
      <c r="B498" s="1"/>
      <c r="C498" s="182">
        <f t="shared" si="45"/>
        <v>55144</v>
      </c>
      <c r="D498" s="182">
        <f t="shared" si="45"/>
        <v>55664</v>
      </c>
      <c r="E498" s="167">
        <f>E485</f>
        <v>1.1299999999999999</v>
      </c>
      <c r="F498" s="227" t="s">
        <v>13</v>
      </c>
      <c r="G498" s="184">
        <f t="shared" si="46"/>
        <v>-623</v>
      </c>
      <c r="H498" s="184">
        <f t="shared" si="46"/>
        <v>-629</v>
      </c>
      <c r="I498" s="167">
        <f>I485</f>
        <v>1.2</v>
      </c>
      <c r="J498" s="156"/>
      <c r="K498" s="184">
        <f t="shared" si="47"/>
        <v>-668</v>
      </c>
      <c r="M498" s="42">
        <f t="shared" si="48"/>
        <v>-667.96800000000007</v>
      </c>
    </row>
    <row r="499" spans="1:16">
      <c r="A499" s="172" t="s">
        <v>229</v>
      </c>
      <c r="B499" s="1"/>
      <c r="C499" s="182">
        <f t="shared" si="45"/>
        <v>50196</v>
      </c>
      <c r="D499" s="182">
        <f t="shared" si="45"/>
        <v>50667</v>
      </c>
      <c r="E499" s="167">
        <f>E487</f>
        <v>3.64</v>
      </c>
      <c r="F499" s="227" t="s">
        <v>13</v>
      </c>
      <c r="G499" s="184">
        <f t="shared" si="46"/>
        <v>-1827</v>
      </c>
      <c r="H499" s="184">
        <f t="shared" si="46"/>
        <v>-1845</v>
      </c>
      <c r="I499" s="167">
        <f>I487</f>
        <v>3.75</v>
      </c>
      <c r="J499" s="156"/>
      <c r="K499" s="184">
        <f t="shared" si="47"/>
        <v>-1900</v>
      </c>
      <c r="M499" s="42">
        <f t="shared" si="48"/>
        <v>-1900.0125</v>
      </c>
    </row>
    <row r="500" spans="1:16">
      <c r="A500" s="172" t="s">
        <v>245</v>
      </c>
      <c r="B500" s="1"/>
      <c r="C500" s="182">
        <f t="shared" si="45"/>
        <v>0</v>
      </c>
      <c r="D500" s="182">
        <f t="shared" si="45"/>
        <v>0</v>
      </c>
      <c r="E500" s="167">
        <f>E488</f>
        <v>3.64</v>
      </c>
      <c r="F500" s="227" t="s">
        <v>13</v>
      </c>
      <c r="G500" s="184">
        <f t="shared" si="46"/>
        <v>0</v>
      </c>
      <c r="H500" s="184">
        <f t="shared" si="46"/>
        <v>0</v>
      </c>
      <c r="I500" s="167">
        <f>I488</f>
        <v>3.75</v>
      </c>
      <c r="J500" s="156"/>
      <c r="K500" s="184">
        <f t="shared" si="47"/>
        <v>0</v>
      </c>
      <c r="M500" s="42">
        <f t="shared" si="48"/>
        <v>0</v>
      </c>
    </row>
    <row r="501" spans="1:16">
      <c r="A501" s="186" t="s">
        <v>231</v>
      </c>
      <c r="B501" s="1"/>
      <c r="C501" s="182">
        <f t="shared" si="45"/>
        <v>5098267</v>
      </c>
      <c r="D501" s="182">
        <f t="shared" si="45"/>
        <v>5145947</v>
      </c>
      <c r="E501" s="237">
        <f>E490</f>
        <v>3.9809999999999999</v>
      </c>
      <c r="F501" s="184" t="s">
        <v>178</v>
      </c>
      <c r="G501" s="184">
        <f t="shared" si="46"/>
        <v>-2030</v>
      </c>
      <c r="H501" s="184">
        <f t="shared" si="46"/>
        <v>-2049</v>
      </c>
      <c r="I501" s="237">
        <f>I490</f>
        <v>4.3570000000000002</v>
      </c>
      <c r="J501" s="186" t="s">
        <v>178</v>
      </c>
      <c r="K501" s="184">
        <f t="shared" si="47"/>
        <v>-2242</v>
      </c>
      <c r="M501" s="42">
        <f>-((I501*D501)/100)/100</f>
        <v>-2242.0891078999998</v>
      </c>
    </row>
    <row r="502" spans="1:16">
      <c r="A502" s="186" t="s">
        <v>203</v>
      </c>
      <c r="B502" s="1"/>
      <c r="C502" s="182">
        <f t="shared" si="45"/>
        <v>15873073</v>
      </c>
      <c r="D502" s="182">
        <f t="shared" si="45"/>
        <v>16019655</v>
      </c>
      <c r="E502" s="237">
        <f>E491</f>
        <v>3.649</v>
      </c>
      <c r="F502" s="184" t="s">
        <v>178</v>
      </c>
      <c r="G502" s="184">
        <f t="shared" si="46"/>
        <v>-5792</v>
      </c>
      <c r="H502" s="184">
        <f t="shared" si="46"/>
        <v>-5845</v>
      </c>
      <c r="I502" s="237">
        <f>I491</f>
        <v>3.9930000000000003</v>
      </c>
      <c r="J502" s="186" t="s">
        <v>178</v>
      </c>
      <c r="K502" s="184">
        <f t="shared" si="47"/>
        <v>-6396</v>
      </c>
      <c r="M502" s="42">
        <f>-((I502*D502)/100)/100</f>
        <v>-6396.6482415000009</v>
      </c>
    </row>
    <row r="503" spans="1:16">
      <c r="A503" s="186" t="s">
        <v>204</v>
      </c>
      <c r="B503" s="1"/>
      <c r="C503" s="182">
        <f t="shared" si="45"/>
        <v>9247</v>
      </c>
      <c r="D503" s="182">
        <f t="shared" si="45"/>
        <v>9336</v>
      </c>
      <c r="E503" s="238">
        <f>E492</f>
        <v>45</v>
      </c>
      <c r="F503" s="184" t="s">
        <v>178</v>
      </c>
      <c r="G503" s="184">
        <f t="shared" si="46"/>
        <v>-42</v>
      </c>
      <c r="H503" s="184">
        <f t="shared" si="46"/>
        <v>-42</v>
      </c>
      <c r="I503" s="238">
        <f>I492</f>
        <v>45</v>
      </c>
      <c r="J503" s="186" t="s">
        <v>178</v>
      </c>
      <c r="K503" s="184">
        <f t="shared" si="47"/>
        <v>-42</v>
      </c>
      <c r="M503" s="42">
        <f>-((I503*D503)/100)/100</f>
        <v>-42.012</v>
      </c>
    </row>
    <row r="504" spans="1:16">
      <c r="A504" s="186" t="s">
        <v>247</v>
      </c>
      <c r="B504" s="1"/>
      <c r="C504" s="182">
        <f t="shared" si="45"/>
        <v>132</v>
      </c>
      <c r="D504" s="182">
        <f t="shared" si="45"/>
        <v>132</v>
      </c>
      <c r="E504" s="161">
        <v>60</v>
      </c>
      <c r="F504" s="227" t="s">
        <v>13</v>
      </c>
      <c r="G504" s="184">
        <f t="shared" si="46"/>
        <v>7920</v>
      </c>
      <c r="H504" s="184">
        <f t="shared" si="46"/>
        <v>7920</v>
      </c>
      <c r="I504" s="161">
        <v>60</v>
      </c>
      <c r="J504" s="1"/>
      <c r="K504" s="184">
        <f t="shared" si="47"/>
        <v>7920</v>
      </c>
      <c r="M504" s="42">
        <f>I504*D504</f>
        <v>7920</v>
      </c>
      <c r="O504" s="239"/>
    </row>
    <row r="505" spans="1:16">
      <c r="A505" s="186" t="s">
        <v>248</v>
      </c>
      <c r="B505" s="1"/>
      <c r="C505" s="182">
        <f t="shared" si="45"/>
        <v>60941</v>
      </c>
      <c r="D505" s="182">
        <f t="shared" si="45"/>
        <v>61515</v>
      </c>
      <c r="E505" s="202">
        <v>-30</v>
      </c>
      <c r="F505" s="184" t="s">
        <v>178</v>
      </c>
      <c r="G505" s="184">
        <f t="shared" si="46"/>
        <v>-18282</v>
      </c>
      <c r="H505" s="184">
        <f t="shared" si="46"/>
        <v>-18455</v>
      </c>
      <c r="I505" s="202">
        <v>-30</v>
      </c>
      <c r="J505" s="184" t="s">
        <v>178</v>
      </c>
      <c r="K505" s="184">
        <f t="shared" si="47"/>
        <v>-18455</v>
      </c>
      <c r="M505" s="42">
        <f>(I505/100)*D505</f>
        <v>-18454.5</v>
      </c>
      <c r="O505" s="157"/>
    </row>
    <row r="506" spans="1:16">
      <c r="A506" s="1" t="s">
        <v>185</v>
      </c>
      <c r="B506" s="29"/>
      <c r="C506" s="182">
        <f t="shared" si="45"/>
        <v>901118201</v>
      </c>
      <c r="D506" s="182">
        <f t="shared" si="45"/>
        <v>909584708.38655555</v>
      </c>
      <c r="E506" s="193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42">
        <f>SUM(M480:M505)</f>
        <v>53400198.906650588</v>
      </c>
      <c r="P506" s="240"/>
    </row>
    <row r="507" spans="1:16">
      <c r="A507" s="1" t="s">
        <v>167</v>
      </c>
      <c r="B507" s="15"/>
      <c r="C507" s="203">
        <f t="shared" si="45"/>
        <v>73314.063672312535</v>
      </c>
      <c r="D507" s="203">
        <f t="shared" si="45"/>
        <v>0</v>
      </c>
      <c r="E507" s="172"/>
      <c r="F507" s="172"/>
      <c r="G507" s="173">
        <f t="shared" si="46"/>
        <v>-2406.1600057471078</v>
      </c>
      <c r="H507" s="173">
        <f t="shared" si="46"/>
        <v>0</v>
      </c>
      <c r="I507" s="172"/>
      <c r="J507" s="172"/>
      <c r="K507" s="173">
        <f t="shared" si="47"/>
        <v>0</v>
      </c>
      <c r="M507" s="152"/>
      <c r="N507" s="152"/>
      <c r="O507" s="153"/>
    </row>
    <row r="508" spans="1:16" ht="16.5" thickBot="1">
      <c r="A508" s="1" t="s">
        <v>186</v>
      </c>
      <c r="B508" s="1"/>
      <c r="C508" s="229">
        <f>SUM(C506)+C507</f>
        <v>901191515.0636723</v>
      </c>
      <c r="D508" s="229">
        <f>SUM(D490:D491)+D507</f>
        <v>909584708</v>
      </c>
      <c r="E508" s="205"/>
      <c r="F508" s="206"/>
      <c r="G508" s="207">
        <f>G506+G507</f>
        <v>49005267.839994252</v>
      </c>
      <c r="H508" s="207">
        <f>H506+H507</f>
        <v>49463953</v>
      </c>
      <c r="I508" s="205"/>
      <c r="J508" s="208"/>
      <c r="K508" s="207">
        <f>K506+K507</f>
        <v>53400200</v>
      </c>
      <c r="M508" s="154"/>
      <c r="N508" s="3" t="s">
        <v>213</v>
      </c>
      <c r="O508" s="42" t="e">
        <f>#REF!*1000</f>
        <v>#REF!</v>
      </c>
    </row>
    <row r="509" spans="1:16" ht="16.5" thickTop="1">
      <c r="A509" s="1"/>
      <c r="B509" s="1"/>
      <c r="C509" s="12"/>
      <c r="D509" s="12"/>
      <c r="E509" s="200"/>
      <c r="F509" s="2"/>
      <c r="G509" s="2"/>
      <c r="H509" s="2"/>
      <c r="I509" s="216" t="s">
        <v>13</v>
      </c>
      <c r="J509" s="1"/>
      <c r="K509" s="2" t="s">
        <v>13</v>
      </c>
      <c r="N509" s="3" t="s">
        <v>114</v>
      </c>
      <c r="O509" s="42" t="e">
        <f>O508-K508</f>
        <v>#REF!</v>
      </c>
      <c r="P509" s="139" t="e">
        <f>(O508-K508)/K508</f>
        <v>#REF!</v>
      </c>
    </row>
    <row r="510" spans="1:16">
      <c r="A510" s="156" t="s">
        <v>240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</row>
    <row r="511" spans="1:16">
      <c r="A511" s="172" t="s">
        <v>249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42"/>
      <c r="O511" s="139" t="e">
        <f>O509/(K490+K491)</f>
        <v>#REF!</v>
      </c>
    </row>
    <row r="512" spans="1:16">
      <c r="A512" s="186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42">
        <f>K508-H508</f>
        <v>3936247</v>
      </c>
      <c r="N512" s="157"/>
    </row>
    <row r="513" spans="1:11">
      <c r="A513" s="186" t="s">
        <v>197</v>
      </c>
      <c r="B513" s="1"/>
      <c r="C513" s="182"/>
      <c r="D513" s="182"/>
      <c r="E513" s="2"/>
      <c r="F513" s="2"/>
      <c r="G513" s="1"/>
      <c r="H513" s="1"/>
      <c r="I513" s="2"/>
      <c r="J513" s="1"/>
      <c r="K513" s="1"/>
    </row>
    <row r="514" spans="1:11">
      <c r="A514" s="186" t="s">
        <v>225</v>
      </c>
      <c r="B514" s="1"/>
      <c r="C514" s="182">
        <f>39+239</f>
        <v>278</v>
      </c>
      <c r="D514" s="182">
        <v>281</v>
      </c>
      <c r="E514" s="161">
        <v>205</v>
      </c>
      <c r="F514" s="186"/>
      <c r="G514" s="184">
        <f>ROUND(E514*$C514,0)</f>
        <v>56990</v>
      </c>
      <c r="H514" s="184">
        <f>ROUND(E514*$D514,0)</f>
        <v>57605</v>
      </c>
      <c r="I514" s="161">
        <f>$I$480</f>
        <v>225</v>
      </c>
      <c r="J514" s="186"/>
      <c r="K514" s="184">
        <f>ROUND(I514*$D514,0)</f>
        <v>63225</v>
      </c>
    </row>
    <row r="515" spans="1:11">
      <c r="A515" s="186" t="s">
        <v>226</v>
      </c>
      <c r="B515" s="1"/>
      <c r="C515" s="182">
        <f>922+24+6772</f>
        <v>7718</v>
      </c>
      <c r="D515" s="182">
        <v>7812</v>
      </c>
      <c r="E515" s="161">
        <v>75</v>
      </c>
      <c r="F515" s="186"/>
      <c r="G515" s="184">
        <f>ROUND(E515*$C515,0)</f>
        <v>578850</v>
      </c>
      <c r="H515" s="184">
        <f>ROUND(E515*$D515,0)</f>
        <v>585900</v>
      </c>
      <c r="I515" s="161">
        <f>$I$481</f>
        <v>83</v>
      </c>
      <c r="J515" s="186"/>
      <c r="K515" s="184">
        <f>ROUND(I515*$D515,0)</f>
        <v>648396</v>
      </c>
    </row>
    <row r="516" spans="1:11">
      <c r="A516" s="186" t="s">
        <v>227</v>
      </c>
      <c r="B516" s="1"/>
      <c r="C516" s="182">
        <f>216+84+2519</f>
        <v>2819</v>
      </c>
      <c r="D516" s="182">
        <v>2853</v>
      </c>
      <c r="E516" s="161">
        <v>150</v>
      </c>
      <c r="F516" s="188"/>
      <c r="G516" s="184">
        <f>ROUND(E516*$C516,0)</f>
        <v>422850</v>
      </c>
      <c r="H516" s="184">
        <f>ROUND(E516*$D516,0)</f>
        <v>427950</v>
      </c>
      <c r="I516" s="161">
        <f>$I$482</f>
        <v>166</v>
      </c>
      <c r="J516" s="188"/>
      <c r="K516" s="184">
        <f>ROUND(I516*$D516,0)</f>
        <v>473598</v>
      </c>
    </row>
    <row r="517" spans="1:11">
      <c r="A517" s="186" t="s">
        <v>198</v>
      </c>
      <c r="B517" s="1"/>
      <c r="C517" s="182">
        <f>SUM(C514:C516)</f>
        <v>10815</v>
      </c>
      <c r="D517" s="182">
        <f>SUM(D514:D516)</f>
        <v>10946</v>
      </c>
      <c r="E517" s="161"/>
      <c r="F517" s="186"/>
      <c r="G517" s="184"/>
      <c r="H517" s="184"/>
      <c r="I517" s="161"/>
      <c r="J517" s="186"/>
      <c r="K517" s="184"/>
    </row>
    <row r="518" spans="1:11">
      <c r="A518" s="186" t="s">
        <v>226</v>
      </c>
      <c r="B518" s="1"/>
      <c r="C518" s="182">
        <f>169076+4310+1159051</f>
        <v>1332437</v>
      </c>
      <c r="D518" s="182">
        <f>ROUND(($D$540/'Blocking - detail'!$C$540)*C518,0)</f>
        <v>1345310</v>
      </c>
      <c r="E518" s="161">
        <v>1.38</v>
      </c>
      <c r="F518" s="186" t="s">
        <v>13</v>
      </c>
      <c r="G518" s="184">
        <f>ROUND(E518*$C518,0)</f>
        <v>1838763</v>
      </c>
      <c r="H518" s="184">
        <f>ROUND(E518*$D518,0)</f>
        <v>1856528</v>
      </c>
      <c r="I518" s="161">
        <f>$I$484</f>
        <v>1.47</v>
      </c>
      <c r="J518" s="186" t="s">
        <v>13</v>
      </c>
      <c r="K518" s="184">
        <f>ROUND(I518*$D518,0)</f>
        <v>1977606</v>
      </c>
    </row>
    <row r="519" spans="1:11">
      <c r="A519" s="186" t="s">
        <v>227</v>
      </c>
      <c r="B519" s="1"/>
      <c r="C519" s="182">
        <f>116000+47327+1204260</f>
        <v>1367587</v>
      </c>
      <c r="D519" s="182">
        <f>ROUND(($D$540/'Blocking - detail'!$C$540)*C519,0)</f>
        <v>1380800</v>
      </c>
      <c r="E519" s="161">
        <v>1.1299999999999999</v>
      </c>
      <c r="F519" s="186" t="s">
        <v>13</v>
      </c>
      <c r="G519" s="184">
        <f>ROUND(E519*$C519,0)</f>
        <v>1545373</v>
      </c>
      <c r="H519" s="184">
        <f>ROUND(E519*$D519,0)</f>
        <v>1560304</v>
      </c>
      <c r="I519" s="161">
        <f>$I$485</f>
        <v>1.2</v>
      </c>
      <c r="J519" s="186" t="s">
        <v>13</v>
      </c>
      <c r="K519" s="184">
        <f>ROUND(I519*$D519,0)</f>
        <v>1656960</v>
      </c>
    </row>
    <row r="520" spans="1:11">
      <c r="A520" s="172" t="s">
        <v>228</v>
      </c>
      <c r="B520" s="1"/>
      <c r="C520" s="182"/>
      <c r="D520" s="182"/>
      <c r="E520" s="218"/>
      <c r="F520" s="186"/>
      <c r="G520" s="184"/>
      <c r="H520" s="184"/>
      <c r="I520" s="218"/>
      <c r="J520" s="186"/>
      <c r="K520" s="184"/>
    </row>
    <row r="521" spans="1:11">
      <c r="A521" s="172" t="s">
        <v>229</v>
      </c>
      <c r="B521" s="1"/>
      <c r="C521" s="182">
        <f>2149+118464+82513+3301+38481+13812+879543+921273</f>
        <v>2059536</v>
      </c>
      <c r="D521" s="182">
        <f>ROUND(($D$540/'Blocking - detail'!$C$540)*C521,0)</f>
        <v>2079434</v>
      </c>
      <c r="E521" s="161">
        <v>3.64</v>
      </c>
      <c r="F521" s="186"/>
      <c r="G521" s="184">
        <f>ROUND(E521*$C521,0)</f>
        <v>7496711</v>
      </c>
      <c r="H521" s="184">
        <f>ROUND(E521*$D521,0)</f>
        <v>7569140</v>
      </c>
      <c r="I521" s="161">
        <f>$I$487</f>
        <v>3.75</v>
      </c>
      <c r="J521" s="186"/>
      <c r="K521" s="184">
        <f>ROUND(I521*$D521,0)</f>
        <v>7797878</v>
      </c>
    </row>
    <row r="522" spans="1:11">
      <c r="A522" s="172" t="s">
        <v>245</v>
      </c>
      <c r="B522" s="1"/>
      <c r="C522" s="182">
        <f>574+3763+211+1674+12455+2040</f>
        <v>20717</v>
      </c>
      <c r="D522" s="182">
        <f>ROUND(($D$540/'Blocking - detail'!$C$540)*C522,0)</f>
        <v>20917</v>
      </c>
      <c r="E522" s="232">
        <f>E521</f>
        <v>3.64</v>
      </c>
      <c r="F522" s="186"/>
      <c r="G522" s="184">
        <f>ROUND(E522*$C522,0)</f>
        <v>75410</v>
      </c>
      <c r="H522" s="184">
        <f>ROUND(E522*$D522,0)</f>
        <v>76138</v>
      </c>
      <c r="I522" s="232">
        <f>I521</f>
        <v>3.75</v>
      </c>
      <c r="J522" s="186"/>
      <c r="K522" s="184">
        <f>ROUND(I522*$D522,0)</f>
        <v>78439</v>
      </c>
    </row>
    <row r="523" spans="1:11">
      <c r="A523" s="186" t="s">
        <v>230</v>
      </c>
      <c r="B523" s="1"/>
      <c r="C523" s="182"/>
      <c r="D523" s="182"/>
      <c r="E523" s="161"/>
      <c r="F523" s="186"/>
      <c r="G523" s="184"/>
      <c r="H523" s="184"/>
      <c r="I523" s="161"/>
      <c r="J523" s="186"/>
      <c r="K523" s="184"/>
    </row>
    <row r="524" spans="1:11">
      <c r="A524" s="186" t="s">
        <v>231</v>
      </c>
      <c r="B524" s="182"/>
      <c r="C524" s="182">
        <v>343844159.45859212</v>
      </c>
      <c r="D524" s="182">
        <f>ROUND(($D$540/'Blocking - detail'!$C$540)*C524,0)</f>
        <v>347166190</v>
      </c>
      <c r="E524" s="233">
        <v>3.9809999999999999</v>
      </c>
      <c r="F524" s="186" t="s">
        <v>178</v>
      </c>
      <c r="G524" s="184">
        <f>ROUND(E524*$C524/100,0)</f>
        <v>13688436</v>
      </c>
      <c r="H524" s="184">
        <f>ROUND(E524*$D524/100,0)</f>
        <v>13820686</v>
      </c>
      <c r="I524" s="233">
        <f>$I$490</f>
        <v>4.3570000000000002</v>
      </c>
      <c r="J524" s="186" t="s">
        <v>178</v>
      </c>
      <c r="K524" s="184">
        <f>ROUND(I524*$D524/100,0)</f>
        <v>15126031</v>
      </c>
    </row>
    <row r="525" spans="1:11">
      <c r="A525" s="186" t="s">
        <v>203</v>
      </c>
      <c r="B525" s="182"/>
      <c r="C525" s="182">
        <v>411657922.54140788</v>
      </c>
      <c r="D525" s="182">
        <f>ROUND(($D$540/'Blocking - detail'!$C$540)*C525,0)</f>
        <v>415635131</v>
      </c>
      <c r="E525" s="233">
        <v>3.649</v>
      </c>
      <c r="F525" s="186" t="s">
        <v>178</v>
      </c>
      <c r="G525" s="184">
        <f>ROUND(E525*$C525/100,0)</f>
        <v>15021398</v>
      </c>
      <c r="H525" s="184">
        <f>ROUND(E525*$D525/100,0)</f>
        <v>15166526</v>
      </c>
      <c r="I525" s="233">
        <f>$I$491</f>
        <v>3.9930000000000003</v>
      </c>
      <c r="J525" s="186" t="s">
        <v>178</v>
      </c>
      <c r="K525" s="184">
        <f>ROUND(I525*$D525/100,0)</f>
        <v>16596311</v>
      </c>
    </row>
    <row r="526" spans="1:11">
      <c r="A526" s="186" t="s">
        <v>204</v>
      </c>
      <c r="B526" s="1"/>
      <c r="C526" s="182">
        <f>263+27052+20055+42+9205+1343+147244+169944</f>
        <v>375148</v>
      </c>
      <c r="D526" s="182">
        <f>ROUND(($D$540/'Blocking - detail'!$C$540)*C526,0)</f>
        <v>378772</v>
      </c>
      <c r="E526" s="202">
        <v>45</v>
      </c>
      <c r="F526" s="186" t="s">
        <v>178</v>
      </c>
      <c r="G526" s="184">
        <f>ROUND(E526*$C526/100,0)</f>
        <v>168817</v>
      </c>
      <c r="H526" s="184">
        <f>ROUND(E526*$D526/100,0)</f>
        <v>170447</v>
      </c>
      <c r="I526" s="202">
        <f>$I$492</f>
        <v>45</v>
      </c>
      <c r="J526" s="186" t="s">
        <v>178</v>
      </c>
      <c r="K526" s="184">
        <f>ROUND(I526*$D526/100,0)</f>
        <v>170447</v>
      </c>
    </row>
    <row r="527" spans="1:11">
      <c r="A527" s="223" t="s">
        <v>205</v>
      </c>
      <c r="B527" s="1"/>
      <c r="C527" s="182"/>
      <c r="D527" s="182"/>
      <c r="E527" s="195">
        <v>-0.01</v>
      </c>
      <c r="F527" s="2"/>
      <c r="G527" s="184"/>
      <c r="H527" s="184"/>
      <c r="I527" s="195">
        <f>$I$493</f>
        <v>-0.01</v>
      </c>
      <c r="J527" s="1"/>
      <c r="K527" s="184"/>
    </row>
    <row r="528" spans="1:11">
      <c r="A528" s="186" t="s">
        <v>225</v>
      </c>
      <c r="B528" s="12"/>
      <c r="C528" s="182">
        <v>0</v>
      </c>
      <c r="D528" s="182">
        <v>0</v>
      </c>
      <c r="E528" s="167">
        <f>E514</f>
        <v>205</v>
      </c>
      <c r="F528" s="227"/>
      <c r="G528" s="184">
        <f>ROUND(E528*$C528*E527,0)</f>
        <v>0</v>
      </c>
      <c r="H528" s="184">
        <f>ROUND(E528*$D528*E527,0)</f>
        <v>0</v>
      </c>
      <c r="I528" s="167">
        <f>I514</f>
        <v>225</v>
      </c>
      <c r="J528" s="156"/>
      <c r="K528" s="184">
        <f>ROUND(I528*$D528*I527,0)</f>
        <v>0</v>
      </c>
    </row>
    <row r="529" spans="1:16">
      <c r="A529" s="186" t="s">
        <v>226</v>
      </c>
      <c r="B529" s="1"/>
      <c r="C529" s="182">
        <f>24</f>
        <v>24</v>
      </c>
      <c r="D529" s="182">
        <v>24</v>
      </c>
      <c r="E529" s="167">
        <f>E515</f>
        <v>75</v>
      </c>
      <c r="F529" s="227"/>
      <c r="G529" s="184">
        <f>ROUND(E529*$C529*E527,0)</f>
        <v>-18</v>
      </c>
      <c r="H529" s="184">
        <f>ROUND(E529*$D529*E527,0)</f>
        <v>-18</v>
      </c>
      <c r="I529" s="167">
        <f>I515</f>
        <v>83</v>
      </c>
      <c r="J529" s="156"/>
      <c r="K529" s="184">
        <f>ROUND(I529*$D529*I527,0)</f>
        <v>-20</v>
      </c>
    </row>
    <row r="530" spans="1:16">
      <c r="A530" s="186" t="s">
        <v>227</v>
      </c>
      <c r="B530" s="1"/>
      <c r="C530" s="182">
        <f>84</f>
        <v>84</v>
      </c>
      <c r="D530" s="182">
        <v>85</v>
      </c>
      <c r="E530" s="167">
        <f>E516</f>
        <v>150</v>
      </c>
      <c r="F530" s="235"/>
      <c r="G530" s="184">
        <f>ROUND(E530*$C530*E527,0)</f>
        <v>-126</v>
      </c>
      <c r="H530" s="184">
        <f>ROUND(E530*$D530*E527,0)</f>
        <v>-128</v>
      </c>
      <c r="I530" s="167">
        <f>I516</f>
        <v>166</v>
      </c>
      <c r="J530" s="236"/>
      <c r="K530" s="184">
        <f>ROUND(I530*$D530*I527,0)</f>
        <v>-141</v>
      </c>
    </row>
    <row r="531" spans="1:16">
      <c r="A531" s="186" t="s">
        <v>226</v>
      </c>
      <c r="B531" s="1"/>
      <c r="C531" s="182">
        <f>4310</f>
        <v>4310</v>
      </c>
      <c r="D531" s="182">
        <f>ROUND(($D$540/'Blocking - detail'!$C$540)*C531,0)</f>
        <v>4352</v>
      </c>
      <c r="E531" s="167">
        <f>E518</f>
        <v>1.38</v>
      </c>
      <c r="F531" s="227"/>
      <c r="G531" s="184">
        <f>ROUND(E531*$C531*E527,0)</f>
        <v>-59</v>
      </c>
      <c r="H531" s="184">
        <f>ROUND(E531*$D531*E527,0)</f>
        <v>-60</v>
      </c>
      <c r="I531" s="167">
        <f>I518</f>
        <v>1.47</v>
      </c>
      <c r="J531" s="156"/>
      <c r="K531" s="184">
        <f>ROUND(I531*$D531*I527,0)</f>
        <v>-64</v>
      </c>
      <c r="O531" s="239"/>
    </row>
    <row r="532" spans="1:16">
      <c r="A532" s="186" t="s">
        <v>227</v>
      </c>
      <c r="B532" s="1"/>
      <c r="C532" s="182">
        <f>47327</f>
        <v>47327</v>
      </c>
      <c r="D532" s="182">
        <f>ROUND(($D$540/'Blocking - detail'!$C$540)*C532,0)</f>
        <v>47784</v>
      </c>
      <c r="E532" s="167">
        <f>E519</f>
        <v>1.1299999999999999</v>
      </c>
      <c r="F532" s="227" t="s">
        <v>13</v>
      </c>
      <c r="G532" s="184">
        <f>ROUND(E532*$C532*E527,0)</f>
        <v>-535</v>
      </c>
      <c r="H532" s="184">
        <f>ROUND(E532*$D532*E527,0)</f>
        <v>-540</v>
      </c>
      <c r="I532" s="167">
        <f>I519</f>
        <v>1.2</v>
      </c>
      <c r="J532" s="156"/>
      <c r="K532" s="184">
        <f>ROUND(I532*$D532*I527,0)</f>
        <v>-573</v>
      </c>
    </row>
    <row r="533" spans="1:16">
      <c r="A533" s="172" t="s">
        <v>229</v>
      </c>
      <c r="B533" s="1"/>
      <c r="C533" s="182">
        <f>3301+38481</f>
        <v>41782</v>
      </c>
      <c r="D533" s="182">
        <f>ROUND(($D$540/'Blocking - detail'!$C$540)*C533,0)</f>
        <v>42186</v>
      </c>
      <c r="E533" s="167">
        <f>E521</f>
        <v>3.64</v>
      </c>
      <c r="F533" s="227" t="s">
        <v>13</v>
      </c>
      <c r="G533" s="184">
        <f>ROUND(E533*$C533*E527,0)</f>
        <v>-1521</v>
      </c>
      <c r="H533" s="184">
        <f>ROUND(E533*$D533*E527,0)</f>
        <v>-1536</v>
      </c>
      <c r="I533" s="167">
        <f>I521</f>
        <v>3.75</v>
      </c>
      <c r="J533" s="156"/>
      <c r="K533" s="184">
        <f>ROUND(I533*$D533*I527,0)</f>
        <v>-1582</v>
      </c>
    </row>
    <row r="534" spans="1:16">
      <c r="A534" s="172" t="s">
        <v>245</v>
      </c>
      <c r="B534" s="1"/>
      <c r="C534" s="182">
        <v>0</v>
      </c>
      <c r="D534" s="182">
        <f>ROUND(($D$540/'Blocking - detail'!$C$540)*C534,0)</f>
        <v>0</v>
      </c>
      <c r="E534" s="167">
        <f>E522</f>
        <v>3.64</v>
      </c>
      <c r="F534" s="227" t="s">
        <v>13</v>
      </c>
      <c r="G534" s="184">
        <f>ROUND(E534*$C534*E527,0)</f>
        <v>0</v>
      </c>
      <c r="H534" s="184">
        <f>ROUND(E534*$D534*E527,0)</f>
        <v>0</v>
      </c>
      <c r="I534" s="167">
        <f>I522</f>
        <v>3.75</v>
      </c>
      <c r="J534" s="156"/>
      <c r="K534" s="184">
        <f>ROUND(I534*$D534*I527,0)</f>
        <v>0</v>
      </c>
    </row>
    <row r="535" spans="1:16">
      <c r="A535" s="186" t="s">
        <v>231</v>
      </c>
      <c r="B535" s="1"/>
      <c r="C535" s="182">
        <f>914400+3225200</f>
        <v>4139600</v>
      </c>
      <c r="D535" s="182">
        <f>ROUND(($D$540/'Blocking - detail'!$C$540)*C535,0)</f>
        <v>4179595</v>
      </c>
      <c r="E535" s="237">
        <f>E524</f>
        <v>3.9809999999999999</v>
      </c>
      <c r="F535" s="184" t="s">
        <v>178</v>
      </c>
      <c r="G535" s="184">
        <f>ROUND(E535*$C535/100*E527,0)</f>
        <v>-1648</v>
      </c>
      <c r="H535" s="184">
        <f>ROUND(E535*$D535/100*E527,0)</f>
        <v>-1664</v>
      </c>
      <c r="I535" s="237">
        <f>I524</f>
        <v>4.3570000000000002</v>
      </c>
      <c r="J535" s="186" t="s">
        <v>178</v>
      </c>
      <c r="K535" s="184">
        <f>ROUND(I535*$D535/100*I527,0)</f>
        <v>-1821</v>
      </c>
      <c r="M535" s="42"/>
      <c r="N535" s="42"/>
    </row>
    <row r="536" spans="1:16">
      <c r="A536" s="186" t="s">
        <v>203</v>
      </c>
      <c r="B536" s="1"/>
      <c r="C536" s="182">
        <f>1353000+14542340-C535</f>
        <v>11755740</v>
      </c>
      <c r="D536" s="182">
        <f>ROUND(($D$540/'Blocking - detail'!$C$540)*C536,0)</f>
        <v>11869317</v>
      </c>
      <c r="E536" s="237">
        <f>E525</f>
        <v>3.649</v>
      </c>
      <c r="F536" s="184" t="s">
        <v>178</v>
      </c>
      <c r="G536" s="184">
        <f>ROUND(E536*$C536/100*E527,0)</f>
        <v>-4290</v>
      </c>
      <c r="H536" s="184">
        <f>ROUND(E536*$D536/100*E527,0)</f>
        <v>-4331</v>
      </c>
      <c r="I536" s="237">
        <f>I525</f>
        <v>3.9930000000000003</v>
      </c>
      <c r="J536" s="186" t="s">
        <v>178</v>
      </c>
      <c r="K536" s="184">
        <f>ROUND(I536*$D536/100*I527,0)</f>
        <v>-4739</v>
      </c>
    </row>
    <row r="537" spans="1:16">
      <c r="A537" s="186" t="s">
        <v>204</v>
      </c>
      <c r="B537" s="1"/>
      <c r="C537" s="182">
        <f>42+9205</f>
        <v>9247</v>
      </c>
      <c r="D537" s="182">
        <f>ROUND(($D$540/'Blocking - detail'!$C$540)*C537,0)</f>
        <v>9336</v>
      </c>
      <c r="E537" s="238">
        <f>E526</f>
        <v>45</v>
      </c>
      <c r="F537" s="184" t="s">
        <v>178</v>
      </c>
      <c r="G537" s="184">
        <f>ROUND(E537*$C537/100*E527,0)</f>
        <v>-42</v>
      </c>
      <c r="H537" s="184">
        <f>ROUND(E537*$D537/100*E527,0)</f>
        <v>-42</v>
      </c>
      <c r="I537" s="238">
        <f>I526</f>
        <v>45</v>
      </c>
      <c r="J537" s="186" t="s">
        <v>178</v>
      </c>
      <c r="K537" s="184">
        <f>ROUND(I537*$D537/100*I527,0)</f>
        <v>-42</v>
      </c>
    </row>
    <row r="538" spans="1:16">
      <c r="A538" s="186" t="s">
        <v>247</v>
      </c>
      <c r="B538" s="1"/>
      <c r="C538" s="182">
        <f>24+84</f>
        <v>108</v>
      </c>
      <c r="D538" s="182">
        <v>109</v>
      </c>
      <c r="E538" s="161">
        <v>60</v>
      </c>
      <c r="F538" s="227" t="s">
        <v>13</v>
      </c>
      <c r="G538" s="184">
        <f>ROUND(E538*$C538,0)</f>
        <v>6480</v>
      </c>
      <c r="H538" s="184">
        <f>ROUND(E538*$D538,0)</f>
        <v>6540</v>
      </c>
      <c r="I538" s="161">
        <f>$I$504</f>
        <v>60</v>
      </c>
      <c r="J538" s="1"/>
      <c r="K538" s="184">
        <f>ROUND(I538*$D538,0)</f>
        <v>6540</v>
      </c>
      <c r="P538" s="170"/>
    </row>
    <row r="539" spans="1:16">
      <c r="A539" s="186" t="s">
        <v>248</v>
      </c>
      <c r="B539" s="168"/>
      <c r="C539" s="182">
        <f>4310+47327</f>
        <v>51637</v>
      </c>
      <c r="D539" s="182">
        <f>ROUND(($D$540/'Blocking - detail'!$C$540)*C539,0)</f>
        <v>52136</v>
      </c>
      <c r="E539" s="202">
        <v>-30</v>
      </c>
      <c r="F539" s="184" t="s">
        <v>178</v>
      </c>
      <c r="G539" s="184">
        <f>ROUND(E539*$C539/100,0)</f>
        <v>-15491</v>
      </c>
      <c r="H539" s="184">
        <f>ROUND(E539*$D539/100,0)</f>
        <v>-15641</v>
      </c>
      <c r="I539" s="202">
        <v>-30</v>
      </c>
      <c r="J539" s="184" t="s">
        <v>178</v>
      </c>
      <c r="K539" s="184">
        <f>ROUND(I539*$D539/100,0)</f>
        <v>-15641</v>
      </c>
    </row>
    <row r="540" spans="1:16">
      <c r="A540" s="1" t="s">
        <v>185</v>
      </c>
      <c r="B540" s="170"/>
      <c r="C540" s="182">
        <f>SUM(C524:C525)</f>
        <v>755502082</v>
      </c>
      <c r="D540" s="182">
        <v>762801321.03140867</v>
      </c>
      <c r="E540" s="193"/>
      <c r="F540" s="2"/>
      <c r="G540" s="2">
        <f>SUM(G514:G539)</f>
        <v>40876348</v>
      </c>
      <c r="H540" s="2">
        <f>SUM(H514:H539)</f>
        <v>41273804</v>
      </c>
      <c r="I540" s="193"/>
      <c r="J540" s="1"/>
      <c r="K540" s="2">
        <f>SUM(K514:K539)</f>
        <v>44570808</v>
      </c>
    </row>
    <row r="541" spans="1:16">
      <c r="A541" s="1" t="s">
        <v>167</v>
      </c>
      <c r="B541" s="1"/>
      <c r="C541" s="212">
        <v>3340695.5089634694</v>
      </c>
      <c r="D541" s="203">
        <v>0</v>
      </c>
      <c r="E541" s="172"/>
      <c r="F541" s="172"/>
      <c r="G541" s="173">
        <v>152243.87198457948</v>
      </c>
      <c r="H541" s="173">
        <v>0</v>
      </c>
      <c r="I541" s="172"/>
      <c r="J541" s="172"/>
      <c r="K541" s="173">
        <v>0</v>
      </c>
      <c r="M541" s="152"/>
      <c r="N541" s="152"/>
      <c r="O541" s="153"/>
    </row>
    <row r="542" spans="1:16" ht="16.5" thickBot="1">
      <c r="A542" s="1" t="s">
        <v>186</v>
      </c>
      <c r="B542" s="1"/>
      <c r="C542" s="229">
        <f>SUM(C540)+C541</f>
        <v>758842777.50896347</v>
      </c>
      <c r="D542" s="229">
        <f>SUM(D524:D525)+D541</f>
        <v>762801321</v>
      </c>
      <c r="E542" s="205"/>
      <c r="F542" s="206"/>
      <c r="G542" s="207">
        <f>G540+G541</f>
        <v>41028591.871984579</v>
      </c>
      <c r="H542" s="207">
        <f>H540+H541</f>
        <v>41273804</v>
      </c>
      <c r="I542" s="205"/>
      <c r="J542" s="208"/>
      <c r="K542" s="207">
        <f>K540+K541</f>
        <v>44570808</v>
      </c>
      <c r="M542" s="154"/>
      <c r="N542" s="154"/>
      <c r="O542" s="155"/>
    </row>
    <row r="543" spans="1:16" ht="16.5" thickTop="1">
      <c r="A543" s="1"/>
      <c r="B543" s="1"/>
      <c r="C543" s="12"/>
      <c r="D543" s="12"/>
      <c r="E543" s="200"/>
      <c r="F543" s="2"/>
      <c r="G543" s="2"/>
      <c r="H543" s="2"/>
      <c r="I543" s="216" t="s">
        <v>13</v>
      </c>
      <c r="J543" s="1"/>
      <c r="K543" s="2" t="s">
        <v>13</v>
      </c>
    </row>
    <row r="544" spans="1:16">
      <c r="A544" s="156" t="s">
        <v>240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</row>
    <row r="545" spans="1:11">
      <c r="A545" s="172" t="s">
        <v>250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186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186" t="s">
        <v>197</v>
      </c>
      <c r="B547" s="12"/>
      <c r="C547" s="182"/>
      <c r="D547" s="182"/>
      <c r="E547" s="2"/>
      <c r="F547" s="2"/>
      <c r="G547" s="1"/>
      <c r="H547" s="1"/>
      <c r="I547" s="2"/>
      <c r="J547" s="1"/>
      <c r="K547" s="1"/>
    </row>
    <row r="548" spans="1:11">
      <c r="A548" s="186" t="s">
        <v>225</v>
      </c>
      <c r="B548" s="1"/>
      <c r="C548" s="182">
        <f>2+9</f>
        <v>11</v>
      </c>
      <c r="D548" s="182">
        <v>11</v>
      </c>
      <c r="E548" s="161">
        <v>205</v>
      </c>
      <c r="F548" s="186"/>
      <c r="G548" s="184">
        <f>ROUND(E548*$C548,0)</f>
        <v>2255</v>
      </c>
      <c r="H548" s="184">
        <f>ROUND(E548*$D548,0)</f>
        <v>2255</v>
      </c>
      <c r="I548" s="161">
        <f>$I$480</f>
        <v>225</v>
      </c>
      <c r="J548" s="186"/>
      <c r="K548" s="184">
        <f>ROUND(I548*$D548,0)</f>
        <v>2475</v>
      </c>
    </row>
    <row r="549" spans="1:11">
      <c r="A549" s="186" t="s">
        <v>226</v>
      </c>
      <c r="B549" s="1"/>
      <c r="C549" s="182">
        <f>314+12+863</f>
        <v>1189</v>
      </c>
      <c r="D549" s="182">
        <v>1160</v>
      </c>
      <c r="E549" s="161">
        <v>75</v>
      </c>
      <c r="F549" s="186"/>
      <c r="G549" s="184">
        <f>ROUND(E549*$C549,0)</f>
        <v>89175</v>
      </c>
      <c r="H549" s="184">
        <f>ROUND(E549*$D549,0)</f>
        <v>87000</v>
      </c>
      <c r="I549" s="161">
        <f>$I$481</f>
        <v>83</v>
      </c>
      <c r="J549" s="186"/>
      <c r="K549" s="184">
        <f>ROUND(I549*$D549,0)</f>
        <v>96280</v>
      </c>
    </row>
    <row r="550" spans="1:11">
      <c r="A550" s="186" t="s">
        <v>227</v>
      </c>
      <c r="B550" s="1"/>
      <c r="C550" s="182">
        <f>12+12+665</f>
        <v>689</v>
      </c>
      <c r="D550" s="182">
        <v>672</v>
      </c>
      <c r="E550" s="161">
        <v>150</v>
      </c>
      <c r="F550" s="188"/>
      <c r="G550" s="184">
        <f>ROUND(E550*$C550,0)</f>
        <v>103350</v>
      </c>
      <c r="H550" s="184">
        <f>ROUND(E550*$D550,0)</f>
        <v>100800</v>
      </c>
      <c r="I550" s="161">
        <f>$I$482</f>
        <v>166</v>
      </c>
      <c r="J550" s="188"/>
      <c r="K550" s="184">
        <f>ROUND(I550*$D550,0)</f>
        <v>111552</v>
      </c>
    </row>
    <row r="551" spans="1:11">
      <c r="A551" s="186" t="s">
        <v>198</v>
      </c>
      <c r="B551" s="1"/>
      <c r="C551" s="182">
        <f>SUM(C548:C550)</f>
        <v>1889</v>
      </c>
      <c r="D551" s="182">
        <f>SUM(D548:D550)</f>
        <v>1843</v>
      </c>
      <c r="E551" s="161"/>
      <c r="F551" s="186"/>
      <c r="G551" s="184"/>
      <c r="H551" s="184"/>
      <c r="I551" s="161"/>
      <c r="J551" s="186"/>
      <c r="K551" s="184"/>
    </row>
    <row r="552" spans="1:11">
      <c r="A552" s="186" t="s">
        <v>226</v>
      </c>
      <c r="B552" s="1"/>
      <c r="C552" s="182">
        <f>53027+1380+148527</f>
        <v>202934</v>
      </c>
      <c r="D552" s="182">
        <f>ROUND(($D$574/'Blocking - detail'!$C$574)*C552,0)</f>
        <v>204561</v>
      </c>
      <c r="E552" s="161">
        <v>1.38</v>
      </c>
      <c r="F552" s="186" t="s">
        <v>13</v>
      </c>
      <c r="G552" s="184">
        <f>ROUND(E552*$C552,0)</f>
        <v>280049</v>
      </c>
      <c r="H552" s="184">
        <f>ROUND(E552*$D552,0)</f>
        <v>282294</v>
      </c>
      <c r="I552" s="161">
        <f>$I$484</f>
        <v>1.47</v>
      </c>
      <c r="J552" s="186" t="s">
        <v>13</v>
      </c>
      <c r="K552" s="184">
        <f>ROUND(I552*$D552,0)</f>
        <v>300705</v>
      </c>
    </row>
    <row r="553" spans="1:11">
      <c r="A553" s="186" t="s">
        <v>227</v>
      </c>
      <c r="B553" s="1"/>
      <c r="C553" s="182">
        <f>3665+7817+380790</f>
        <v>392272</v>
      </c>
      <c r="D553" s="182">
        <f>ROUND(($D$574/'Blocking - detail'!$C$574)*C553,0)</f>
        <v>395416</v>
      </c>
      <c r="E553" s="161">
        <v>1.1299999999999999</v>
      </c>
      <c r="F553" s="186" t="s">
        <v>13</v>
      </c>
      <c r="G553" s="184">
        <f>ROUND(E553*$C553,0)</f>
        <v>443267</v>
      </c>
      <c r="H553" s="184">
        <f>ROUND(E553*$D553,0)</f>
        <v>446820</v>
      </c>
      <c r="I553" s="161">
        <f>$I$485</f>
        <v>1.2</v>
      </c>
      <c r="J553" s="186" t="s">
        <v>13</v>
      </c>
      <c r="K553" s="184">
        <f>ROUND(I553*$D553,0)</f>
        <v>474499</v>
      </c>
    </row>
    <row r="554" spans="1:11">
      <c r="A554" s="172" t="s">
        <v>228</v>
      </c>
      <c r="B554" s="1"/>
      <c r="C554" s="182"/>
      <c r="D554" s="182"/>
      <c r="E554" s="218"/>
      <c r="F554" s="186"/>
      <c r="G554" s="184"/>
      <c r="H554" s="184"/>
      <c r="I554" s="218"/>
      <c r="J554" s="186"/>
      <c r="K554" s="184"/>
    </row>
    <row r="555" spans="1:11">
      <c r="A555" s="172" t="s">
        <v>229</v>
      </c>
      <c r="B555" s="1"/>
      <c r="C555" s="182">
        <f>31+16993+1024+1380+6927+349+121488+297368</f>
        <v>445560</v>
      </c>
      <c r="D555" s="182">
        <f>ROUND(($D$574/'Blocking - detail'!$C$574)*C555,0)</f>
        <v>449132</v>
      </c>
      <c r="E555" s="161">
        <v>3.64</v>
      </c>
      <c r="F555" s="186"/>
      <c r="G555" s="184">
        <f>ROUND(E555*$C555,0)</f>
        <v>1621838</v>
      </c>
      <c r="H555" s="184">
        <f>ROUND(E555*$D555,0)</f>
        <v>1634840</v>
      </c>
      <c r="I555" s="161">
        <f>$I$487</f>
        <v>3.75</v>
      </c>
      <c r="J555" s="186"/>
      <c r="K555" s="184">
        <f>ROUND(I555*$D555,0)</f>
        <v>1684245</v>
      </c>
    </row>
    <row r="556" spans="1:11">
      <c r="A556" s="172" t="s">
        <v>245</v>
      </c>
      <c r="B556" s="1"/>
      <c r="C556" s="182">
        <f>69+6778+239+102+1209+318</f>
        <v>8715</v>
      </c>
      <c r="D556" s="182">
        <f>ROUND(($D$574/'Blocking - detail'!$C$574)*C556,0)</f>
        <v>8785</v>
      </c>
      <c r="E556" s="232">
        <f>E555</f>
        <v>3.64</v>
      </c>
      <c r="F556" s="186"/>
      <c r="G556" s="184">
        <f>ROUND(E556*$C556,0)</f>
        <v>31723</v>
      </c>
      <c r="H556" s="184">
        <f>ROUND(E556*$D556,0)</f>
        <v>31977</v>
      </c>
      <c r="I556" s="232">
        <f>I555</f>
        <v>3.75</v>
      </c>
      <c r="J556" s="186"/>
      <c r="K556" s="184">
        <f>ROUND(I556*$D556,0)</f>
        <v>32944</v>
      </c>
    </row>
    <row r="557" spans="1:11">
      <c r="A557" s="186" t="s">
        <v>230</v>
      </c>
      <c r="B557" s="1"/>
      <c r="C557" s="182"/>
      <c r="D557" s="182"/>
      <c r="E557" s="161"/>
      <c r="F557" s="186"/>
      <c r="G557" s="184"/>
      <c r="H557" s="184"/>
      <c r="I557" s="161"/>
      <c r="J557" s="186"/>
      <c r="K557" s="184"/>
    </row>
    <row r="558" spans="1:11">
      <c r="A558" s="186" t="s">
        <v>231</v>
      </c>
      <c r="B558" s="1"/>
      <c r="C558" s="182">
        <f>10240+2853225+81440+478667+480000+55800+25725353+25475253</f>
        <v>55159978</v>
      </c>
      <c r="D558" s="182">
        <f>ROUND(($D$574/'Blocking - detail'!$C$574)*C558,0)</f>
        <v>55602144</v>
      </c>
      <c r="E558" s="233">
        <v>3.9809999999999999</v>
      </c>
      <c r="F558" s="186" t="s">
        <v>178</v>
      </c>
      <c r="G558" s="184">
        <f>ROUND(E558*$C558/100,0)</f>
        <v>2195919</v>
      </c>
      <c r="H558" s="184">
        <f>ROUND(E558*$D558/100,0)</f>
        <v>2213521</v>
      </c>
      <c r="I558" s="233">
        <f>$I$490</f>
        <v>4.3570000000000002</v>
      </c>
      <c r="J558" s="186" t="s">
        <v>178</v>
      </c>
      <c r="K558" s="184">
        <f>ROUND(I558*$D558/100,0)</f>
        <v>2422585</v>
      </c>
    </row>
    <row r="559" spans="1:11">
      <c r="A559" s="186" t="s">
        <v>203</v>
      </c>
      <c r="B559" s="1"/>
      <c r="C559" s="182">
        <f>10240+3545465+133120+979200+4096800+55800+34983239+101812255-C558</f>
        <v>90456141</v>
      </c>
      <c r="D559" s="182">
        <f>ROUND(($D$574/'Blocking - detail'!$C$574)*C559,0)</f>
        <v>91181243</v>
      </c>
      <c r="E559" s="233">
        <v>3.649</v>
      </c>
      <c r="F559" s="186" t="s">
        <v>178</v>
      </c>
      <c r="G559" s="184">
        <f>ROUND(E559*$C559/100,0)</f>
        <v>3300745</v>
      </c>
      <c r="H559" s="184">
        <f>ROUND(E559*$D559/100,0)</f>
        <v>3327204</v>
      </c>
      <c r="I559" s="233">
        <f>$I$491</f>
        <v>3.9930000000000003</v>
      </c>
      <c r="J559" s="186" t="s">
        <v>178</v>
      </c>
      <c r="K559" s="184">
        <f>ROUND(I559*$D559/100,0)</f>
        <v>3640867</v>
      </c>
    </row>
    <row r="560" spans="1:11">
      <c r="A560" s="186" t="s">
        <v>204</v>
      </c>
      <c r="B560" s="1"/>
      <c r="C560" s="182">
        <f>14+5104+263+1145+2693+4+38848+100112</f>
        <v>148183</v>
      </c>
      <c r="D560" s="182">
        <f>ROUND(($D$574/'Blocking - detail'!$C$574)*C560,0)</f>
        <v>149371</v>
      </c>
      <c r="E560" s="202">
        <v>45</v>
      </c>
      <c r="F560" s="186" t="s">
        <v>178</v>
      </c>
      <c r="G560" s="184">
        <f>ROUND(E560*$C560/100,0)</f>
        <v>66682</v>
      </c>
      <c r="H560" s="184">
        <f>ROUND(E560*$D560/100,0)</f>
        <v>67217</v>
      </c>
      <c r="I560" s="202">
        <f>$I$492</f>
        <v>45</v>
      </c>
      <c r="J560" s="186" t="s">
        <v>178</v>
      </c>
      <c r="K560" s="184">
        <f>ROUND(I560*$D560/100,0)</f>
        <v>67217</v>
      </c>
    </row>
    <row r="561" spans="1:15">
      <c r="A561" s="223" t="s">
        <v>205</v>
      </c>
      <c r="B561" s="1"/>
      <c r="C561" s="182"/>
      <c r="D561" s="182"/>
      <c r="E561" s="195">
        <v>-0.01</v>
      </c>
      <c r="F561" s="2"/>
      <c r="G561" s="184"/>
      <c r="H561" s="184"/>
      <c r="I561" s="195">
        <f>$I$493</f>
        <v>-0.01</v>
      </c>
      <c r="J561" s="1"/>
      <c r="K561" s="184"/>
    </row>
    <row r="562" spans="1:15">
      <c r="A562" s="186" t="s">
        <v>225</v>
      </c>
      <c r="B562" s="1"/>
      <c r="C562" s="182">
        <v>0</v>
      </c>
      <c r="D562" s="182">
        <v>0</v>
      </c>
      <c r="E562" s="167">
        <f>E548</f>
        <v>205</v>
      </c>
      <c r="F562" s="227"/>
      <c r="G562" s="184">
        <f>ROUND(E562*$C562*E561,0)</f>
        <v>0</v>
      </c>
      <c r="H562" s="184">
        <f>ROUND(E562*$D562*E561,0)</f>
        <v>0</v>
      </c>
      <c r="I562" s="167">
        <f>I548</f>
        <v>225</v>
      </c>
      <c r="J562" s="156"/>
      <c r="K562" s="184">
        <f>ROUND(I562*$D562*I561,0)</f>
        <v>0</v>
      </c>
    </row>
    <row r="563" spans="1:15">
      <c r="A563" s="186" t="s">
        <v>226</v>
      </c>
      <c r="B563" s="1"/>
      <c r="C563" s="182">
        <f>12</f>
        <v>12</v>
      </c>
      <c r="D563" s="182">
        <v>12</v>
      </c>
      <c r="E563" s="167">
        <f>E549</f>
        <v>75</v>
      </c>
      <c r="F563" s="227"/>
      <c r="G563" s="184">
        <f>ROUND(E563*$C563*E561,0)</f>
        <v>-9</v>
      </c>
      <c r="H563" s="184">
        <f>ROUND(E563*$D563*E561,0)</f>
        <v>-9</v>
      </c>
      <c r="I563" s="167">
        <f>I549</f>
        <v>83</v>
      </c>
      <c r="J563" s="156"/>
      <c r="K563" s="184">
        <f>ROUND(I563*$D563*I561,0)</f>
        <v>-10</v>
      </c>
    </row>
    <row r="564" spans="1:15">
      <c r="A564" s="186" t="s">
        <v>227</v>
      </c>
      <c r="B564" s="1"/>
      <c r="C564" s="182">
        <f>12</f>
        <v>12</v>
      </c>
      <c r="D564" s="182">
        <v>12</v>
      </c>
      <c r="E564" s="167">
        <f>E550</f>
        <v>150</v>
      </c>
      <c r="F564" s="235"/>
      <c r="G564" s="184">
        <f>ROUND(E564*$C564*E561,0)</f>
        <v>-18</v>
      </c>
      <c r="H564" s="184">
        <f>ROUND(E564*$D564*E561,0)</f>
        <v>-18</v>
      </c>
      <c r="I564" s="167">
        <f>I550</f>
        <v>166</v>
      </c>
      <c r="J564" s="236"/>
      <c r="K564" s="184">
        <f>ROUND(I564*$D564*I561,0)</f>
        <v>-20</v>
      </c>
    </row>
    <row r="565" spans="1:15">
      <c r="A565" s="186" t="s">
        <v>226</v>
      </c>
      <c r="B565" s="1"/>
      <c r="C565" s="182">
        <f>1487</f>
        <v>1487</v>
      </c>
      <c r="D565" s="182">
        <f>ROUND(($D$574/'Blocking - detail'!$C$574)*C565,0)</f>
        <v>1499</v>
      </c>
      <c r="E565" s="167">
        <f>E552</f>
        <v>1.38</v>
      </c>
      <c r="F565" s="227"/>
      <c r="G565" s="184">
        <f>ROUND(E565*$C565*E561,0)</f>
        <v>-21</v>
      </c>
      <c r="H565" s="184">
        <f>ROUND(E565*$D565*E561,0)</f>
        <v>-21</v>
      </c>
      <c r="I565" s="167">
        <f>I552</f>
        <v>1.47</v>
      </c>
      <c r="J565" s="156"/>
      <c r="K565" s="184">
        <f>ROUND(I565*$D565*I561,0)</f>
        <v>-22</v>
      </c>
    </row>
    <row r="566" spans="1:15">
      <c r="A566" s="186" t="s">
        <v>227</v>
      </c>
      <c r="B566" s="1"/>
      <c r="C566" s="182">
        <v>7817</v>
      </c>
      <c r="D566" s="182">
        <f>ROUND(($D$574/'Blocking - detail'!$C$574)*C566,0)</f>
        <v>7880</v>
      </c>
      <c r="E566" s="167">
        <f>E553</f>
        <v>1.1299999999999999</v>
      </c>
      <c r="F566" s="227" t="s">
        <v>13</v>
      </c>
      <c r="G566" s="184">
        <f>ROUND(E566*$C566*E561,0)</f>
        <v>-88</v>
      </c>
      <c r="H566" s="184">
        <f>ROUND(E566*$D566*E561,0)</f>
        <v>-89</v>
      </c>
      <c r="I566" s="167">
        <f>I553</f>
        <v>1.2</v>
      </c>
      <c r="J566" s="156"/>
      <c r="K566" s="184">
        <f>ROUND(I566*$D566*I561,0)</f>
        <v>-95</v>
      </c>
    </row>
    <row r="567" spans="1:15">
      <c r="A567" s="172" t="s">
        <v>229</v>
      </c>
      <c r="B567" s="1"/>
      <c r="C567" s="182">
        <f>1487+6927</f>
        <v>8414</v>
      </c>
      <c r="D567" s="182">
        <f>ROUND(($D$574/'Blocking - detail'!$C$574)*C567,0)</f>
        <v>8481</v>
      </c>
      <c r="E567" s="167">
        <f>E555</f>
        <v>3.64</v>
      </c>
      <c r="F567" s="227" t="s">
        <v>13</v>
      </c>
      <c r="G567" s="184">
        <f>ROUND(E567*$C567*E561,0)</f>
        <v>-306</v>
      </c>
      <c r="H567" s="184">
        <f>ROUND(E567*$D567*E561,0)</f>
        <v>-309</v>
      </c>
      <c r="I567" s="167">
        <f>I555</f>
        <v>3.75</v>
      </c>
      <c r="J567" s="156"/>
      <c r="K567" s="184">
        <f>ROUND(I567*$D567*I561,0)</f>
        <v>-318</v>
      </c>
    </row>
    <row r="568" spans="1:15">
      <c r="A568" s="172" t="s">
        <v>245</v>
      </c>
      <c r="B568" s="1"/>
      <c r="C568" s="182">
        <v>0</v>
      </c>
      <c r="D568" s="182">
        <f>ROUND(($D$574/'Blocking - detail'!$C$574)*C568,0)</f>
        <v>0</v>
      </c>
      <c r="E568" s="167">
        <f>E556</f>
        <v>3.64</v>
      </c>
      <c r="F568" s="227" t="s">
        <v>13</v>
      </c>
      <c r="G568" s="184">
        <f>ROUND(E568*$C568*E561,0)</f>
        <v>0</v>
      </c>
      <c r="H568" s="184">
        <f>ROUND(E568*$D568*E561,0)</f>
        <v>0</v>
      </c>
      <c r="I568" s="167">
        <f>I556</f>
        <v>3.75</v>
      </c>
      <c r="J568" s="156"/>
      <c r="K568" s="184">
        <f>ROUND(I568*$D568*I561,0)</f>
        <v>0</v>
      </c>
    </row>
    <row r="569" spans="1:15">
      <c r="A569" s="186" t="s">
        <v>231</v>
      </c>
      <c r="B569" s="1"/>
      <c r="C569" s="182">
        <f>478667+480000</f>
        <v>958667</v>
      </c>
      <c r="D569" s="182">
        <f>ROUND(($D$574/'Blocking - detail'!$C$574)*C569,0)</f>
        <v>966352</v>
      </c>
      <c r="E569" s="237">
        <f>E558</f>
        <v>3.9809999999999999</v>
      </c>
      <c r="F569" s="184" t="s">
        <v>178</v>
      </c>
      <c r="G569" s="184">
        <f>ROUND(E569*$C569/100*E561,0)</f>
        <v>-382</v>
      </c>
      <c r="H569" s="184">
        <f>ROUND(E569*$D569/100*E561,0)</f>
        <v>-385</v>
      </c>
      <c r="I569" s="237">
        <f>I558</f>
        <v>4.3570000000000002</v>
      </c>
      <c r="J569" s="186" t="s">
        <v>178</v>
      </c>
      <c r="K569" s="184">
        <f>ROUND(I569*$D569/100*I561,0)</f>
        <v>-421</v>
      </c>
    </row>
    <row r="570" spans="1:15">
      <c r="A570" s="186" t="s">
        <v>203</v>
      </c>
      <c r="B570" s="1"/>
      <c r="C570" s="182">
        <f>979200+4096800-C569</f>
        <v>4117333</v>
      </c>
      <c r="D570" s="182">
        <f>ROUND(($D$574/'Blocking - detail'!$C$574)*C570,0)</f>
        <v>4150338</v>
      </c>
      <c r="E570" s="237">
        <f>E559</f>
        <v>3.649</v>
      </c>
      <c r="F570" s="184" t="s">
        <v>178</v>
      </c>
      <c r="G570" s="184">
        <f>ROUND(E570*$C570/100*E561,0)</f>
        <v>-1502</v>
      </c>
      <c r="H570" s="184">
        <f>ROUND(E570*$D570/100*E561,0)</f>
        <v>-1514</v>
      </c>
      <c r="I570" s="237">
        <f>I559</f>
        <v>3.9930000000000003</v>
      </c>
      <c r="J570" s="186" t="s">
        <v>178</v>
      </c>
      <c r="K570" s="184">
        <f>ROUND(I570*$D570/100*I561,0)</f>
        <v>-1657</v>
      </c>
    </row>
    <row r="571" spans="1:15">
      <c r="A571" s="186" t="s">
        <v>204</v>
      </c>
      <c r="B571" s="1"/>
      <c r="C571" s="182">
        <f>0</f>
        <v>0</v>
      </c>
      <c r="D571" s="182">
        <f>ROUND(($D$574/'Blocking - detail'!$C$574)*C571,0)</f>
        <v>0</v>
      </c>
      <c r="E571" s="238">
        <f>E560</f>
        <v>45</v>
      </c>
      <c r="F571" s="184" t="s">
        <v>178</v>
      </c>
      <c r="G571" s="184">
        <f>ROUND(E571*$C571/100*E561,0)</f>
        <v>0</v>
      </c>
      <c r="H571" s="184">
        <f>ROUND(E571*$D571/100*E561,0)</f>
        <v>0</v>
      </c>
      <c r="I571" s="238">
        <f>I560</f>
        <v>45</v>
      </c>
      <c r="J571" s="186" t="s">
        <v>178</v>
      </c>
      <c r="K571" s="184">
        <f>ROUND(I571*$D571/100*I561,0)</f>
        <v>0</v>
      </c>
    </row>
    <row r="572" spans="1:15">
      <c r="A572" s="186" t="s">
        <v>247</v>
      </c>
      <c r="B572" s="1"/>
      <c r="C572" s="182">
        <f>C563+C564</f>
        <v>24</v>
      </c>
      <c r="D572" s="182">
        <v>23</v>
      </c>
      <c r="E572" s="161">
        <v>60</v>
      </c>
      <c r="F572" s="227" t="s">
        <v>13</v>
      </c>
      <c r="G572" s="184">
        <f>ROUND(E572*$C572,0)</f>
        <v>1440</v>
      </c>
      <c r="H572" s="184">
        <f>ROUND(E572*$D572,0)</f>
        <v>1380</v>
      </c>
      <c r="I572" s="161">
        <f>$I$504</f>
        <v>60</v>
      </c>
      <c r="J572" s="1"/>
      <c r="K572" s="184">
        <f>ROUND(I572*$D572,0)</f>
        <v>1380</v>
      </c>
    </row>
    <row r="573" spans="1:15">
      <c r="A573" s="186" t="s">
        <v>248</v>
      </c>
      <c r="B573" s="1"/>
      <c r="C573" s="182">
        <f>C565+C566</f>
        <v>9304</v>
      </c>
      <c r="D573" s="182">
        <f>ROUND(($D$574/'Blocking - detail'!$C$574)*C573,0)</f>
        <v>9379</v>
      </c>
      <c r="E573" s="202">
        <v>-30</v>
      </c>
      <c r="F573" s="184" t="s">
        <v>178</v>
      </c>
      <c r="G573" s="184">
        <f>ROUND(E573*$C573/100,0)</f>
        <v>-2791</v>
      </c>
      <c r="H573" s="184">
        <f>ROUND(E573*$D573/100,0)</f>
        <v>-2814</v>
      </c>
      <c r="I573" s="202">
        <v>-30</v>
      </c>
      <c r="J573" s="184" t="s">
        <v>178</v>
      </c>
      <c r="K573" s="184">
        <f>ROUND(I573*$D573/100,0)</f>
        <v>-2814</v>
      </c>
    </row>
    <row r="574" spans="1:15">
      <c r="A574" s="1" t="s">
        <v>185</v>
      </c>
      <c r="B574" s="1"/>
      <c r="C574" s="182">
        <f>SUM(C558:C559)</f>
        <v>145616119</v>
      </c>
      <c r="D574" s="182">
        <v>146783387.35514688</v>
      </c>
      <c r="E574" s="193"/>
      <c r="F574" s="2"/>
      <c r="G574" s="2">
        <f>SUM(G548:G573)</f>
        <v>8131326</v>
      </c>
      <c r="H574" s="2">
        <f>SUM(H548:H573)</f>
        <v>8190149</v>
      </c>
      <c r="I574" s="193"/>
      <c r="J574" s="1"/>
      <c r="K574" s="2">
        <f>SUM(K548:K573)</f>
        <v>8829392</v>
      </c>
    </row>
    <row r="575" spans="1:15">
      <c r="A575" s="1" t="s">
        <v>167</v>
      </c>
      <c r="B575" s="1"/>
      <c r="C575" s="212">
        <v>-3267381.4452911569</v>
      </c>
      <c r="D575" s="203">
        <v>0</v>
      </c>
      <c r="E575" s="172"/>
      <c r="F575" s="172"/>
      <c r="G575" s="173">
        <v>-154650.03199032659</v>
      </c>
      <c r="H575" s="173">
        <v>0</v>
      </c>
      <c r="I575" s="172"/>
      <c r="J575" s="172"/>
      <c r="K575" s="173">
        <v>0</v>
      </c>
      <c r="M575" s="152"/>
      <c r="N575" s="152"/>
      <c r="O575" s="153"/>
    </row>
    <row r="576" spans="1:15" ht="16.5" thickBot="1">
      <c r="A576" s="1" t="s">
        <v>186</v>
      </c>
      <c r="B576" s="1"/>
      <c r="C576" s="229">
        <f>SUM(C574)+C575</f>
        <v>142348737.55470884</v>
      </c>
      <c r="D576" s="229">
        <f>SUM(D558:D559)+D575</f>
        <v>146783387</v>
      </c>
      <c r="E576" s="205"/>
      <c r="F576" s="206"/>
      <c r="G576" s="207">
        <f>G574+G575</f>
        <v>7976675.9680096731</v>
      </c>
      <c r="H576" s="207">
        <f>H574+H575</f>
        <v>8190149</v>
      </c>
      <c r="I576" s="205"/>
      <c r="J576" s="208"/>
      <c r="K576" s="207">
        <f>K574+K575</f>
        <v>8829392</v>
      </c>
      <c r="M576" s="154"/>
      <c r="N576" s="154"/>
      <c r="O576" s="155"/>
    </row>
    <row r="577" spans="1:21" ht="16.5" thickTop="1">
      <c r="A577" s="166"/>
      <c r="B577" s="241"/>
      <c r="C577" s="166"/>
      <c r="D577" s="166"/>
      <c r="E577" s="12"/>
      <c r="F577" s="12"/>
      <c r="G577" s="242"/>
      <c r="H577" s="242"/>
      <c r="I577" s="166"/>
      <c r="J577" s="166"/>
      <c r="K577" s="166"/>
    </row>
    <row r="578" spans="1:21">
      <c r="A578" s="156" t="s">
        <v>251</v>
      </c>
      <c r="B578" s="1"/>
      <c r="C578" s="12"/>
      <c r="D578" s="12"/>
      <c r="E578" s="200"/>
      <c r="F578" s="2"/>
      <c r="G578" s="2"/>
      <c r="H578" s="2"/>
      <c r="I578" s="200"/>
      <c r="J578" s="1"/>
      <c r="K578" s="2"/>
    </row>
    <row r="579" spans="1:21">
      <c r="A579" s="172" t="s">
        <v>252</v>
      </c>
      <c r="B579" s="1"/>
      <c r="C579" s="12"/>
      <c r="D579" s="12"/>
      <c r="E579" s="200"/>
      <c r="F579" s="2"/>
      <c r="G579" s="2"/>
      <c r="H579" s="2"/>
      <c r="I579" s="200"/>
      <c r="J579" s="1"/>
      <c r="K579" s="2"/>
    </row>
    <row r="580" spans="1:21">
      <c r="A580" s="186"/>
      <c r="B580" s="1"/>
      <c r="C580" s="12"/>
      <c r="D580" s="12"/>
      <c r="E580" s="200"/>
      <c r="F580" s="2"/>
      <c r="G580" s="243"/>
      <c r="H580" s="243"/>
      <c r="I580" s="200"/>
      <c r="J580" s="1"/>
      <c r="K580" s="244"/>
    </row>
    <row r="581" spans="1:21">
      <c r="A581" s="172" t="s">
        <v>253</v>
      </c>
      <c r="B581" s="1"/>
      <c r="C581" s="182"/>
      <c r="D581" s="182"/>
      <c r="E581" s="2" t="s">
        <v>13</v>
      </c>
      <c r="F581" s="2"/>
      <c r="G581" s="1"/>
      <c r="H581" s="1"/>
      <c r="I581" s="2" t="s">
        <v>13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172" t="s">
        <v>254</v>
      </c>
      <c r="B582" s="1"/>
      <c r="C582" s="182">
        <f>C633+C684</f>
        <v>1046</v>
      </c>
      <c r="D582" s="182">
        <f>D633+D684</f>
        <v>1055</v>
      </c>
      <c r="E582" s="200">
        <v>0</v>
      </c>
      <c r="F582" s="187"/>
      <c r="G582" s="184">
        <f>G633+G684</f>
        <v>0</v>
      </c>
      <c r="H582" s="184">
        <f>H633+H684</f>
        <v>0</v>
      </c>
      <c r="I582" s="200">
        <v>0</v>
      </c>
      <c r="J582" s="187"/>
      <c r="K582" s="184">
        <f>K633+K684</f>
        <v>0</v>
      </c>
      <c r="M582" s="42">
        <f>I582*D582</f>
        <v>0</v>
      </c>
      <c r="O582" s="8"/>
      <c r="P582" s="33" t="s">
        <v>13</v>
      </c>
      <c r="Q582" s="3" t="s">
        <v>175</v>
      </c>
      <c r="R582" s="192">
        <f>E584+(E593*50)</f>
        <v>907.49999999999989</v>
      </c>
      <c r="S582" s="192">
        <f>E585+(E594*51)</f>
        <v>907.4</v>
      </c>
      <c r="T582" s="192">
        <f>E585+(E594*300)</f>
        <v>3995</v>
      </c>
      <c r="U582" s="192">
        <f>E586+(E595*301)</f>
        <v>4014.65</v>
      </c>
    </row>
    <row r="583" spans="1:21">
      <c r="A583" s="172" t="s">
        <v>255</v>
      </c>
      <c r="B583" s="1"/>
      <c r="C583" s="182"/>
      <c r="D583" s="182"/>
      <c r="E583" s="200"/>
      <c r="F583" s="187"/>
      <c r="G583" s="184"/>
      <c r="H583" s="184"/>
      <c r="I583" s="200"/>
      <c r="J583" s="187"/>
      <c r="K583" s="184"/>
      <c r="Q583" s="3" t="s">
        <v>120</v>
      </c>
      <c r="R583" s="192">
        <f>I584+(I593*50)</f>
        <v>993.5</v>
      </c>
      <c r="S583" s="192">
        <f>I585+(I594*51)</f>
        <v>996.64</v>
      </c>
      <c r="T583" s="192">
        <f>I585+(I594*300)</f>
        <v>4393</v>
      </c>
      <c r="U583" s="192">
        <f>I586+(I595*301)</f>
        <v>4411.62</v>
      </c>
    </row>
    <row r="584" spans="1:21">
      <c r="A584" s="172" t="s">
        <v>256</v>
      </c>
      <c r="B584" s="1"/>
      <c r="C584" s="182">
        <f t="shared" ref="C584:D589" si="49">C635+C686</f>
        <v>3810</v>
      </c>
      <c r="D584" s="182">
        <f t="shared" si="49"/>
        <v>3832</v>
      </c>
      <c r="E584" s="200">
        <v>0</v>
      </c>
      <c r="F584" s="187"/>
      <c r="G584" s="184">
        <f t="shared" ref="G584:H586" si="50">G635+G686</f>
        <v>0</v>
      </c>
      <c r="H584" s="184">
        <f t="shared" si="50"/>
        <v>0</v>
      </c>
      <c r="I584" s="200">
        <v>0</v>
      </c>
      <c r="J584" s="187"/>
      <c r="K584" s="184">
        <f>K635+K686</f>
        <v>0</v>
      </c>
      <c r="M584" s="42">
        <f>I584*D584</f>
        <v>0</v>
      </c>
      <c r="N584" s="22"/>
    </row>
    <row r="585" spans="1:21">
      <c r="A585" s="172" t="s">
        <v>257</v>
      </c>
      <c r="B585" s="1"/>
      <c r="C585" s="182">
        <f t="shared" si="49"/>
        <v>391</v>
      </c>
      <c r="D585" s="182">
        <f t="shared" si="49"/>
        <v>394</v>
      </c>
      <c r="E585" s="200">
        <v>275</v>
      </c>
      <c r="F585" s="187"/>
      <c r="G585" s="184">
        <f t="shared" si="50"/>
        <v>107525</v>
      </c>
      <c r="H585" s="184">
        <f t="shared" si="50"/>
        <v>108350</v>
      </c>
      <c r="I585" s="200">
        <v>301</v>
      </c>
      <c r="J585" s="187"/>
      <c r="K585" s="184">
        <f>K636+K687</f>
        <v>118594</v>
      </c>
      <c r="M585" s="42">
        <f>I585*D585</f>
        <v>118594</v>
      </c>
      <c r="N585" s="101"/>
      <c r="O585" s="8">
        <f>(I585-E585)/E585</f>
        <v>9.4545454545454544E-2</v>
      </c>
      <c r="S585" s="192">
        <f>S583-R583</f>
        <v>3.1399999999999864</v>
      </c>
      <c r="U585" s="192">
        <f>U583-T583</f>
        <v>18.619999999999891</v>
      </c>
    </row>
    <row r="586" spans="1:21">
      <c r="A586" s="172" t="s">
        <v>258</v>
      </c>
      <c r="B586" s="1"/>
      <c r="C586" s="182">
        <f t="shared" si="49"/>
        <v>12</v>
      </c>
      <c r="D586" s="182">
        <f t="shared" si="49"/>
        <v>12</v>
      </c>
      <c r="E586" s="200">
        <v>1110</v>
      </c>
      <c r="F586" s="187"/>
      <c r="G586" s="184">
        <f t="shared" si="50"/>
        <v>13320</v>
      </c>
      <c r="H586" s="184">
        <f t="shared" si="50"/>
        <v>13320</v>
      </c>
      <c r="I586" s="200">
        <v>1215</v>
      </c>
      <c r="J586" s="187"/>
      <c r="K586" s="184">
        <f>K637+K688</f>
        <v>14580</v>
      </c>
      <c r="M586" s="42">
        <f>I586*D586</f>
        <v>14580</v>
      </c>
      <c r="N586" s="101"/>
      <c r="O586" s="8">
        <f>(I586-E586)/E586</f>
        <v>9.45945945945946E-2</v>
      </c>
    </row>
    <row r="587" spans="1:21">
      <c r="A587" s="172" t="s">
        <v>166</v>
      </c>
      <c r="B587" s="1"/>
      <c r="C587" s="182">
        <f t="shared" si="49"/>
        <v>5259</v>
      </c>
      <c r="D587" s="182">
        <f t="shared" si="49"/>
        <v>5292.9166666666661</v>
      </c>
      <c r="E587" s="200"/>
      <c r="F587" s="187"/>
      <c r="G587" s="184"/>
      <c r="H587" s="184"/>
      <c r="I587" s="200"/>
      <c r="J587" s="187"/>
      <c r="K587" s="184"/>
      <c r="M587" s="33"/>
      <c r="N587" s="33"/>
      <c r="O587" s="183"/>
      <c r="S587" s="192">
        <f>I593</f>
        <v>19.87</v>
      </c>
      <c r="U587" s="192">
        <f>I595</f>
        <v>10.62</v>
      </c>
    </row>
    <row r="588" spans="1:21">
      <c r="A588" s="172" t="s">
        <v>259</v>
      </c>
      <c r="B588" s="1"/>
      <c r="C588" s="182">
        <f t="shared" si="49"/>
        <v>34292</v>
      </c>
      <c r="D588" s="182">
        <f t="shared" si="49"/>
        <v>34530</v>
      </c>
      <c r="E588" s="200"/>
      <c r="F588" s="187"/>
      <c r="G588" s="184"/>
      <c r="H588" s="184"/>
      <c r="I588" s="200"/>
      <c r="J588" s="187"/>
      <c r="K588" s="184"/>
      <c r="M588" s="33"/>
      <c r="N588" s="33"/>
      <c r="O588" s="183"/>
    </row>
    <row r="589" spans="1:21">
      <c r="A589" s="172" t="s">
        <v>24</v>
      </c>
      <c r="B589" s="1"/>
      <c r="C589" s="182">
        <f t="shared" si="49"/>
        <v>5714</v>
      </c>
      <c r="D589" s="182">
        <f t="shared" si="49"/>
        <v>5752</v>
      </c>
      <c r="E589" s="200"/>
      <c r="F589" s="184"/>
      <c r="G589" s="184"/>
      <c r="H589" s="184"/>
      <c r="I589" s="200"/>
      <c r="J589" s="184"/>
      <c r="K589" s="184"/>
      <c r="M589" s="33"/>
      <c r="N589" s="33"/>
      <c r="O589" s="183"/>
      <c r="P589" s="157"/>
    </row>
    <row r="590" spans="1:21">
      <c r="A590" s="172" t="s">
        <v>260</v>
      </c>
      <c r="B590" s="1"/>
      <c r="C590" s="182"/>
      <c r="D590" s="182"/>
      <c r="E590" s="200"/>
      <c r="F590" s="187"/>
      <c r="G590" s="184"/>
      <c r="H590" s="184"/>
      <c r="I590" s="200"/>
      <c r="J590" s="187"/>
      <c r="K590" s="184"/>
      <c r="M590" s="33"/>
      <c r="N590" s="33"/>
      <c r="O590" s="183"/>
    </row>
    <row r="591" spans="1:21">
      <c r="A591" s="172" t="s">
        <v>261</v>
      </c>
      <c r="B591" s="1"/>
      <c r="C591" s="182">
        <f>C642+C693</f>
        <v>4094</v>
      </c>
      <c r="D591" s="182">
        <f>D642+D693</f>
        <v>3767</v>
      </c>
      <c r="E591" s="200">
        <v>18.149999999999999</v>
      </c>
      <c r="F591" s="187"/>
      <c r="G591" s="184">
        <f>G642+G693</f>
        <v>74306</v>
      </c>
      <c r="H591" s="184">
        <f>H642+H693</f>
        <v>68371</v>
      </c>
      <c r="I591" s="200">
        <v>19.87</v>
      </c>
      <c r="J591" s="187"/>
      <c r="K591" s="184">
        <f>K642+K693</f>
        <v>74851</v>
      </c>
      <c r="M591" s="42">
        <f>I591*D591</f>
        <v>74850.290000000008</v>
      </c>
      <c r="N591" s="101"/>
      <c r="O591" s="8">
        <f>(I591-E591)/E591</f>
        <v>9.4765840220385811E-2</v>
      </c>
      <c r="R591" s="3" t="s">
        <v>175</v>
      </c>
      <c r="S591" s="3" t="s">
        <v>120</v>
      </c>
      <c r="T591" s="3" t="s">
        <v>176</v>
      </c>
      <c r="U591" s="3" t="s">
        <v>126</v>
      </c>
    </row>
    <row r="592" spans="1:21">
      <c r="A592" s="172" t="s">
        <v>262</v>
      </c>
      <c r="B592" s="1"/>
      <c r="C592" s="182"/>
      <c r="D592" s="182"/>
      <c r="E592" s="200"/>
      <c r="F592" s="187"/>
      <c r="G592" s="184"/>
      <c r="H592" s="184"/>
      <c r="I592" s="200"/>
      <c r="J592" s="187"/>
      <c r="K592" s="184"/>
      <c r="M592" s="239"/>
      <c r="N592" s="239"/>
      <c r="O592" s="183"/>
      <c r="Q592" s="3" t="s">
        <v>246</v>
      </c>
      <c r="R592" s="42">
        <f>SUM(H582:H597)</f>
        <v>1668109</v>
      </c>
      <c r="S592" s="42">
        <f>SUM(K582:K597)</f>
        <v>1828655</v>
      </c>
      <c r="T592" s="49">
        <v>2708270.4985879958</v>
      </c>
      <c r="U592" s="101">
        <f>S592/T592</f>
        <v>0.67521135756321282</v>
      </c>
    </row>
    <row r="593" spans="1:21">
      <c r="A593" s="172" t="s">
        <v>256</v>
      </c>
      <c r="B593" s="1"/>
      <c r="C593" s="182">
        <f t="shared" ref="C593:D597" si="51">C644+C695</f>
        <v>53610</v>
      </c>
      <c r="D593" s="182">
        <f t="shared" si="51"/>
        <v>49068</v>
      </c>
      <c r="E593" s="200">
        <f>E591</f>
        <v>18.149999999999999</v>
      </c>
      <c r="F593" s="187"/>
      <c r="G593" s="184">
        <f t="shared" ref="G593:H597" si="52">G644+G695</f>
        <v>973021</v>
      </c>
      <c r="H593" s="184">
        <f t="shared" si="52"/>
        <v>890585</v>
      </c>
      <c r="I593" s="200">
        <f>I591</f>
        <v>19.87</v>
      </c>
      <c r="J593" s="187"/>
      <c r="K593" s="184">
        <f>K644+K695</f>
        <v>974981</v>
      </c>
      <c r="M593" s="42">
        <f>I593*D593</f>
        <v>974981.16</v>
      </c>
      <c r="N593" s="101"/>
      <c r="O593" s="8">
        <f>(I593-E593)/E593</f>
        <v>9.4765840220385811E-2</v>
      </c>
      <c r="Q593" s="3" t="s">
        <v>263</v>
      </c>
      <c r="R593" s="42">
        <f>H602</f>
        <v>7542243</v>
      </c>
      <c r="S593" s="42">
        <f>K602</f>
        <v>8116487</v>
      </c>
      <c r="T593" s="49">
        <v>8051434.7234117109</v>
      </c>
      <c r="U593" s="101">
        <f>S593/T593</f>
        <v>1.0080795881508089</v>
      </c>
    </row>
    <row r="594" spans="1:21">
      <c r="A594" s="172" t="s">
        <v>257</v>
      </c>
      <c r="B594" s="1"/>
      <c r="C594" s="182">
        <f t="shared" si="51"/>
        <v>37992</v>
      </c>
      <c r="D594" s="182">
        <f t="shared" si="51"/>
        <v>34737</v>
      </c>
      <c r="E594" s="200">
        <v>12.4</v>
      </c>
      <c r="F594" s="187"/>
      <c r="G594" s="184">
        <f t="shared" si="52"/>
        <v>471100</v>
      </c>
      <c r="H594" s="184">
        <f t="shared" si="52"/>
        <v>430738</v>
      </c>
      <c r="I594" s="200">
        <v>13.64</v>
      </c>
      <c r="J594" s="187"/>
      <c r="K594" s="184">
        <f>K645+K696</f>
        <v>473813</v>
      </c>
      <c r="M594" s="42">
        <f>I594*D594</f>
        <v>473812.68</v>
      </c>
      <c r="N594" s="101"/>
      <c r="O594" s="8">
        <f>(I594-E594)/E594</f>
        <v>0.10000000000000002</v>
      </c>
      <c r="R594" s="42"/>
      <c r="S594" s="42"/>
      <c r="T594" s="49"/>
      <c r="U594" s="101"/>
    </row>
    <row r="595" spans="1:21">
      <c r="A595" s="172" t="s">
        <v>258</v>
      </c>
      <c r="B595" s="1"/>
      <c r="C595" s="182">
        <f t="shared" si="51"/>
        <v>4634</v>
      </c>
      <c r="D595" s="182">
        <f t="shared" si="51"/>
        <v>4281</v>
      </c>
      <c r="E595" s="200">
        <v>9.65</v>
      </c>
      <c r="F595" s="187"/>
      <c r="G595" s="184">
        <f t="shared" si="52"/>
        <v>44718</v>
      </c>
      <c r="H595" s="184">
        <f t="shared" si="52"/>
        <v>41312</v>
      </c>
      <c r="I595" s="200">
        <v>10.62</v>
      </c>
      <c r="J595" s="187"/>
      <c r="K595" s="184">
        <f>K646+K697</f>
        <v>45464</v>
      </c>
      <c r="M595" s="42">
        <f>I595*D595</f>
        <v>45464.219999999994</v>
      </c>
      <c r="N595" s="101"/>
      <c r="O595" s="8">
        <f>(I595-E595)/E595</f>
        <v>0.10051813471502578</v>
      </c>
    </row>
    <row r="596" spans="1:21">
      <c r="A596" s="172" t="s">
        <v>264</v>
      </c>
      <c r="B596" s="1"/>
      <c r="C596" s="182">
        <f t="shared" si="51"/>
        <v>402</v>
      </c>
      <c r="D596" s="182">
        <f t="shared" si="51"/>
        <v>368</v>
      </c>
      <c r="E596" s="200">
        <v>54.45</v>
      </c>
      <c r="F596" s="187"/>
      <c r="G596" s="184">
        <f t="shared" si="52"/>
        <v>21889</v>
      </c>
      <c r="H596" s="184">
        <f t="shared" si="52"/>
        <v>20037</v>
      </c>
      <c r="I596" s="200">
        <f>I591*3</f>
        <v>59.61</v>
      </c>
      <c r="J596" s="187"/>
      <c r="K596" s="184">
        <f>K647+K698</f>
        <v>21936</v>
      </c>
      <c r="M596" s="42">
        <f>I596*D596</f>
        <v>21936.48</v>
      </c>
      <c r="N596" s="101"/>
      <c r="O596" s="8">
        <f>(I596-E596)/E596</f>
        <v>9.4765840220385603E-2</v>
      </c>
    </row>
    <row r="597" spans="1:21">
      <c r="A597" s="172" t="s">
        <v>265</v>
      </c>
      <c r="B597" s="1"/>
      <c r="C597" s="182">
        <f t="shared" si="51"/>
        <v>960</v>
      </c>
      <c r="D597" s="182">
        <f t="shared" si="51"/>
        <v>876</v>
      </c>
      <c r="E597" s="200">
        <v>108.9</v>
      </c>
      <c r="F597" s="187"/>
      <c r="G597" s="184">
        <f t="shared" si="52"/>
        <v>104544</v>
      </c>
      <c r="H597" s="184">
        <f t="shared" si="52"/>
        <v>95396</v>
      </c>
      <c r="I597" s="200">
        <f>I591*6</f>
        <v>119.22</v>
      </c>
      <c r="J597" s="187"/>
      <c r="K597" s="184">
        <f>K648+K699</f>
        <v>104436</v>
      </c>
      <c r="M597" s="42">
        <f>I597*D597</f>
        <v>104436.72</v>
      </c>
      <c r="N597" s="101"/>
      <c r="O597" s="8">
        <f>(I597-E597)/E597</f>
        <v>9.4765840220385603E-2</v>
      </c>
    </row>
    <row r="598" spans="1:21">
      <c r="A598" s="172" t="s">
        <v>266</v>
      </c>
      <c r="B598" s="1"/>
      <c r="C598" s="182"/>
      <c r="D598" s="182"/>
      <c r="E598" s="200"/>
      <c r="F598" s="187"/>
      <c r="G598" s="184"/>
      <c r="H598" s="184"/>
      <c r="I598" s="200"/>
      <c r="J598" s="187"/>
      <c r="K598" s="184"/>
      <c r="M598" s="33"/>
      <c r="N598" s="33"/>
      <c r="O598" s="3"/>
    </row>
    <row r="599" spans="1:21">
      <c r="A599" s="172" t="s">
        <v>261</v>
      </c>
      <c r="B599" s="1"/>
      <c r="C599" s="182">
        <f>C650+C701</f>
        <v>566</v>
      </c>
      <c r="D599" s="182">
        <f>D650+D701</f>
        <v>518</v>
      </c>
      <c r="E599" s="226">
        <f>-E591</f>
        <v>-18.149999999999999</v>
      </c>
      <c r="F599" s="187"/>
      <c r="G599" s="184">
        <f>G650+G701</f>
        <v>-10273</v>
      </c>
      <c r="H599" s="184">
        <f>H650+H701</f>
        <v>-9402</v>
      </c>
      <c r="I599" s="226">
        <f>-I591</f>
        <v>-19.87</v>
      </c>
      <c r="J599" s="187"/>
      <c r="K599" s="184">
        <f>K650+K701</f>
        <v>-10293</v>
      </c>
      <c r="M599" s="42">
        <f>I599*D599</f>
        <v>-10292.66</v>
      </c>
      <c r="N599" s="33"/>
      <c r="O599" s="3"/>
    </row>
    <row r="600" spans="1:21">
      <c r="A600" s="172" t="s">
        <v>267</v>
      </c>
      <c r="B600" s="1"/>
      <c r="C600" s="182">
        <f>C651+C702</f>
        <v>2194</v>
      </c>
      <c r="D600" s="182">
        <f>D651+D702</f>
        <v>2004</v>
      </c>
      <c r="E600" s="226">
        <f>-E593</f>
        <v>-18.149999999999999</v>
      </c>
      <c r="F600" s="187"/>
      <c r="G600" s="184">
        <f>G651+G702</f>
        <v>-39821</v>
      </c>
      <c r="H600" s="184">
        <f>H651+H702</f>
        <v>-36373</v>
      </c>
      <c r="I600" s="226">
        <f>-I593</f>
        <v>-19.87</v>
      </c>
      <c r="J600" s="187"/>
      <c r="K600" s="184">
        <f>K651+K702</f>
        <v>-39820</v>
      </c>
      <c r="M600" s="42">
        <f>I600*D600</f>
        <v>-39819.480000000003</v>
      </c>
      <c r="N600" s="33"/>
      <c r="O600" s="3"/>
    </row>
    <row r="601" spans="1:21">
      <c r="A601" s="186" t="s">
        <v>230</v>
      </c>
      <c r="B601" s="1"/>
      <c r="C601" s="182"/>
      <c r="D601" s="182"/>
      <c r="E601" s="200"/>
      <c r="F601" s="184"/>
      <c r="G601" s="184"/>
      <c r="H601" s="184"/>
      <c r="I601" s="200"/>
      <c r="J601" s="184"/>
      <c r="K601" s="184"/>
      <c r="M601" s="33"/>
      <c r="N601" s="33"/>
      <c r="O601" s="3"/>
      <c r="Q601" s="3" t="s">
        <v>13</v>
      </c>
    </row>
    <row r="602" spans="1:21">
      <c r="A602" s="172" t="s">
        <v>268</v>
      </c>
      <c r="B602" s="1"/>
      <c r="C602" s="182">
        <f>C653+C704</f>
        <v>165066044</v>
      </c>
      <c r="D602" s="182">
        <f>D653+D704</f>
        <v>151116862</v>
      </c>
      <c r="E602" s="245">
        <v>4.9909999999999997</v>
      </c>
      <c r="F602" s="184" t="s">
        <v>178</v>
      </c>
      <c r="G602" s="184">
        <f>G653+G704</f>
        <v>8238447</v>
      </c>
      <c r="H602" s="184">
        <f>H653+H704</f>
        <v>7542243</v>
      </c>
      <c r="I602" s="246">
        <v>5.3710000000000004</v>
      </c>
      <c r="J602" s="184" t="s">
        <v>178</v>
      </c>
      <c r="K602" s="184">
        <f>K653+K704</f>
        <v>8116487</v>
      </c>
      <c r="M602" s="42">
        <f>(I602/100)*D602</f>
        <v>8116486.6580200009</v>
      </c>
      <c r="N602" s="101"/>
      <c r="O602" s="8">
        <f>(I602-E602)/E602</f>
        <v>7.6137046684031415E-2</v>
      </c>
    </row>
    <row r="603" spans="1:21">
      <c r="A603" s="186" t="s">
        <v>204</v>
      </c>
      <c r="B603" s="1"/>
      <c r="C603" s="182">
        <f>C654+C705</f>
        <v>28780</v>
      </c>
      <c r="D603" s="182">
        <f>D654+D705</f>
        <v>26281</v>
      </c>
      <c r="E603" s="202">
        <v>45</v>
      </c>
      <c r="F603" s="186" t="s">
        <v>178</v>
      </c>
      <c r="G603" s="184">
        <f>G654+G705</f>
        <v>12951</v>
      </c>
      <c r="H603" s="184">
        <f>H654+H705</f>
        <v>11826</v>
      </c>
      <c r="I603" s="202">
        <v>45</v>
      </c>
      <c r="J603" s="186" t="s">
        <v>178</v>
      </c>
      <c r="K603" s="184">
        <f>K654+K705</f>
        <v>11826</v>
      </c>
      <c r="M603" s="42">
        <f>(I603/100)*D603</f>
        <v>11826.45</v>
      </c>
      <c r="N603" s="101"/>
      <c r="O603" s="8">
        <f>(I603-E603)/E603</f>
        <v>0</v>
      </c>
    </row>
    <row r="604" spans="1:21">
      <c r="A604" s="223" t="s">
        <v>205</v>
      </c>
      <c r="B604" s="1"/>
      <c r="C604" s="182"/>
      <c r="D604" s="182"/>
      <c r="E604" s="195">
        <v>-0.01</v>
      </c>
      <c r="F604" s="2"/>
      <c r="G604" s="184"/>
      <c r="H604" s="184"/>
      <c r="I604" s="195">
        <v>-0.01</v>
      </c>
      <c r="J604" s="1"/>
      <c r="K604" s="184"/>
    </row>
    <row r="605" spans="1:21">
      <c r="A605" s="172" t="s">
        <v>194</v>
      </c>
      <c r="B605" s="1"/>
      <c r="C605" s="182">
        <f>C656+C707</f>
        <v>0</v>
      </c>
      <c r="D605" s="182">
        <f>D656+D707</f>
        <v>0</v>
      </c>
      <c r="E605" s="247">
        <f>E582</f>
        <v>0</v>
      </c>
      <c r="F605" s="187"/>
      <c r="G605" s="184">
        <f>G656+G707</f>
        <v>0</v>
      </c>
      <c r="H605" s="184">
        <f>H656+H707</f>
        <v>0</v>
      </c>
      <c r="I605" s="247">
        <f>I582</f>
        <v>0</v>
      </c>
      <c r="J605" s="187"/>
      <c r="K605" s="184">
        <f>K656+K707</f>
        <v>0</v>
      </c>
      <c r="M605" s="42">
        <f>-(I605/100)*D605</f>
        <v>0</v>
      </c>
    </row>
    <row r="606" spans="1:21">
      <c r="A606" s="172" t="s">
        <v>195</v>
      </c>
      <c r="B606" s="1"/>
      <c r="C606" s="182"/>
      <c r="D606" s="182"/>
      <c r="E606" s="247"/>
      <c r="F606" s="187"/>
      <c r="G606" s="184"/>
      <c r="H606" s="184"/>
      <c r="I606" s="247"/>
      <c r="J606" s="187"/>
      <c r="K606" s="184"/>
    </row>
    <row r="607" spans="1:21">
      <c r="A607" s="172" t="s">
        <v>256</v>
      </c>
      <c r="B607" s="1"/>
      <c r="C607" s="182">
        <f t="shared" ref="C607:D610" si="53">C658+C709</f>
        <v>1</v>
      </c>
      <c r="D607" s="182">
        <f t="shared" si="53"/>
        <v>1</v>
      </c>
      <c r="E607" s="247">
        <f>E584</f>
        <v>0</v>
      </c>
      <c r="F607" s="187"/>
      <c r="G607" s="184">
        <f t="shared" ref="G607:H610" si="54">G658+G709</f>
        <v>0</v>
      </c>
      <c r="H607" s="184">
        <f t="shared" si="54"/>
        <v>0</v>
      </c>
      <c r="I607" s="247">
        <f>I584</f>
        <v>0</v>
      </c>
      <c r="J607" s="187"/>
      <c r="K607" s="184">
        <f>K658+K709</f>
        <v>0</v>
      </c>
      <c r="M607" s="42">
        <f>-(I607/100)*D607</f>
        <v>0</v>
      </c>
    </row>
    <row r="608" spans="1:21">
      <c r="A608" s="172" t="s">
        <v>257</v>
      </c>
      <c r="B608" s="1"/>
      <c r="C608" s="182">
        <f t="shared" si="53"/>
        <v>0</v>
      </c>
      <c r="D608" s="182">
        <f t="shared" si="53"/>
        <v>0</v>
      </c>
      <c r="E608" s="247">
        <f>E585</f>
        <v>275</v>
      </c>
      <c r="F608" s="187"/>
      <c r="G608" s="184">
        <f t="shared" si="54"/>
        <v>0</v>
      </c>
      <c r="H608" s="184">
        <f t="shared" si="54"/>
        <v>0</v>
      </c>
      <c r="I608" s="247">
        <f>I585</f>
        <v>301</v>
      </c>
      <c r="J608" s="187"/>
      <c r="K608" s="184">
        <f>K659+K710</f>
        <v>0</v>
      </c>
      <c r="M608" s="42">
        <f>-(I608/100)*D608</f>
        <v>0</v>
      </c>
    </row>
    <row r="609" spans="1:13">
      <c r="A609" s="172" t="s">
        <v>258</v>
      </c>
      <c r="B609" s="1"/>
      <c r="C609" s="182">
        <f t="shared" si="53"/>
        <v>0</v>
      </c>
      <c r="D609" s="182">
        <f t="shared" si="53"/>
        <v>0</v>
      </c>
      <c r="E609" s="247">
        <f>E586</f>
        <v>1110</v>
      </c>
      <c r="F609" s="187"/>
      <c r="G609" s="184">
        <f t="shared" si="54"/>
        <v>0</v>
      </c>
      <c r="H609" s="184">
        <f t="shared" si="54"/>
        <v>0</v>
      </c>
      <c r="I609" s="247">
        <f>I586</f>
        <v>1215</v>
      </c>
      <c r="J609" s="187"/>
      <c r="K609" s="184">
        <f>K660+K711</f>
        <v>0</v>
      </c>
      <c r="M609" s="42">
        <f>-(I609/100)*D609</f>
        <v>0</v>
      </c>
    </row>
    <row r="610" spans="1:13">
      <c r="A610" s="172" t="s">
        <v>194</v>
      </c>
      <c r="B610" s="1"/>
      <c r="C610" s="182">
        <f t="shared" si="53"/>
        <v>0</v>
      </c>
      <c r="D610" s="182">
        <f t="shared" si="53"/>
        <v>0</v>
      </c>
      <c r="E610" s="247">
        <f>E591</f>
        <v>18.149999999999999</v>
      </c>
      <c r="F610" s="187"/>
      <c r="G610" s="184">
        <f t="shared" si="54"/>
        <v>0</v>
      </c>
      <c r="H610" s="184">
        <f t="shared" si="54"/>
        <v>0</v>
      </c>
      <c r="I610" s="247">
        <f>I591</f>
        <v>19.87</v>
      </c>
      <c r="J610" s="187"/>
      <c r="K610" s="184">
        <f>K661+K712</f>
        <v>0</v>
      </c>
      <c r="M610" s="42">
        <f>-(I610/100)*D610</f>
        <v>0</v>
      </c>
    </row>
    <row r="611" spans="1:13">
      <c r="A611" s="172" t="s">
        <v>195</v>
      </c>
      <c r="B611" s="1"/>
      <c r="C611" s="182"/>
      <c r="D611" s="182"/>
      <c r="E611" s="247"/>
      <c r="F611" s="187"/>
      <c r="G611" s="184"/>
      <c r="H611" s="184"/>
      <c r="I611" s="247"/>
      <c r="J611" s="187"/>
      <c r="K611" s="184"/>
    </row>
    <row r="612" spans="1:13">
      <c r="A612" s="172" t="s">
        <v>256</v>
      </c>
      <c r="B612" s="1"/>
      <c r="C612" s="182">
        <f t="shared" ref="C612:D616" si="55">C663+C714</f>
        <v>40</v>
      </c>
      <c r="D612" s="182">
        <f t="shared" si="55"/>
        <v>39</v>
      </c>
      <c r="E612" s="247">
        <f>E593</f>
        <v>18.149999999999999</v>
      </c>
      <c r="F612" s="187"/>
      <c r="G612" s="184">
        <f t="shared" ref="G612:H616" si="56">G663+G714</f>
        <v>-7</v>
      </c>
      <c r="H612" s="184">
        <f t="shared" si="56"/>
        <v>-7</v>
      </c>
      <c r="I612" s="247">
        <f>I593</f>
        <v>19.87</v>
      </c>
      <c r="J612" s="187"/>
      <c r="K612" s="184">
        <f>K663+K714</f>
        <v>-8</v>
      </c>
      <c r="M612" s="42">
        <f>-(I612/100)*D612</f>
        <v>-7.7493000000000007</v>
      </c>
    </row>
    <row r="613" spans="1:13">
      <c r="A613" s="172" t="s">
        <v>257</v>
      </c>
      <c r="B613" s="1"/>
      <c r="C613" s="182">
        <f t="shared" si="55"/>
        <v>0</v>
      </c>
      <c r="D613" s="182">
        <f t="shared" si="55"/>
        <v>0</v>
      </c>
      <c r="E613" s="247">
        <f>E594</f>
        <v>12.4</v>
      </c>
      <c r="F613" s="187"/>
      <c r="G613" s="184">
        <f t="shared" si="56"/>
        <v>0</v>
      </c>
      <c r="H613" s="184">
        <f t="shared" si="56"/>
        <v>0</v>
      </c>
      <c r="I613" s="247">
        <f>I594</f>
        <v>13.64</v>
      </c>
      <c r="J613" s="187"/>
      <c r="K613" s="184">
        <f>K664+K715</f>
        <v>0</v>
      </c>
      <c r="M613" s="42">
        <f>-(I613/100)*D613</f>
        <v>0</v>
      </c>
    </row>
    <row r="614" spans="1:13">
      <c r="A614" s="172" t="s">
        <v>258</v>
      </c>
      <c r="B614" s="1"/>
      <c r="C614" s="182">
        <f t="shared" si="55"/>
        <v>0</v>
      </c>
      <c r="D614" s="182">
        <f t="shared" si="55"/>
        <v>0</v>
      </c>
      <c r="E614" s="247">
        <f>E595</f>
        <v>9.65</v>
      </c>
      <c r="F614" s="187"/>
      <c r="G614" s="184">
        <f t="shared" si="56"/>
        <v>0</v>
      </c>
      <c r="H614" s="184">
        <f t="shared" si="56"/>
        <v>0</v>
      </c>
      <c r="I614" s="247">
        <f>I595</f>
        <v>10.62</v>
      </c>
      <c r="J614" s="187"/>
      <c r="K614" s="184">
        <f>K665+K716</f>
        <v>0</v>
      </c>
      <c r="M614" s="42">
        <f>-(I614/100)*D614</f>
        <v>0</v>
      </c>
    </row>
    <row r="615" spans="1:13">
      <c r="A615" s="172" t="s">
        <v>269</v>
      </c>
      <c r="B615" s="1"/>
      <c r="C615" s="182">
        <f t="shared" si="55"/>
        <v>0</v>
      </c>
      <c r="D615" s="182">
        <f t="shared" si="55"/>
        <v>0</v>
      </c>
      <c r="E615" s="216">
        <f>E596</f>
        <v>54.45</v>
      </c>
      <c r="F615" s="187"/>
      <c r="G615" s="184">
        <f t="shared" si="56"/>
        <v>0</v>
      </c>
      <c r="H615" s="184">
        <f t="shared" si="56"/>
        <v>0</v>
      </c>
      <c r="I615" s="216">
        <f>I596</f>
        <v>59.61</v>
      </c>
      <c r="J615" s="187"/>
      <c r="K615" s="184">
        <f>K666+K717</f>
        <v>0</v>
      </c>
      <c r="M615" s="42">
        <f>-(I615/100)*D615</f>
        <v>0</v>
      </c>
    </row>
    <row r="616" spans="1:13">
      <c r="A616" s="172" t="s">
        <v>270</v>
      </c>
      <c r="B616" s="1"/>
      <c r="C616" s="182">
        <f t="shared" si="55"/>
        <v>0</v>
      </c>
      <c r="D616" s="182">
        <f t="shared" si="55"/>
        <v>0</v>
      </c>
      <c r="E616" s="216">
        <f>E597</f>
        <v>108.9</v>
      </c>
      <c r="F616" s="187"/>
      <c r="G616" s="184">
        <f t="shared" si="56"/>
        <v>0</v>
      </c>
      <c r="H616" s="184">
        <f t="shared" si="56"/>
        <v>0</v>
      </c>
      <c r="I616" s="216">
        <f>I597</f>
        <v>119.22</v>
      </c>
      <c r="J616" s="187"/>
      <c r="K616" s="184">
        <f>K667+K718</f>
        <v>0</v>
      </c>
      <c r="M616" s="42">
        <f>-(I616/100)*D616</f>
        <v>0</v>
      </c>
    </row>
    <row r="617" spans="1:13">
      <c r="A617" s="172" t="s">
        <v>266</v>
      </c>
      <c r="B617" s="1"/>
      <c r="C617" s="182"/>
      <c r="D617" s="182"/>
      <c r="E617" s="200"/>
      <c r="F617" s="187"/>
      <c r="G617" s="184"/>
      <c r="H617" s="184"/>
      <c r="I617" s="200"/>
      <c r="J617" s="187"/>
      <c r="K617" s="184"/>
    </row>
    <row r="618" spans="1:13">
      <c r="A618" s="172" t="s">
        <v>261</v>
      </c>
      <c r="B618" s="1"/>
      <c r="C618" s="182">
        <f>C669+C720</f>
        <v>0</v>
      </c>
      <c r="D618" s="182">
        <f>D669+D720</f>
        <v>0</v>
      </c>
      <c r="E618" s="226">
        <f>E599</f>
        <v>-18.149999999999999</v>
      </c>
      <c r="F618" s="187"/>
      <c r="G618" s="184">
        <f>G669+G720</f>
        <v>0</v>
      </c>
      <c r="H618" s="184">
        <f>H669+H720</f>
        <v>0</v>
      </c>
      <c r="I618" s="226">
        <f>I599</f>
        <v>-19.87</v>
      </c>
      <c r="J618" s="187"/>
      <c r="K618" s="184">
        <f>K669+K720</f>
        <v>0</v>
      </c>
      <c r="M618" s="42">
        <f>-(I618/100)*D618</f>
        <v>0</v>
      </c>
    </row>
    <row r="619" spans="1:13">
      <c r="A619" s="172" t="s">
        <v>267</v>
      </c>
      <c r="B619" s="1"/>
      <c r="C619" s="182">
        <f>C670+C721</f>
        <v>0</v>
      </c>
      <c r="D619" s="182">
        <f>D670+D721</f>
        <v>0</v>
      </c>
      <c r="E619" s="226">
        <f>E600</f>
        <v>-18.149999999999999</v>
      </c>
      <c r="F619" s="187"/>
      <c r="G619" s="184">
        <f>G670+G721</f>
        <v>0</v>
      </c>
      <c r="H619" s="184">
        <f>H670+H721</f>
        <v>0</v>
      </c>
      <c r="I619" s="226">
        <f>I600</f>
        <v>-19.87</v>
      </c>
      <c r="J619" s="187"/>
      <c r="K619" s="184">
        <f>K670+K721</f>
        <v>0</v>
      </c>
      <c r="M619" s="42">
        <f>-(I619/100)*D619</f>
        <v>0</v>
      </c>
    </row>
    <row r="620" spans="1:13">
      <c r="A620" s="186" t="s">
        <v>230</v>
      </c>
      <c r="B620" s="1"/>
      <c r="C620" s="182"/>
      <c r="D620" s="182"/>
      <c r="E620" s="247"/>
      <c r="F620" s="184"/>
      <c r="G620" s="184"/>
      <c r="H620" s="184"/>
      <c r="I620" s="247"/>
      <c r="J620" s="184"/>
      <c r="K620" s="184"/>
    </row>
    <row r="621" spans="1:13">
      <c r="A621" s="172" t="s">
        <v>268</v>
      </c>
      <c r="B621" s="1"/>
      <c r="C621" s="182">
        <f t="shared" ref="C621:D626" si="57">C672+C723</f>
        <v>38079</v>
      </c>
      <c r="D621" s="182">
        <f t="shared" si="57"/>
        <v>36727</v>
      </c>
      <c r="E621" s="248">
        <f>E602</f>
        <v>4.9909999999999997</v>
      </c>
      <c r="F621" s="184" t="s">
        <v>178</v>
      </c>
      <c r="G621" s="184">
        <f t="shared" ref="G621:H626" si="58">G672+G723</f>
        <v>-19</v>
      </c>
      <c r="H621" s="184">
        <f t="shared" si="58"/>
        <v>-18</v>
      </c>
      <c r="I621" s="248">
        <f>I602</f>
        <v>5.3710000000000004</v>
      </c>
      <c r="J621" s="184" t="s">
        <v>178</v>
      </c>
      <c r="K621" s="184">
        <f t="shared" ref="K621:K626" si="59">K672+K723</f>
        <v>-20</v>
      </c>
      <c r="M621" s="42">
        <f>-((I621/100)*D621)/100</f>
        <v>-19.726071700000002</v>
      </c>
    </row>
    <row r="622" spans="1:13">
      <c r="A622" s="186" t="s">
        <v>204</v>
      </c>
      <c r="B622" s="1"/>
      <c r="C622" s="182">
        <f t="shared" si="57"/>
        <v>0</v>
      </c>
      <c r="D622" s="182">
        <f t="shared" si="57"/>
        <v>0</v>
      </c>
      <c r="E622" s="238">
        <f>E603</f>
        <v>45</v>
      </c>
      <c r="F622" s="184" t="s">
        <v>178</v>
      </c>
      <c r="G622" s="184">
        <f t="shared" si="58"/>
        <v>0</v>
      </c>
      <c r="H622" s="184">
        <f t="shared" si="58"/>
        <v>0</v>
      </c>
      <c r="I622" s="238">
        <f>I603</f>
        <v>45</v>
      </c>
      <c r="J622" s="186" t="s">
        <v>178</v>
      </c>
      <c r="K622" s="184">
        <f t="shared" si="59"/>
        <v>0</v>
      </c>
      <c r="M622" s="42">
        <f>-((I622/100)*D622)/100</f>
        <v>0</v>
      </c>
    </row>
    <row r="623" spans="1:13">
      <c r="A623" s="186" t="s">
        <v>247</v>
      </c>
      <c r="B623" s="1"/>
      <c r="C623" s="182">
        <f t="shared" si="57"/>
        <v>12</v>
      </c>
      <c r="D623" s="182">
        <f t="shared" si="57"/>
        <v>13</v>
      </c>
      <c r="E623" s="161">
        <v>60</v>
      </c>
      <c r="F623" s="227" t="s">
        <v>13</v>
      </c>
      <c r="G623" s="184">
        <f t="shared" si="58"/>
        <v>720</v>
      </c>
      <c r="H623" s="184">
        <f t="shared" si="58"/>
        <v>780</v>
      </c>
      <c r="I623" s="161">
        <v>60</v>
      </c>
      <c r="J623" s="1"/>
      <c r="K623" s="184">
        <f t="shared" si="59"/>
        <v>780</v>
      </c>
      <c r="M623" s="42">
        <f>I623*D623</f>
        <v>780</v>
      </c>
    </row>
    <row r="624" spans="1:13">
      <c r="A624" s="186" t="s">
        <v>248</v>
      </c>
      <c r="B624" s="1"/>
      <c r="C624" s="182">
        <f t="shared" si="57"/>
        <v>280</v>
      </c>
      <c r="D624" s="182">
        <f t="shared" si="57"/>
        <v>270</v>
      </c>
      <c r="E624" s="202">
        <v>-30</v>
      </c>
      <c r="F624" s="184" t="s">
        <v>178</v>
      </c>
      <c r="G624" s="184">
        <f t="shared" si="58"/>
        <v>-84</v>
      </c>
      <c r="H624" s="184">
        <f t="shared" si="58"/>
        <v>-81</v>
      </c>
      <c r="I624" s="202">
        <v>-30</v>
      </c>
      <c r="J624" s="184" t="s">
        <v>178</v>
      </c>
      <c r="K624" s="184">
        <f t="shared" si="59"/>
        <v>-81</v>
      </c>
      <c r="M624" s="42">
        <f>(I624/100)*D624</f>
        <v>-81</v>
      </c>
    </row>
    <row r="625" spans="1:16">
      <c r="A625" s="1" t="s">
        <v>185</v>
      </c>
      <c r="B625" s="1"/>
      <c r="C625" s="182">
        <f t="shared" si="57"/>
        <v>165066044</v>
      </c>
      <c r="D625" s="182">
        <f t="shared" si="57"/>
        <v>151116862.53785235</v>
      </c>
      <c r="E625" s="193"/>
      <c r="F625" s="2"/>
      <c r="G625" s="2">
        <f t="shared" si="58"/>
        <v>10012337</v>
      </c>
      <c r="H625" s="2">
        <f t="shared" si="58"/>
        <v>9177077</v>
      </c>
      <c r="I625" s="2"/>
      <c r="J625" s="186"/>
      <c r="K625" s="2">
        <f t="shared" si="59"/>
        <v>9907526</v>
      </c>
      <c r="M625" s="42">
        <f>SUM(M582:M624)</f>
        <v>9907528.0426483005</v>
      </c>
      <c r="P625" s="139"/>
    </row>
    <row r="626" spans="1:16">
      <c r="A626" s="1" t="s">
        <v>167</v>
      </c>
      <c r="B626" s="1"/>
      <c r="C626" s="203">
        <f t="shared" si="57"/>
        <v>2967000</v>
      </c>
      <c r="D626" s="203">
        <f t="shared" si="57"/>
        <v>0</v>
      </c>
      <c r="E626" s="172"/>
      <c r="F626" s="172"/>
      <c r="G626" s="173">
        <f t="shared" si="58"/>
        <v>128000.00000000003</v>
      </c>
      <c r="H626" s="173">
        <f t="shared" si="58"/>
        <v>0</v>
      </c>
      <c r="I626" s="172"/>
      <c r="J626" s="172"/>
      <c r="K626" s="173">
        <f t="shared" si="59"/>
        <v>0</v>
      </c>
    </row>
    <row r="627" spans="1:16" ht="16.5" thickBot="1">
      <c r="A627" s="1" t="s">
        <v>186</v>
      </c>
      <c r="B627" s="1"/>
      <c r="C627" s="229">
        <f>SUM(C625:C626)</f>
        <v>168033044</v>
      </c>
      <c r="D627" s="229">
        <f>SUM(D625:D626)</f>
        <v>151116862.53785235</v>
      </c>
      <c r="E627" s="205"/>
      <c r="F627" s="206"/>
      <c r="G627" s="207">
        <f>G625+G626</f>
        <v>10140337</v>
      </c>
      <c r="H627" s="207">
        <f>H625+H626</f>
        <v>9177077</v>
      </c>
      <c r="I627" s="205"/>
      <c r="J627" s="208"/>
      <c r="K627" s="207">
        <f>K625+K626</f>
        <v>9907526</v>
      </c>
      <c r="N627" s="3" t="s">
        <v>168</v>
      </c>
      <c r="O627" s="33" t="e">
        <f>#REF!*1000</f>
        <v>#REF!</v>
      </c>
    </row>
    <row r="628" spans="1:16" ht="16.5" thickTop="1">
      <c r="A628" s="1"/>
      <c r="B628" s="1"/>
      <c r="C628" s="16"/>
      <c r="D628" s="16"/>
      <c r="E628" s="214"/>
      <c r="F628" s="215"/>
      <c r="G628" s="185"/>
      <c r="H628" s="185"/>
      <c r="I628" s="249" t="s">
        <v>13</v>
      </c>
      <c r="J628" s="14"/>
      <c r="K628" s="135" t="s">
        <v>13</v>
      </c>
      <c r="N628" s="3" t="s">
        <v>114</v>
      </c>
      <c r="O628" s="33" t="e">
        <f>O627-K627</f>
        <v>#REF!</v>
      </c>
      <c r="P628" s="177" t="e">
        <f>(O627-K627)/(K627-K603-K623-K624)</f>
        <v>#REF!</v>
      </c>
    </row>
    <row r="629" spans="1:16">
      <c r="A629" s="156" t="s">
        <v>251</v>
      </c>
      <c r="B629" s="1"/>
      <c r="C629" s="12"/>
      <c r="D629" s="12"/>
      <c r="E629" s="200"/>
      <c r="F629" s="2"/>
      <c r="G629" s="2"/>
      <c r="H629" s="2"/>
      <c r="I629" s="200"/>
      <c r="J629" s="1"/>
      <c r="K629" s="2"/>
    </row>
    <row r="630" spans="1:16">
      <c r="A630" s="172" t="s">
        <v>84</v>
      </c>
      <c r="B630" s="1"/>
      <c r="C630" s="12"/>
      <c r="D630" s="12"/>
      <c r="E630" s="200"/>
      <c r="F630" s="2"/>
      <c r="G630" s="2"/>
      <c r="H630" s="2"/>
      <c r="I630" s="200"/>
      <c r="J630" s="1"/>
      <c r="K630" s="2"/>
      <c r="M630" s="42">
        <f>K627-H627</f>
        <v>730449</v>
      </c>
      <c r="N630" s="42"/>
      <c r="O630" s="209" t="e">
        <f>O628/(K585+K586+K591+K593+K594+K595+K596+K597+K599+K600)</f>
        <v>#REF!</v>
      </c>
      <c r="P630" s="101"/>
    </row>
    <row r="631" spans="1:16">
      <c r="A631" s="186"/>
      <c r="B631" s="1"/>
      <c r="C631" s="12"/>
      <c r="D631" s="12"/>
      <c r="E631" s="200"/>
      <c r="F631" s="2"/>
      <c r="G631" s="243"/>
      <c r="H631" s="243"/>
      <c r="I631" s="200"/>
      <c r="J631" s="1"/>
      <c r="K631" s="244"/>
      <c r="M631" s="192"/>
      <c r="N631" s="157">
        <v>0.46249872649158752</v>
      </c>
    </row>
    <row r="632" spans="1:16">
      <c r="A632" s="172" t="s">
        <v>253</v>
      </c>
      <c r="B632" s="1"/>
      <c r="C632" s="182"/>
      <c r="D632" s="182"/>
      <c r="E632" s="2" t="s">
        <v>13</v>
      </c>
      <c r="F632" s="2"/>
      <c r="G632" s="1"/>
      <c r="H632" s="1"/>
      <c r="I632" s="2" t="s">
        <v>13</v>
      </c>
      <c r="J632" s="1"/>
      <c r="K632" s="1"/>
    </row>
    <row r="633" spans="1:16">
      <c r="A633" s="172" t="s">
        <v>254</v>
      </c>
      <c r="B633" s="1"/>
      <c r="C633" s="182">
        <f>895</f>
        <v>895</v>
      </c>
      <c r="D633" s="182">
        <v>894</v>
      </c>
      <c r="E633" s="200">
        <v>0</v>
      </c>
      <c r="F633" s="187"/>
      <c r="G633" s="184">
        <f>ROUND(E633*$C633,0)</f>
        <v>0</v>
      </c>
      <c r="H633" s="184">
        <f>ROUND(E633*$D633,0)</f>
        <v>0</v>
      </c>
      <c r="I633" s="200">
        <f>$I$582</f>
        <v>0</v>
      </c>
      <c r="J633" s="187"/>
      <c r="K633" s="184">
        <f>ROUND(I633*$D633,0)</f>
        <v>0</v>
      </c>
    </row>
    <row r="634" spans="1:16">
      <c r="A634" s="172" t="s">
        <v>255</v>
      </c>
      <c r="B634" s="1"/>
      <c r="C634" s="182"/>
      <c r="D634" s="182"/>
      <c r="E634" s="200"/>
      <c r="F634" s="187"/>
      <c r="G634" s="184"/>
      <c r="H634" s="184"/>
      <c r="I634" s="200"/>
      <c r="J634" s="187"/>
      <c r="K634" s="184"/>
    </row>
    <row r="635" spans="1:16">
      <c r="A635" s="172" t="s">
        <v>256</v>
      </c>
      <c r="B635" s="1"/>
      <c r="C635" s="182">
        <f>3431</f>
        <v>3431</v>
      </c>
      <c r="D635" s="182">
        <v>3428</v>
      </c>
      <c r="E635" s="200">
        <v>0</v>
      </c>
      <c r="F635" s="187"/>
      <c r="G635" s="184">
        <f>ROUND(E635*$C635,0)</f>
        <v>0</v>
      </c>
      <c r="H635" s="184">
        <f>ROUND(E635*$D635,0)</f>
        <v>0</v>
      </c>
      <c r="I635" s="200">
        <f>$I$584</f>
        <v>0</v>
      </c>
      <c r="J635" s="187"/>
      <c r="K635" s="184">
        <f>ROUND(I635*$D635,0)</f>
        <v>0</v>
      </c>
    </row>
    <row r="636" spans="1:16">
      <c r="A636" s="172" t="s">
        <v>257</v>
      </c>
      <c r="B636" s="1"/>
      <c r="C636" s="182">
        <f>353</f>
        <v>353</v>
      </c>
      <c r="D636" s="182">
        <v>353</v>
      </c>
      <c r="E636" s="200">
        <v>275</v>
      </c>
      <c r="F636" s="187"/>
      <c r="G636" s="184">
        <f>ROUND(E636*$C636,0)</f>
        <v>97075</v>
      </c>
      <c r="H636" s="184">
        <f>ROUND(E636*$D636,0)</f>
        <v>97075</v>
      </c>
      <c r="I636" s="200">
        <f>$I$585</f>
        <v>301</v>
      </c>
      <c r="J636" s="187"/>
      <c r="K636" s="184">
        <f>ROUND(I636*$D636,0)</f>
        <v>106253</v>
      </c>
    </row>
    <row r="637" spans="1:16">
      <c r="A637" s="172" t="s">
        <v>258</v>
      </c>
      <c r="B637" s="1"/>
      <c r="C637" s="182">
        <f>9</f>
        <v>9</v>
      </c>
      <c r="D637" s="182">
        <v>9</v>
      </c>
      <c r="E637" s="200">
        <v>1110</v>
      </c>
      <c r="F637" s="187"/>
      <c r="G637" s="184">
        <f>ROUND(E637*$C637,0)</f>
        <v>9990</v>
      </c>
      <c r="H637" s="184">
        <f>ROUND(E637*$D637,0)</f>
        <v>9990</v>
      </c>
      <c r="I637" s="200">
        <f>$I$586</f>
        <v>1215</v>
      </c>
      <c r="J637" s="187"/>
      <c r="K637" s="184">
        <f>ROUND(I637*$D637,0)</f>
        <v>10935</v>
      </c>
    </row>
    <row r="638" spans="1:16">
      <c r="A638" s="172" t="s">
        <v>166</v>
      </c>
      <c r="B638" s="1"/>
      <c r="C638" s="182">
        <f>SUM(C633:C637)</f>
        <v>4688</v>
      </c>
      <c r="D638" s="182">
        <v>4683.9852262627228</v>
      </c>
      <c r="E638" s="200"/>
      <c r="F638" s="187"/>
      <c r="G638" s="184"/>
      <c r="H638" s="184"/>
      <c r="I638" s="200"/>
      <c r="J638" s="187"/>
      <c r="K638" s="184"/>
    </row>
    <row r="639" spans="1:16">
      <c r="A639" s="172" t="s">
        <v>259</v>
      </c>
      <c r="B639" s="1"/>
      <c r="C639" s="182">
        <f>5792+21967+2495+65</f>
        <v>30319</v>
      </c>
      <c r="D639" s="182">
        <v>30293</v>
      </c>
      <c r="E639" s="200"/>
      <c r="F639" s="184"/>
      <c r="G639" s="184"/>
      <c r="H639" s="184"/>
      <c r="I639" s="200"/>
      <c r="J639" s="184"/>
      <c r="K639" s="184"/>
    </row>
    <row r="640" spans="1:16">
      <c r="A640" s="172" t="s">
        <v>24</v>
      </c>
      <c r="B640" s="1"/>
      <c r="C640" s="182">
        <f>966+3743+364+9</f>
        <v>5082</v>
      </c>
      <c r="D640" s="182">
        <v>5078</v>
      </c>
      <c r="E640" s="200"/>
      <c r="F640" s="184"/>
      <c r="G640" s="184"/>
      <c r="H640" s="184"/>
      <c r="I640" s="200"/>
      <c r="J640" s="184"/>
      <c r="K640" s="184"/>
    </row>
    <row r="641" spans="1:11">
      <c r="A641" s="172" t="s">
        <v>260</v>
      </c>
      <c r="B641" s="1"/>
      <c r="C641" s="182"/>
      <c r="D641" s="182"/>
      <c r="E641" s="200"/>
      <c r="F641" s="187"/>
      <c r="G641" s="184"/>
      <c r="H641" s="184"/>
      <c r="I641" s="200"/>
      <c r="J641" s="187"/>
      <c r="K641" s="184"/>
    </row>
    <row r="642" spans="1:11">
      <c r="A642" s="172" t="s">
        <v>261</v>
      </c>
      <c r="B642" s="1"/>
      <c r="C642" s="182">
        <f>3278</f>
        <v>3278</v>
      </c>
      <c r="D642" s="182">
        <v>2980</v>
      </c>
      <c r="E642" s="200">
        <v>18.149999999999999</v>
      </c>
      <c r="F642" s="187"/>
      <c r="G642" s="184">
        <f>ROUND(E642*$C642,0)</f>
        <v>59496</v>
      </c>
      <c r="H642" s="184">
        <f>ROUND(E642*$D642,0)</f>
        <v>54087</v>
      </c>
      <c r="I642" s="200">
        <f>$I$591</f>
        <v>19.87</v>
      </c>
      <c r="J642" s="187"/>
      <c r="K642" s="184">
        <f>ROUND(I642*$D642,0)</f>
        <v>59213</v>
      </c>
    </row>
    <row r="643" spans="1:11">
      <c r="A643" s="172" t="s">
        <v>262</v>
      </c>
      <c r="B643" s="1"/>
      <c r="C643" s="182"/>
      <c r="D643" s="182"/>
      <c r="E643" s="200"/>
      <c r="F643" s="187"/>
      <c r="G643" s="184"/>
      <c r="H643" s="184"/>
      <c r="I643" s="200"/>
      <c r="J643" s="187"/>
      <c r="K643" s="184"/>
    </row>
    <row r="644" spans="1:11">
      <c r="A644" s="172" t="s">
        <v>256</v>
      </c>
      <c r="B644" s="1"/>
      <c r="C644" s="182">
        <f>47509</f>
        <v>47509</v>
      </c>
      <c r="D644" s="182">
        <v>43184</v>
      </c>
      <c r="E644" s="200">
        <v>18.149999999999999</v>
      </c>
      <c r="F644" s="187"/>
      <c r="G644" s="184">
        <f>ROUND(E644*$C644,0)</f>
        <v>862288</v>
      </c>
      <c r="H644" s="184">
        <f>ROUND(E644*$D644,0)</f>
        <v>783790</v>
      </c>
      <c r="I644" s="200">
        <f>$I$593</f>
        <v>19.87</v>
      </c>
      <c r="J644" s="187"/>
      <c r="K644" s="184">
        <f>ROUND(I644*$D644,0)</f>
        <v>858066</v>
      </c>
    </row>
    <row r="645" spans="1:11">
      <c r="A645" s="172" t="s">
        <v>257</v>
      </c>
      <c r="B645" s="1"/>
      <c r="C645" s="182">
        <f>34331</f>
        <v>34331</v>
      </c>
      <c r="D645" s="182">
        <v>31206</v>
      </c>
      <c r="E645" s="200">
        <v>12.4</v>
      </c>
      <c r="F645" s="187"/>
      <c r="G645" s="184">
        <f>ROUND(E645*$C645,0)</f>
        <v>425704</v>
      </c>
      <c r="H645" s="184">
        <f>ROUND(E645*$D645,0)</f>
        <v>386954</v>
      </c>
      <c r="I645" s="200">
        <f>$I$594</f>
        <v>13.64</v>
      </c>
      <c r="J645" s="187"/>
      <c r="K645" s="184">
        <f>ROUND(I645*$D645,0)</f>
        <v>425650</v>
      </c>
    </row>
    <row r="646" spans="1:11">
      <c r="A646" s="172" t="s">
        <v>258</v>
      </c>
      <c r="B646" s="1"/>
      <c r="C646" s="182">
        <f>3399</f>
        <v>3399</v>
      </c>
      <c r="D646" s="182">
        <v>3090</v>
      </c>
      <c r="E646" s="200">
        <v>9.65</v>
      </c>
      <c r="F646" s="187"/>
      <c r="G646" s="184">
        <f>ROUND(E646*$C646,0)</f>
        <v>32800</v>
      </c>
      <c r="H646" s="184">
        <f>ROUND(E646*$D646,0)</f>
        <v>29819</v>
      </c>
      <c r="I646" s="200">
        <f>$I$595</f>
        <v>10.62</v>
      </c>
      <c r="J646" s="187"/>
      <c r="K646" s="184">
        <f>ROUND(I646*$D646,0)</f>
        <v>32816</v>
      </c>
    </row>
    <row r="647" spans="1:11">
      <c r="A647" s="172" t="s">
        <v>264</v>
      </c>
      <c r="B647" s="1"/>
      <c r="C647" s="182">
        <f>355</f>
        <v>355</v>
      </c>
      <c r="D647" s="182">
        <v>323</v>
      </c>
      <c r="E647" s="200">
        <v>54.45</v>
      </c>
      <c r="F647" s="187"/>
      <c r="G647" s="184">
        <f>ROUND(E647*$C647,0)</f>
        <v>19330</v>
      </c>
      <c r="H647" s="184">
        <f>ROUND(E647*$D647,0)</f>
        <v>17587</v>
      </c>
      <c r="I647" s="200">
        <f>$I$596</f>
        <v>59.61</v>
      </c>
      <c r="J647" s="187"/>
      <c r="K647" s="184">
        <f>ROUND(I647*$D647,0)</f>
        <v>19254</v>
      </c>
    </row>
    <row r="648" spans="1:11">
      <c r="A648" s="172" t="s">
        <v>265</v>
      </c>
      <c r="B648" s="1"/>
      <c r="C648" s="182">
        <f>887</f>
        <v>887</v>
      </c>
      <c r="D648" s="182">
        <v>806</v>
      </c>
      <c r="E648" s="200">
        <v>108.9</v>
      </c>
      <c r="F648" s="187"/>
      <c r="G648" s="184">
        <f>ROUND(E648*$C648,0)</f>
        <v>96594</v>
      </c>
      <c r="H648" s="184">
        <f>ROUND(E648*$D648,0)</f>
        <v>87773</v>
      </c>
      <c r="I648" s="200">
        <f>$I$597</f>
        <v>119.22</v>
      </c>
      <c r="J648" s="187"/>
      <c r="K648" s="184">
        <f>ROUND(I648*$D648,0)</f>
        <v>96091</v>
      </c>
    </row>
    <row r="649" spans="1:11">
      <c r="A649" s="172" t="s">
        <v>266</v>
      </c>
      <c r="B649" s="1"/>
      <c r="C649" s="182"/>
      <c r="D649" s="182"/>
      <c r="E649" s="200"/>
      <c r="F649" s="187"/>
      <c r="G649" s="184"/>
      <c r="H649" s="184"/>
      <c r="I649" s="200"/>
      <c r="J649" s="187"/>
      <c r="K649" s="184"/>
    </row>
    <row r="650" spans="1:11">
      <c r="A650" s="172" t="s">
        <v>261</v>
      </c>
      <c r="B650" s="1"/>
      <c r="C650" s="182">
        <f>510</f>
        <v>510</v>
      </c>
      <c r="D650" s="182">
        <f>ROUND(($D$676/$C$676)*C650,0)</f>
        <v>464</v>
      </c>
      <c r="E650" s="226">
        <f>-E642</f>
        <v>-18.149999999999999</v>
      </c>
      <c r="F650" s="187"/>
      <c r="G650" s="184">
        <f>ROUND(E650*$C650,0)</f>
        <v>-9257</v>
      </c>
      <c r="H650" s="184">
        <f>ROUND(E650*$D650,0)</f>
        <v>-8422</v>
      </c>
      <c r="I650" s="226">
        <f>-I642</f>
        <v>-19.87</v>
      </c>
      <c r="J650" s="187"/>
      <c r="K650" s="184">
        <f>ROUND(I650*$D650,0)</f>
        <v>-9220</v>
      </c>
    </row>
    <row r="651" spans="1:11">
      <c r="A651" s="172" t="s">
        <v>267</v>
      </c>
      <c r="B651" s="1"/>
      <c r="C651" s="182">
        <f>2023</f>
        <v>2023</v>
      </c>
      <c r="D651" s="182">
        <f>ROUND(($D$676/$C$676)*C651,0)</f>
        <v>1839</v>
      </c>
      <c r="E651" s="226">
        <f>-E644</f>
        <v>-18.149999999999999</v>
      </c>
      <c r="F651" s="187"/>
      <c r="G651" s="184">
        <f>ROUND(E651*$C651,0)</f>
        <v>-36717</v>
      </c>
      <c r="H651" s="184">
        <f>ROUND(E651*$D651,0)</f>
        <v>-33378</v>
      </c>
      <c r="I651" s="226">
        <f>-I644</f>
        <v>-19.87</v>
      </c>
      <c r="J651" s="187"/>
      <c r="K651" s="184">
        <f>ROUND(I651*$D651,0)</f>
        <v>-36541</v>
      </c>
    </row>
    <row r="652" spans="1:11">
      <c r="A652" s="186" t="s">
        <v>230</v>
      </c>
      <c r="B652" s="1"/>
      <c r="C652" s="182"/>
      <c r="D652" s="182"/>
      <c r="E652" s="200"/>
      <c r="F652" s="184"/>
      <c r="G652" s="184"/>
      <c r="H652" s="184"/>
      <c r="I652" s="200"/>
      <c r="J652" s="184"/>
      <c r="K652" s="184"/>
    </row>
    <row r="653" spans="1:11">
      <c r="A653" s="172" t="s">
        <v>268</v>
      </c>
      <c r="B653" s="1"/>
      <c r="C653" s="182">
        <f>4946862+75987313+57989268+6739320</f>
        <v>145662763</v>
      </c>
      <c r="D653" s="182">
        <f>ROUND(($D$676/$C$676)*C653,0)</f>
        <v>132402479</v>
      </c>
      <c r="E653" s="245">
        <v>4.9909999999999997</v>
      </c>
      <c r="F653" s="184" t="s">
        <v>178</v>
      </c>
      <c r="G653" s="184">
        <f>ROUND(E653/100*$C653,0)</f>
        <v>7270029</v>
      </c>
      <c r="H653" s="184">
        <f>ROUND(E653/100*$D653,0)</f>
        <v>6608208</v>
      </c>
      <c r="I653" s="245">
        <f>$I$602</f>
        <v>5.3710000000000004</v>
      </c>
      <c r="J653" s="184" t="s">
        <v>178</v>
      </c>
      <c r="K653" s="184">
        <f>ROUND(I653/100*$D653,0)</f>
        <v>7111337</v>
      </c>
    </row>
    <row r="654" spans="1:11">
      <c r="A654" s="186" t="s">
        <v>204</v>
      </c>
      <c r="B654" s="1"/>
      <c r="C654" s="138">
        <f>1187+21863+3555</f>
        <v>26605</v>
      </c>
      <c r="D654" s="182">
        <f>ROUND(($D$676/$C$676)*C654,0)</f>
        <v>24183</v>
      </c>
      <c r="E654" s="202">
        <v>45</v>
      </c>
      <c r="F654" s="186" t="s">
        <v>178</v>
      </c>
      <c r="G654" s="184">
        <f>ROUND(E654*$C654/100,0)</f>
        <v>11972</v>
      </c>
      <c r="H654" s="184">
        <f>ROUND(E654*$D654/100,0)</f>
        <v>10882</v>
      </c>
      <c r="I654" s="202">
        <f>$I$603</f>
        <v>45</v>
      </c>
      <c r="J654" s="186" t="s">
        <v>178</v>
      </c>
      <c r="K654" s="184">
        <f>ROUND(I654*$D654/100,0)</f>
        <v>10882</v>
      </c>
    </row>
    <row r="655" spans="1:11">
      <c r="A655" s="223" t="s">
        <v>205</v>
      </c>
      <c r="B655" s="1"/>
      <c r="C655" s="182"/>
      <c r="D655" s="182"/>
      <c r="E655" s="195">
        <v>-0.01</v>
      </c>
      <c r="F655" s="2"/>
      <c r="G655" s="184"/>
      <c r="H655" s="184"/>
      <c r="I655" s="195">
        <f>$I$604</f>
        <v>-0.01</v>
      </c>
      <c r="J655" s="1"/>
      <c r="K655" s="184"/>
    </row>
    <row r="656" spans="1:11">
      <c r="A656" s="172" t="s">
        <v>194</v>
      </c>
      <c r="B656" s="1"/>
      <c r="C656" s="182">
        <v>0</v>
      </c>
      <c r="D656" s="182">
        <v>0</v>
      </c>
      <c r="E656" s="247">
        <f>E633</f>
        <v>0</v>
      </c>
      <c r="F656" s="187"/>
      <c r="G656" s="184">
        <f>ROUND(E656*$C656*$E$604,0)</f>
        <v>0</v>
      </c>
      <c r="H656" s="184">
        <f>ROUND(E656*$D656*$E$604,0)</f>
        <v>0</v>
      </c>
      <c r="I656" s="247">
        <f>I633</f>
        <v>0</v>
      </c>
      <c r="J656" s="187"/>
      <c r="K656" s="184">
        <f>ROUND(I656*$D656*$E$604,0)</f>
        <v>0</v>
      </c>
    </row>
    <row r="657" spans="1:11">
      <c r="A657" s="172" t="s">
        <v>195</v>
      </c>
      <c r="B657" s="1"/>
      <c r="C657" s="182"/>
      <c r="D657" s="182"/>
      <c r="E657" s="247"/>
      <c r="F657" s="187"/>
      <c r="G657" s="184"/>
      <c r="H657" s="184"/>
      <c r="I657" s="247"/>
      <c r="J657" s="187"/>
      <c r="K657" s="184"/>
    </row>
    <row r="658" spans="1:11">
      <c r="A658" s="172" t="s">
        <v>256</v>
      </c>
      <c r="B658" s="1"/>
      <c r="C658" s="182">
        <v>0</v>
      </c>
      <c r="D658" s="182">
        <v>0</v>
      </c>
      <c r="E658" s="247">
        <f>E635</f>
        <v>0</v>
      </c>
      <c r="F658" s="187"/>
      <c r="G658" s="184">
        <f>ROUND(E658*$C658*$E$604,0)</f>
        <v>0</v>
      </c>
      <c r="H658" s="184">
        <f>ROUND(E658*$D658*$E$604,0)</f>
        <v>0</v>
      </c>
      <c r="I658" s="247">
        <f>I635</f>
        <v>0</v>
      </c>
      <c r="J658" s="187"/>
      <c r="K658" s="184">
        <f>ROUND(I658*$D658*$E$604,0)</f>
        <v>0</v>
      </c>
    </row>
    <row r="659" spans="1:11">
      <c r="A659" s="172" t="s">
        <v>257</v>
      </c>
      <c r="B659" s="1"/>
      <c r="C659" s="182">
        <v>0</v>
      </c>
      <c r="D659" s="182">
        <v>0</v>
      </c>
      <c r="E659" s="247">
        <f>E636</f>
        <v>275</v>
      </c>
      <c r="F659" s="187"/>
      <c r="G659" s="184">
        <f>ROUND(E659*$C659*$E$604,0)</f>
        <v>0</v>
      </c>
      <c r="H659" s="184">
        <f>ROUND(E659*$D659*$E$604,0)</f>
        <v>0</v>
      </c>
      <c r="I659" s="247">
        <f>I636</f>
        <v>301</v>
      </c>
      <c r="J659" s="187"/>
      <c r="K659" s="184">
        <f>ROUND(I659*$D659*$E$604,0)</f>
        <v>0</v>
      </c>
    </row>
    <row r="660" spans="1:11">
      <c r="A660" s="172" t="s">
        <v>258</v>
      </c>
      <c r="B660" s="1"/>
      <c r="C660" s="182">
        <v>0</v>
      </c>
      <c r="D660" s="182">
        <v>0</v>
      </c>
      <c r="E660" s="247">
        <f>E637</f>
        <v>1110</v>
      </c>
      <c r="F660" s="187"/>
      <c r="G660" s="184">
        <f>ROUND(E660*$C660*$E$604,0)</f>
        <v>0</v>
      </c>
      <c r="H660" s="184">
        <f>ROUND(E660*$D660*$E$604,0)</f>
        <v>0</v>
      </c>
      <c r="I660" s="247">
        <f>I637</f>
        <v>1215</v>
      </c>
      <c r="J660" s="187"/>
      <c r="K660" s="184">
        <f>ROUND(I660*$D660*$E$604,0)</f>
        <v>0</v>
      </c>
    </row>
    <row r="661" spans="1:11">
      <c r="A661" s="172" t="s">
        <v>194</v>
      </c>
      <c r="B661" s="1"/>
      <c r="C661" s="182">
        <v>0</v>
      </c>
      <c r="D661" s="182">
        <v>0</v>
      </c>
      <c r="E661" s="247">
        <f>E642</f>
        <v>18.149999999999999</v>
      </c>
      <c r="F661" s="187"/>
      <c r="G661" s="184">
        <f>ROUND(E661*$C661*$E$604,0)</f>
        <v>0</v>
      </c>
      <c r="H661" s="184">
        <f>ROUND(E661*$D661*$E$604,0)</f>
        <v>0</v>
      </c>
      <c r="I661" s="247">
        <f>I642</f>
        <v>19.87</v>
      </c>
      <c r="J661" s="187"/>
      <c r="K661" s="184">
        <f>ROUND(I661*$D661*$E$604,0)</f>
        <v>0</v>
      </c>
    </row>
    <row r="662" spans="1:11">
      <c r="A662" s="172" t="s">
        <v>195</v>
      </c>
      <c r="B662" s="1"/>
      <c r="C662" s="182"/>
      <c r="D662" s="182"/>
      <c r="E662" s="247"/>
      <c r="F662" s="187"/>
      <c r="G662" s="184"/>
      <c r="H662" s="184"/>
      <c r="I662" s="247"/>
      <c r="J662" s="187"/>
      <c r="K662" s="184"/>
    </row>
    <row r="663" spans="1:11">
      <c r="A663" s="172" t="s">
        <v>256</v>
      </c>
      <c r="B663" s="1"/>
      <c r="C663" s="182">
        <v>0</v>
      </c>
      <c r="D663" s="182">
        <f>ROUND(($D$676/$C$676)*C663,0)</f>
        <v>0</v>
      </c>
      <c r="E663" s="247">
        <f>E644</f>
        <v>18.149999999999999</v>
      </c>
      <c r="F663" s="187"/>
      <c r="G663" s="184">
        <f>ROUND(E663*$C663*$E$604,0)</f>
        <v>0</v>
      </c>
      <c r="H663" s="184">
        <f>ROUND(E663*$D663*$E$604,0)</f>
        <v>0</v>
      </c>
      <c r="I663" s="247">
        <f>I644</f>
        <v>19.87</v>
      </c>
      <c r="J663" s="187"/>
      <c r="K663" s="184">
        <f>ROUND(I663*$D663*$E$604,0)</f>
        <v>0</v>
      </c>
    </row>
    <row r="664" spans="1:11">
      <c r="A664" s="172" t="s">
        <v>257</v>
      </c>
      <c r="B664" s="1"/>
      <c r="C664" s="182">
        <v>0</v>
      </c>
      <c r="D664" s="182">
        <f>ROUND(($D$676/$C$676)*C664,0)</f>
        <v>0</v>
      </c>
      <c r="E664" s="247">
        <f>E645</f>
        <v>12.4</v>
      </c>
      <c r="F664" s="187"/>
      <c r="G664" s="184">
        <f>ROUND(E664*$C664*$E$604,0)</f>
        <v>0</v>
      </c>
      <c r="H664" s="184">
        <f>ROUND(E664*$D664*$E$604,0)</f>
        <v>0</v>
      </c>
      <c r="I664" s="247">
        <f>I645</f>
        <v>13.64</v>
      </c>
      <c r="J664" s="187"/>
      <c r="K664" s="184">
        <f>ROUND(I664*$D664*$E$604,0)</f>
        <v>0</v>
      </c>
    </row>
    <row r="665" spans="1:11">
      <c r="A665" s="172" t="s">
        <v>258</v>
      </c>
      <c r="B665" s="1"/>
      <c r="C665" s="182">
        <v>0</v>
      </c>
      <c r="D665" s="182">
        <f>ROUND(($D$676/$C$676)*C665,0)</f>
        <v>0</v>
      </c>
      <c r="E665" s="247">
        <f>E646</f>
        <v>9.65</v>
      </c>
      <c r="F665" s="187"/>
      <c r="G665" s="184">
        <f>ROUND(E665*$C665*$E$604,0)</f>
        <v>0</v>
      </c>
      <c r="H665" s="184">
        <f>ROUND(E665*$D665*$E$604,0)</f>
        <v>0</v>
      </c>
      <c r="I665" s="247">
        <f>I646</f>
        <v>10.62</v>
      </c>
      <c r="J665" s="187"/>
      <c r="K665" s="184">
        <f>ROUND(I665*$D665*$E$604,0)</f>
        <v>0</v>
      </c>
    </row>
    <row r="666" spans="1:11">
      <c r="A666" s="172" t="s">
        <v>269</v>
      </c>
      <c r="B666" s="1"/>
      <c r="C666" s="182">
        <v>0</v>
      </c>
      <c r="D666" s="182">
        <v>0</v>
      </c>
      <c r="E666" s="216">
        <f>E647</f>
        <v>54.45</v>
      </c>
      <c r="F666" s="187"/>
      <c r="G666" s="184">
        <f>ROUND(E666*$C666*$E$604,0)</f>
        <v>0</v>
      </c>
      <c r="H666" s="184">
        <f>ROUND(E666*$D666*$E$604,0)</f>
        <v>0</v>
      </c>
      <c r="I666" s="216">
        <f>I647</f>
        <v>59.61</v>
      </c>
      <c r="J666" s="187"/>
      <c r="K666" s="184">
        <f>ROUND(I666*$D666*$E$604,0)</f>
        <v>0</v>
      </c>
    </row>
    <row r="667" spans="1:11">
      <c r="A667" s="172" t="s">
        <v>270</v>
      </c>
      <c r="B667" s="1"/>
      <c r="C667" s="182">
        <v>0</v>
      </c>
      <c r="D667" s="182">
        <v>0</v>
      </c>
      <c r="E667" s="216">
        <f>E648</f>
        <v>108.9</v>
      </c>
      <c r="F667" s="187"/>
      <c r="G667" s="184">
        <f>ROUND(E667*$C667*$E$604,0)</f>
        <v>0</v>
      </c>
      <c r="H667" s="184">
        <f>ROUND(E667*$D667*$E$604,0)</f>
        <v>0</v>
      </c>
      <c r="I667" s="216">
        <f>I648</f>
        <v>119.22</v>
      </c>
      <c r="J667" s="187"/>
      <c r="K667" s="184">
        <f>ROUND(I667*$D667*$E$604,0)</f>
        <v>0</v>
      </c>
    </row>
    <row r="668" spans="1:11">
      <c r="A668" s="172" t="s">
        <v>266</v>
      </c>
      <c r="B668" s="1"/>
      <c r="C668" s="182"/>
      <c r="D668" s="182"/>
      <c r="E668" s="200"/>
      <c r="F668" s="187"/>
      <c r="G668" s="184"/>
      <c r="H668" s="184"/>
      <c r="I668" s="200"/>
      <c r="J668" s="187"/>
      <c r="K668" s="184"/>
    </row>
    <row r="669" spans="1:11">
      <c r="A669" s="172" t="s">
        <v>261</v>
      </c>
      <c r="B669" s="1"/>
      <c r="C669" s="182">
        <v>0</v>
      </c>
      <c r="D669" s="182">
        <f>ROUND(($D$676/$C$676)*C669,0)</f>
        <v>0</v>
      </c>
      <c r="E669" s="226">
        <f>E650</f>
        <v>-18.149999999999999</v>
      </c>
      <c r="F669" s="187"/>
      <c r="G669" s="184">
        <f>ROUND(E669*$C669*$E$604,0)</f>
        <v>0</v>
      </c>
      <c r="H669" s="184">
        <f>ROUND(E669*$D669*$E$604,0)</f>
        <v>0</v>
      </c>
      <c r="I669" s="226">
        <f>I650</f>
        <v>-19.87</v>
      </c>
      <c r="J669" s="187"/>
      <c r="K669" s="184">
        <f>ROUND(I669*$D669*$E$604,0)</f>
        <v>0</v>
      </c>
    </row>
    <row r="670" spans="1:11">
      <c r="A670" s="172" t="s">
        <v>267</v>
      </c>
      <c r="B670" s="1"/>
      <c r="C670" s="182">
        <v>0</v>
      </c>
      <c r="D670" s="182">
        <f>ROUND(($D$676/$C$676)*C670,0)</f>
        <v>0</v>
      </c>
      <c r="E670" s="226">
        <f>E651</f>
        <v>-18.149999999999999</v>
      </c>
      <c r="F670" s="187"/>
      <c r="G670" s="184">
        <f>ROUND(E670*$C670*$E$604,0)</f>
        <v>0</v>
      </c>
      <c r="H670" s="184">
        <f>ROUND(E670*$D670*$E$604,0)</f>
        <v>0</v>
      </c>
      <c r="I670" s="226">
        <f>I651</f>
        <v>-19.87</v>
      </c>
      <c r="J670" s="187"/>
      <c r="K670" s="184">
        <f>ROUND(I670*$D670*$E$604,0)</f>
        <v>0</v>
      </c>
    </row>
    <row r="671" spans="1:11">
      <c r="A671" s="186" t="s">
        <v>230</v>
      </c>
      <c r="B671" s="1"/>
      <c r="C671" s="182"/>
      <c r="D671" s="182"/>
      <c r="E671" s="247"/>
      <c r="F671" s="184"/>
      <c r="G671" s="184"/>
      <c r="H671" s="184"/>
      <c r="I671" s="247"/>
      <c r="J671" s="184"/>
      <c r="K671" s="184"/>
    </row>
    <row r="672" spans="1:11">
      <c r="A672" s="172" t="s">
        <v>268</v>
      </c>
      <c r="B672" s="1"/>
      <c r="C672" s="182">
        <v>0</v>
      </c>
      <c r="D672" s="182">
        <f>ROUND(($D$676/$C$676)*C672,0)</f>
        <v>0</v>
      </c>
      <c r="E672" s="248">
        <f>E653</f>
        <v>4.9909999999999997</v>
      </c>
      <c r="F672" s="184" t="s">
        <v>178</v>
      </c>
      <c r="G672" s="184">
        <f>ROUND(E672/100*$C672*$E$604,0)</f>
        <v>0</v>
      </c>
      <c r="H672" s="184">
        <f>ROUND(E672/100*$D672*$E$604,0)</f>
        <v>0</v>
      </c>
      <c r="I672" s="248">
        <f>I653</f>
        <v>5.3710000000000004</v>
      </c>
      <c r="J672" s="184" t="s">
        <v>178</v>
      </c>
      <c r="K672" s="184">
        <f>ROUND(I672/100*$D672*$E$604,0)</f>
        <v>0</v>
      </c>
    </row>
    <row r="673" spans="1:15">
      <c r="A673" s="186" t="s">
        <v>204</v>
      </c>
      <c r="B673" s="1"/>
      <c r="C673" s="182">
        <v>0</v>
      </c>
      <c r="D673" s="182">
        <f>ROUND(($D$676/$C$676)*C673,0)</f>
        <v>0</v>
      </c>
      <c r="E673" s="238">
        <f>E654</f>
        <v>45</v>
      </c>
      <c r="F673" s="184" t="s">
        <v>178</v>
      </c>
      <c r="G673" s="184">
        <f>ROUND(E673/100*$C673*$E$604,0)</f>
        <v>0</v>
      </c>
      <c r="H673" s="184">
        <f>ROUND(E673/100*$D673*$E$604,0)</f>
        <v>0</v>
      </c>
      <c r="I673" s="238">
        <f>I654</f>
        <v>45</v>
      </c>
      <c r="J673" s="186" t="s">
        <v>178</v>
      </c>
      <c r="K673" s="184">
        <f>ROUND(I673/100*$D673*$E$604,0)</f>
        <v>0</v>
      </c>
    </row>
    <row r="674" spans="1:15">
      <c r="A674" s="186" t="s">
        <v>247</v>
      </c>
      <c r="B674" s="1"/>
      <c r="C674" s="182">
        <v>0</v>
      </c>
      <c r="D674" s="182">
        <v>0</v>
      </c>
      <c r="E674" s="161">
        <v>60</v>
      </c>
      <c r="F674" s="227" t="s">
        <v>13</v>
      </c>
      <c r="G674" s="184">
        <f>ROUND(E674*$C674,0)</f>
        <v>0</v>
      </c>
      <c r="H674" s="184">
        <f>ROUND(E674*$D674,0)</f>
        <v>0</v>
      </c>
      <c r="I674" s="161">
        <f>$I$623</f>
        <v>60</v>
      </c>
      <c r="J674" s="1"/>
      <c r="K674" s="184">
        <f>ROUND(I674*$D674,0)</f>
        <v>0</v>
      </c>
    </row>
    <row r="675" spans="1:15">
      <c r="A675" s="186" t="s">
        <v>248</v>
      </c>
      <c r="B675" s="1"/>
      <c r="C675" s="182">
        <v>0</v>
      </c>
      <c r="D675" s="182">
        <f>ROUND(($D$676/$C$676)*C675,0)</f>
        <v>0</v>
      </c>
      <c r="E675" s="202">
        <v>-30</v>
      </c>
      <c r="F675" s="184" t="s">
        <v>178</v>
      </c>
      <c r="G675" s="184">
        <f>ROUND(E675*$C675,0)</f>
        <v>0</v>
      </c>
      <c r="H675" s="184">
        <f>ROUND(E675*$D675,0)</f>
        <v>0</v>
      </c>
      <c r="I675" s="202">
        <f>$I$624</f>
        <v>-30</v>
      </c>
      <c r="J675" s="184" t="s">
        <v>178</v>
      </c>
      <c r="K675" s="184">
        <f>ROUND(I675*$D675,0)</f>
        <v>0</v>
      </c>
    </row>
    <row r="676" spans="1:15">
      <c r="A676" s="1" t="s">
        <v>185</v>
      </c>
      <c r="B676" s="1"/>
      <c r="C676" s="182">
        <f>SUM(C653:C653)</f>
        <v>145662763</v>
      </c>
      <c r="D676" s="182">
        <v>132402479.40697747</v>
      </c>
      <c r="E676" s="193"/>
      <c r="F676" s="2"/>
      <c r="G676" s="2">
        <f>SUM(G633:G675)</f>
        <v>8839304</v>
      </c>
      <c r="H676" s="2">
        <f>SUM(H633:H675)</f>
        <v>8044365</v>
      </c>
      <c r="I676" s="193"/>
      <c r="J676" s="186"/>
      <c r="K676" s="2">
        <f>SUM(K633:K675)</f>
        <v>8684736</v>
      </c>
    </row>
    <row r="677" spans="1:15">
      <c r="A677" s="1" t="s">
        <v>167</v>
      </c>
      <c r="B677" s="1"/>
      <c r="C677" s="212">
        <v>2620112.272300011</v>
      </c>
      <c r="D677" s="212">
        <v>0</v>
      </c>
      <c r="E677" s="172"/>
      <c r="F677" s="172"/>
      <c r="G677" s="173">
        <v>110373.78308932934</v>
      </c>
      <c r="H677" s="173">
        <v>0</v>
      </c>
      <c r="I677" s="172"/>
      <c r="J677" s="172"/>
      <c r="K677" s="173">
        <v>0</v>
      </c>
      <c r="M677" s="152"/>
      <c r="N677" s="152"/>
      <c r="O677" s="153"/>
    </row>
    <row r="678" spans="1:15" ht="16.5" thickBot="1">
      <c r="A678" s="1" t="s">
        <v>186</v>
      </c>
      <c r="B678" s="1"/>
      <c r="C678" s="229">
        <f>SUM(C676:C677)</f>
        <v>148282875.2723</v>
      </c>
      <c r="D678" s="229">
        <f>SUM(D676:D677)</f>
        <v>132402479.40697747</v>
      </c>
      <c r="E678" s="205"/>
      <c r="F678" s="206"/>
      <c r="G678" s="207">
        <f>G676+G677</f>
        <v>8949677.7830893286</v>
      </c>
      <c r="H678" s="207">
        <f>H676+H677</f>
        <v>8044365</v>
      </c>
      <c r="I678" s="205"/>
      <c r="J678" s="208"/>
      <c r="K678" s="207">
        <f>K676+K677</f>
        <v>8684736</v>
      </c>
      <c r="M678" s="154"/>
      <c r="N678" s="154"/>
      <c r="O678" s="155"/>
    </row>
    <row r="679" spans="1:15" ht="16.5" thickTop="1">
      <c r="A679" s="1"/>
      <c r="B679" s="1"/>
      <c r="C679" s="16"/>
      <c r="D679" s="16"/>
      <c r="E679" s="214"/>
      <c r="F679" s="215"/>
      <c r="G679" s="185"/>
      <c r="H679" s="185"/>
      <c r="I679" s="249" t="s">
        <v>13</v>
      </c>
      <c r="J679" s="14"/>
      <c r="K679" s="135" t="s">
        <v>13</v>
      </c>
    </row>
    <row r="680" spans="1:15">
      <c r="A680" s="156" t="s">
        <v>271</v>
      </c>
      <c r="B680" s="1"/>
      <c r="C680" s="12"/>
      <c r="D680" s="12"/>
      <c r="E680" s="200"/>
      <c r="F680" s="2"/>
      <c r="G680" s="2"/>
      <c r="H680" s="2"/>
      <c r="I680" s="200"/>
      <c r="J680" s="1"/>
      <c r="K680" s="2"/>
    </row>
    <row r="681" spans="1:15">
      <c r="A681" s="172" t="s">
        <v>272</v>
      </c>
      <c r="B681" s="1"/>
      <c r="C681" s="12"/>
      <c r="D681" s="12"/>
      <c r="E681" s="200"/>
      <c r="F681" s="2"/>
      <c r="G681" s="2"/>
      <c r="H681" s="2"/>
      <c r="I681" s="200"/>
      <c r="J681" s="1"/>
      <c r="K681" s="2"/>
    </row>
    <row r="682" spans="1:15">
      <c r="A682" s="186"/>
      <c r="B682" s="1"/>
      <c r="C682" s="12"/>
      <c r="D682" s="12"/>
      <c r="E682" s="200"/>
      <c r="F682" s="2"/>
      <c r="G682" s="243"/>
      <c r="H682" s="243"/>
      <c r="I682" s="200"/>
      <c r="J682" s="1"/>
      <c r="K682" s="244"/>
    </row>
    <row r="683" spans="1:15">
      <c r="A683" s="172" t="s">
        <v>253</v>
      </c>
      <c r="B683" s="1"/>
      <c r="C683" s="182"/>
      <c r="D683" s="182"/>
      <c r="E683" s="2" t="s">
        <v>13</v>
      </c>
      <c r="F683" s="2"/>
      <c r="G683" s="1"/>
      <c r="H683" s="1"/>
      <c r="I683" s="2" t="s">
        <v>13</v>
      </c>
      <c r="J683" s="1"/>
      <c r="K683" s="1"/>
    </row>
    <row r="684" spans="1:15">
      <c r="A684" s="172" t="s">
        <v>254</v>
      </c>
      <c r="B684" s="1"/>
      <c r="C684" s="182">
        <v>151</v>
      </c>
      <c r="D684" s="182">
        <v>161</v>
      </c>
      <c r="E684" s="200">
        <v>0</v>
      </c>
      <c r="F684" s="187"/>
      <c r="G684" s="184">
        <f>ROUND(E684*$C684,0)</f>
        <v>0</v>
      </c>
      <c r="H684" s="184">
        <f>ROUND(E684*$D684,0)</f>
        <v>0</v>
      </c>
      <c r="I684" s="200">
        <f>$I$582</f>
        <v>0</v>
      </c>
      <c r="J684" s="187"/>
      <c r="K684" s="184">
        <f>ROUND(I684*$D684,0)</f>
        <v>0</v>
      </c>
    </row>
    <row r="685" spans="1:15">
      <c r="A685" s="172" t="s">
        <v>255</v>
      </c>
      <c r="B685" s="1"/>
      <c r="C685" s="182"/>
      <c r="D685" s="182"/>
      <c r="E685" s="200"/>
      <c r="F685" s="187"/>
      <c r="G685" s="184"/>
      <c r="H685" s="184"/>
      <c r="I685" s="200"/>
      <c r="J685" s="187"/>
      <c r="K685" s="184"/>
    </row>
    <row r="686" spans="1:15">
      <c r="A686" s="172" t="s">
        <v>256</v>
      </c>
      <c r="B686" s="1"/>
      <c r="C686" s="182">
        <f>1+378</f>
        <v>379</v>
      </c>
      <c r="D686" s="182">
        <v>404</v>
      </c>
      <c r="E686" s="200">
        <v>0</v>
      </c>
      <c r="F686" s="187"/>
      <c r="G686" s="184">
        <f>ROUND(E686*$C686,0)</f>
        <v>0</v>
      </c>
      <c r="H686" s="184">
        <f>ROUND(E686*$D686,0)</f>
        <v>0</v>
      </c>
      <c r="I686" s="200">
        <f>$I$584</f>
        <v>0</v>
      </c>
      <c r="J686" s="187"/>
      <c r="K686" s="184">
        <f>ROUND(I686*$D686,0)</f>
        <v>0</v>
      </c>
    </row>
    <row r="687" spans="1:15">
      <c r="A687" s="172" t="s">
        <v>257</v>
      </c>
      <c r="B687" s="1"/>
      <c r="C687" s="182">
        <f>38</f>
        <v>38</v>
      </c>
      <c r="D687" s="182">
        <v>41</v>
      </c>
      <c r="E687" s="200">
        <v>275</v>
      </c>
      <c r="F687" s="187"/>
      <c r="G687" s="184">
        <f>ROUND(E687*$C687,0)</f>
        <v>10450</v>
      </c>
      <c r="H687" s="184">
        <f>ROUND(E687*$D687,0)</f>
        <v>11275</v>
      </c>
      <c r="I687" s="200">
        <f>$I$585</f>
        <v>301</v>
      </c>
      <c r="J687" s="187"/>
      <c r="K687" s="184">
        <f>ROUND(I687*$D687,0)</f>
        <v>12341</v>
      </c>
    </row>
    <row r="688" spans="1:15">
      <c r="A688" s="172" t="s">
        <v>258</v>
      </c>
      <c r="B688" s="1"/>
      <c r="C688" s="182">
        <f>3</f>
        <v>3</v>
      </c>
      <c r="D688" s="182">
        <v>3</v>
      </c>
      <c r="E688" s="200">
        <v>1110</v>
      </c>
      <c r="F688" s="187"/>
      <c r="G688" s="184">
        <f>ROUND(E688*$C688,0)</f>
        <v>3330</v>
      </c>
      <c r="H688" s="184">
        <f>ROUND(E688*$D688,0)</f>
        <v>3330</v>
      </c>
      <c r="I688" s="200">
        <f>$I$586</f>
        <v>1215</v>
      </c>
      <c r="J688" s="187"/>
      <c r="K688" s="184">
        <f>ROUND(I688*$D688,0)</f>
        <v>3645</v>
      </c>
    </row>
    <row r="689" spans="1:11">
      <c r="A689" s="172" t="s">
        <v>166</v>
      </c>
      <c r="B689" s="1"/>
      <c r="C689" s="182">
        <f>SUM(C684:C688)</f>
        <v>571</v>
      </c>
      <c r="D689" s="182">
        <v>608.93144040394361</v>
      </c>
      <c r="E689" s="200"/>
      <c r="F689" s="187"/>
      <c r="G689" s="184"/>
      <c r="H689" s="184"/>
      <c r="I689" s="200"/>
      <c r="J689" s="187"/>
      <c r="K689" s="184"/>
    </row>
    <row r="690" spans="1:11">
      <c r="A690" s="172" t="s">
        <v>259</v>
      </c>
      <c r="B690" s="1"/>
      <c r="C690" s="182">
        <f>5+7+1001+2657+283+20</f>
        <v>3973</v>
      </c>
      <c r="D690" s="182">
        <v>4237</v>
      </c>
      <c r="E690" s="200"/>
      <c r="F690" s="184"/>
      <c r="G690" s="184"/>
      <c r="H690" s="184"/>
      <c r="I690" s="200"/>
      <c r="J690" s="184"/>
      <c r="K690" s="184"/>
    </row>
    <row r="691" spans="1:11">
      <c r="A691" s="172" t="s">
        <v>24</v>
      </c>
      <c r="B691" s="1"/>
      <c r="C691" s="182">
        <f>1+1+167+421+39+3</f>
        <v>632</v>
      </c>
      <c r="D691" s="182">
        <v>674</v>
      </c>
      <c r="E691" s="200"/>
      <c r="F691" s="184"/>
      <c r="G691" s="184"/>
      <c r="H691" s="184"/>
      <c r="I691" s="200"/>
      <c r="J691" s="184"/>
      <c r="K691" s="184"/>
    </row>
    <row r="692" spans="1:11">
      <c r="A692" s="172" t="s">
        <v>260</v>
      </c>
      <c r="B692" s="1"/>
      <c r="C692" s="182"/>
      <c r="D692" s="182"/>
      <c r="E692" s="200"/>
      <c r="F692" s="187"/>
      <c r="G692" s="184"/>
      <c r="H692" s="184"/>
      <c r="I692" s="200"/>
      <c r="J692" s="187"/>
      <c r="K692" s="184"/>
    </row>
    <row r="693" spans="1:11">
      <c r="A693" s="172" t="s">
        <v>261</v>
      </c>
      <c r="B693" s="1"/>
      <c r="C693" s="182">
        <f>816</f>
        <v>816</v>
      </c>
      <c r="D693" s="182">
        <f>ROUND(($D$727/$C$727)*C693,0)</f>
        <v>787</v>
      </c>
      <c r="E693" s="200">
        <v>18.149999999999999</v>
      </c>
      <c r="F693" s="187"/>
      <c r="G693" s="184">
        <f>ROUND(E693*$C693,0)</f>
        <v>14810</v>
      </c>
      <c r="H693" s="184">
        <f>ROUND(E693*$D693,0)</f>
        <v>14284</v>
      </c>
      <c r="I693" s="200">
        <f>$I$591</f>
        <v>19.87</v>
      </c>
      <c r="J693" s="187"/>
      <c r="K693" s="184">
        <f>ROUND(I693*$D693,0)</f>
        <v>15638</v>
      </c>
    </row>
    <row r="694" spans="1:11">
      <c r="A694" s="172" t="s">
        <v>262</v>
      </c>
      <c r="B694" s="1"/>
      <c r="C694" s="182"/>
      <c r="D694" s="182"/>
      <c r="E694" s="200"/>
      <c r="F694" s="187"/>
      <c r="G694" s="184"/>
      <c r="H694" s="184"/>
      <c r="I694" s="200"/>
      <c r="J694" s="187"/>
      <c r="K694" s="184"/>
    </row>
    <row r="695" spans="1:11">
      <c r="A695" s="172" t="s">
        <v>256</v>
      </c>
      <c r="B695" s="1"/>
      <c r="C695" s="182">
        <f>6061+40</f>
        <v>6101</v>
      </c>
      <c r="D695" s="182">
        <f>ROUND(($D$727/$C$727)*C695,0)</f>
        <v>5884</v>
      </c>
      <c r="E695" s="200">
        <v>18.149999999999999</v>
      </c>
      <c r="F695" s="187"/>
      <c r="G695" s="184">
        <f>ROUND(E695*$C695,0)</f>
        <v>110733</v>
      </c>
      <c r="H695" s="184">
        <f>ROUND(E695*$D695,0)</f>
        <v>106795</v>
      </c>
      <c r="I695" s="200">
        <f>$I$593</f>
        <v>19.87</v>
      </c>
      <c r="J695" s="187"/>
      <c r="K695" s="184">
        <f>ROUND(I695*$D695,0)</f>
        <v>116915</v>
      </c>
    </row>
    <row r="696" spans="1:11">
      <c r="A696" s="172" t="s">
        <v>257</v>
      </c>
      <c r="B696" s="1"/>
      <c r="C696" s="182">
        <f>3661</f>
        <v>3661</v>
      </c>
      <c r="D696" s="182">
        <f>ROUND(($D$727/$C$727)*C696,0)</f>
        <v>3531</v>
      </c>
      <c r="E696" s="200">
        <v>12.4</v>
      </c>
      <c r="F696" s="187"/>
      <c r="G696" s="184">
        <f>ROUND(E696*$C696,0)</f>
        <v>45396</v>
      </c>
      <c r="H696" s="184">
        <f>ROUND(E696*$D696,0)</f>
        <v>43784</v>
      </c>
      <c r="I696" s="200">
        <f>$I$594</f>
        <v>13.64</v>
      </c>
      <c r="J696" s="187"/>
      <c r="K696" s="184">
        <f>ROUND(I696*$D696,0)</f>
        <v>48163</v>
      </c>
    </row>
    <row r="697" spans="1:11">
      <c r="A697" s="172" t="s">
        <v>258</v>
      </c>
      <c r="B697" s="1"/>
      <c r="C697" s="182">
        <f>1235</f>
        <v>1235</v>
      </c>
      <c r="D697" s="182">
        <f>ROUND(($D$727/$C$727)*C697,0)</f>
        <v>1191</v>
      </c>
      <c r="E697" s="200">
        <v>9.65</v>
      </c>
      <c r="F697" s="187"/>
      <c r="G697" s="184">
        <f>ROUND(E697*$C697,0)</f>
        <v>11918</v>
      </c>
      <c r="H697" s="184">
        <f>ROUND(E697*$D697,0)</f>
        <v>11493</v>
      </c>
      <c r="I697" s="200">
        <f>$I$595</f>
        <v>10.62</v>
      </c>
      <c r="J697" s="187"/>
      <c r="K697" s="184">
        <f>ROUND(I697*$D697,0)</f>
        <v>12648</v>
      </c>
    </row>
    <row r="698" spans="1:11">
      <c r="A698" s="172" t="s">
        <v>264</v>
      </c>
      <c r="B698" s="1"/>
      <c r="C698" s="182">
        <f>47</f>
        <v>47</v>
      </c>
      <c r="D698" s="182">
        <v>45</v>
      </c>
      <c r="E698" s="200">
        <v>54.45</v>
      </c>
      <c r="F698" s="187"/>
      <c r="G698" s="184">
        <f>ROUND(E698*$C698,0)</f>
        <v>2559</v>
      </c>
      <c r="H698" s="184">
        <f>ROUND(E698*$D698,0)</f>
        <v>2450</v>
      </c>
      <c r="I698" s="200">
        <f>$I$596</f>
        <v>59.61</v>
      </c>
      <c r="J698" s="187"/>
      <c r="K698" s="184">
        <f>ROUND(I698*$D698,0)</f>
        <v>2682</v>
      </c>
    </row>
    <row r="699" spans="1:11">
      <c r="A699" s="172" t="s">
        <v>265</v>
      </c>
      <c r="B699" s="1"/>
      <c r="C699" s="182">
        <f>73</f>
        <v>73</v>
      </c>
      <c r="D699" s="182">
        <v>70</v>
      </c>
      <c r="E699" s="200">
        <v>108.9</v>
      </c>
      <c r="F699" s="187"/>
      <c r="G699" s="184">
        <f>ROUND(E699*$C699,0)</f>
        <v>7950</v>
      </c>
      <c r="H699" s="184">
        <f>ROUND(E699*$D699,0)</f>
        <v>7623</v>
      </c>
      <c r="I699" s="200">
        <f>$I$597</f>
        <v>119.22</v>
      </c>
      <c r="J699" s="187"/>
      <c r="K699" s="184">
        <f>ROUND(I699*$D699,0)</f>
        <v>8345</v>
      </c>
    </row>
    <row r="700" spans="1:11">
      <c r="A700" s="172" t="s">
        <v>266</v>
      </c>
      <c r="B700" s="1"/>
      <c r="C700" s="182"/>
      <c r="D700" s="182"/>
      <c r="E700" s="200"/>
      <c r="F700" s="187"/>
      <c r="G700" s="184"/>
      <c r="H700" s="184"/>
      <c r="I700" s="200"/>
      <c r="J700" s="187"/>
      <c r="K700" s="184"/>
    </row>
    <row r="701" spans="1:11">
      <c r="A701" s="172" t="s">
        <v>261</v>
      </c>
      <c r="B701" s="1"/>
      <c r="C701" s="182">
        <f>56</f>
        <v>56</v>
      </c>
      <c r="D701" s="182">
        <f>ROUND(($D$727/$C$727)*C701,0)</f>
        <v>54</v>
      </c>
      <c r="E701" s="226">
        <f>-E693</f>
        <v>-18.149999999999999</v>
      </c>
      <c r="F701" s="187"/>
      <c r="G701" s="184">
        <f>ROUND(E701*$C701,0)</f>
        <v>-1016</v>
      </c>
      <c r="H701" s="184">
        <f>ROUND(E701*$D701,0)</f>
        <v>-980</v>
      </c>
      <c r="I701" s="226">
        <f>-I693</f>
        <v>-19.87</v>
      </c>
      <c r="J701" s="187"/>
      <c r="K701" s="184">
        <f>ROUND(I701*$D701,0)</f>
        <v>-1073</v>
      </c>
    </row>
    <row r="702" spans="1:11">
      <c r="A702" s="172" t="s">
        <v>267</v>
      </c>
      <c r="B702" s="1"/>
      <c r="C702" s="182">
        <f>171</f>
        <v>171</v>
      </c>
      <c r="D702" s="182">
        <f>ROUND(($D$727/$C$727)*C702,0)</f>
        <v>165</v>
      </c>
      <c r="E702" s="226">
        <f>-E695</f>
        <v>-18.149999999999999</v>
      </c>
      <c r="F702" s="187"/>
      <c r="G702" s="184">
        <f>ROUND(E702*$C702,0)</f>
        <v>-3104</v>
      </c>
      <c r="H702" s="184">
        <f>ROUND(E702*$D702,0)</f>
        <v>-2995</v>
      </c>
      <c r="I702" s="226">
        <f>-I695</f>
        <v>-19.87</v>
      </c>
      <c r="J702" s="187"/>
      <c r="K702" s="184">
        <f>ROUND(I702*$D702,0)</f>
        <v>-3279</v>
      </c>
    </row>
    <row r="703" spans="1:11">
      <c r="A703" s="186" t="s">
        <v>230</v>
      </c>
      <c r="B703" s="1"/>
      <c r="C703" s="182"/>
      <c r="D703" s="182"/>
      <c r="E703" s="200"/>
      <c r="F703" s="184"/>
      <c r="G703" s="184"/>
      <c r="H703" s="184"/>
      <c r="I703" s="200"/>
      <c r="J703" s="184"/>
      <c r="K703" s="184"/>
    </row>
    <row r="704" spans="1:11">
      <c r="A704" s="172" t="s">
        <v>268</v>
      </c>
      <c r="B704" s="1"/>
      <c r="C704" s="182">
        <f>38079+1034717+10521120+5534245+2275120</f>
        <v>19403281</v>
      </c>
      <c r="D704" s="182">
        <f>ROUND(($D$727/$C$727)*C704,0)</f>
        <v>18714383</v>
      </c>
      <c r="E704" s="245">
        <v>4.9909999999999997</v>
      </c>
      <c r="F704" s="184" t="s">
        <v>178</v>
      </c>
      <c r="G704" s="184">
        <f>ROUND(E704/100*$C704,0)</f>
        <v>968418</v>
      </c>
      <c r="H704" s="184">
        <f>ROUND(E704/100*$D704,0)</f>
        <v>934035</v>
      </c>
      <c r="I704" s="245">
        <f>$I$602</f>
        <v>5.3710000000000004</v>
      </c>
      <c r="J704" s="184" t="s">
        <v>178</v>
      </c>
      <c r="K704" s="184">
        <f>ROUND(I704/100*$D704,0)</f>
        <v>1005150</v>
      </c>
    </row>
    <row r="705" spans="1:11">
      <c r="A705" s="186" t="s">
        <v>204</v>
      </c>
      <c r="B705" s="1"/>
      <c r="C705" s="182">
        <f>52+1904+219</f>
        <v>2175</v>
      </c>
      <c r="D705" s="182">
        <f>ROUND(($D$727/$C$727)*C705,0)</f>
        <v>2098</v>
      </c>
      <c r="E705" s="202">
        <v>45</v>
      </c>
      <c r="F705" s="186" t="s">
        <v>178</v>
      </c>
      <c r="G705" s="184">
        <f>ROUND(E705*$C705/100,0)</f>
        <v>979</v>
      </c>
      <c r="H705" s="184">
        <f>ROUND(E705*$D705/100,0)</f>
        <v>944</v>
      </c>
      <c r="I705" s="202">
        <f>$I$603</f>
        <v>45</v>
      </c>
      <c r="J705" s="186" t="s">
        <v>178</v>
      </c>
      <c r="K705" s="184">
        <f>ROUND(I705*$D705/100,0)</f>
        <v>944</v>
      </c>
    </row>
    <row r="706" spans="1:11">
      <c r="A706" s="223" t="s">
        <v>205</v>
      </c>
      <c r="B706" s="1"/>
      <c r="C706" s="182"/>
      <c r="D706" s="182"/>
      <c r="E706" s="195">
        <v>-0.01</v>
      </c>
      <c r="F706" s="2"/>
      <c r="G706" s="184"/>
      <c r="H706" s="184"/>
      <c r="I706" s="195">
        <f>$I$604</f>
        <v>-0.01</v>
      </c>
      <c r="J706" s="1"/>
      <c r="K706" s="184"/>
    </row>
    <row r="707" spans="1:11">
      <c r="A707" s="172" t="s">
        <v>194</v>
      </c>
      <c r="B707" s="1"/>
      <c r="C707" s="182">
        <v>0</v>
      </c>
      <c r="D707" s="182">
        <v>0</v>
      </c>
      <c r="E707" s="247">
        <f>E684</f>
        <v>0</v>
      </c>
      <c r="F707" s="187"/>
      <c r="G707" s="184">
        <f>ROUND(E707*$C707*$E$604,0)</f>
        <v>0</v>
      </c>
      <c r="H707" s="184">
        <f>ROUND(E707*$D707*$E$604,0)</f>
        <v>0</v>
      </c>
      <c r="I707" s="247">
        <f>I684</f>
        <v>0</v>
      </c>
      <c r="J707" s="187"/>
      <c r="K707" s="184">
        <f>ROUND(I707*$D707*$E$604,0)</f>
        <v>0</v>
      </c>
    </row>
    <row r="708" spans="1:11">
      <c r="A708" s="172" t="s">
        <v>195</v>
      </c>
      <c r="B708" s="1"/>
      <c r="C708" s="182"/>
      <c r="D708" s="182"/>
      <c r="E708" s="247"/>
      <c r="F708" s="187"/>
      <c r="G708" s="184"/>
      <c r="H708" s="184"/>
      <c r="I708" s="247"/>
      <c r="J708" s="187"/>
      <c r="K708" s="184"/>
    </row>
    <row r="709" spans="1:11">
      <c r="A709" s="172" t="s">
        <v>256</v>
      </c>
      <c r="B709" s="1"/>
      <c r="C709" s="182">
        <v>1</v>
      </c>
      <c r="D709" s="182">
        <v>1</v>
      </c>
      <c r="E709" s="247">
        <f>E686</f>
        <v>0</v>
      </c>
      <c r="F709" s="187"/>
      <c r="G709" s="184">
        <f>ROUND(E709*$C709*$E$604,0)</f>
        <v>0</v>
      </c>
      <c r="H709" s="184">
        <f>ROUND(E709*$D709*$E$604,0)</f>
        <v>0</v>
      </c>
      <c r="I709" s="247">
        <f>I686</f>
        <v>0</v>
      </c>
      <c r="J709" s="187"/>
      <c r="K709" s="184">
        <f>ROUND(I709*$D709*$E$604,0)</f>
        <v>0</v>
      </c>
    </row>
    <row r="710" spans="1:11">
      <c r="A710" s="172" t="s">
        <v>257</v>
      </c>
      <c r="B710" s="1"/>
      <c r="C710" s="182">
        <v>0</v>
      </c>
      <c r="D710" s="182">
        <v>0</v>
      </c>
      <c r="E710" s="247">
        <f>E687</f>
        <v>275</v>
      </c>
      <c r="F710" s="187"/>
      <c r="G710" s="184">
        <f>ROUND(E710*$C710*$E$604,0)</f>
        <v>0</v>
      </c>
      <c r="H710" s="184">
        <f>ROUND(E710*$D710*$E$604,0)</f>
        <v>0</v>
      </c>
      <c r="I710" s="247">
        <f>I687</f>
        <v>301</v>
      </c>
      <c r="J710" s="187"/>
      <c r="K710" s="184">
        <f>ROUND(I710*$D710*$E$604,0)</f>
        <v>0</v>
      </c>
    </row>
    <row r="711" spans="1:11">
      <c r="A711" s="172" t="s">
        <v>258</v>
      </c>
      <c r="B711" s="1"/>
      <c r="C711" s="182">
        <v>0</v>
      </c>
      <c r="D711" s="182">
        <v>0</v>
      </c>
      <c r="E711" s="247">
        <f>E688</f>
        <v>1110</v>
      </c>
      <c r="F711" s="187"/>
      <c r="G711" s="184">
        <f>ROUND(E711*$C711*$E$604,0)</f>
        <v>0</v>
      </c>
      <c r="H711" s="184">
        <f>ROUND(E711*$D711*$E$604,0)</f>
        <v>0</v>
      </c>
      <c r="I711" s="247">
        <f>I688</f>
        <v>1215</v>
      </c>
      <c r="J711" s="187"/>
      <c r="K711" s="184">
        <f>ROUND(I711*$D711*$E$604,0)</f>
        <v>0</v>
      </c>
    </row>
    <row r="712" spans="1:11">
      <c r="A712" s="172" t="s">
        <v>194</v>
      </c>
      <c r="B712" s="1"/>
      <c r="C712" s="182">
        <v>0</v>
      </c>
      <c r="D712" s="182">
        <f>ROUND(($D$727/$C$727)*C712,0)</f>
        <v>0</v>
      </c>
      <c r="E712" s="247">
        <f>E693</f>
        <v>18.149999999999999</v>
      </c>
      <c r="F712" s="187"/>
      <c r="G712" s="184">
        <f>ROUND(E712*$C712*$E$604,0)</f>
        <v>0</v>
      </c>
      <c r="H712" s="184">
        <f>ROUND(E712*$D712*$E$604,0)</f>
        <v>0</v>
      </c>
      <c r="I712" s="247">
        <f>I693</f>
        <v>19.87</v>
      </c>
      <c r="J712" s="187"/>
      <c r="K712" s="184">
        <f>ROUND(I712*$D712*$E$604,0)</f>
        <v>0</v>
      </c>
    </row>
    <row r="713" spans="1:11">
      <c r="A713" s="172" t="s">
        <v>195</v>
      </c>
      <c r="B713" s="1"/>
      <c r="C713" s="182"/>
      <c r="D713" s="182"/>
      <c r="E713" s="247"/>
      <c r="F713" s="187"/>
      <c r="G713" s="184"/>
      <c r="H713" s="184"/>
      <c r="I713" s="247"/>
      <c r="J713" s="187"/>
      <c r="K713" s="184"/>
    </row>
    <row r="714" spans="1:11">
      <c r="A714" s="172" t="s">
        <v>256</v>
      </c>
      <c r="B714" s="1"/>
      <c r="C714" s="182">
        <v>40</v>
      </c>
      <c r="D714" s="182">
        <f>ROUND(($D$727/$C$727)*C714,0)</f>
        <v>39</v>
      </c>
      <c r="E714" s="247">
        <f>E695</f>
        <v>18.149999999999999</v>
      </c>
      <c r="F714" s="187"/>
      <c r="G714" s="184">
        <f>ROUND(E714*$C714*$E$604,0)</f>
        <v>-7</v>
      </c>
      <c r="H714" s="184">
        <f>ROUND(E714*$D714*$E$604,0)</f>
        <v>-7</v>
      </c>
      <c r="I714" s="247">
        <f>I695</f>
        <v>19.87</v>
      </c>
      <c r="J714" s="187"/>
      <c r="K714" s="184">
        <f>ROUND(I714*$D714*$E$604,0)</f>
        <v>-8</v>
      </c>
    </row>
    <row r="715" spans="1:11">
      <c r="A715" s="172" t="s">
        <v>257</v>
      </c>
      <c r="B715" s="1"/>
      <c r="C715" s="182">
        <v>0</v>
      </c>
      <c r="D715" s="182">
        <f>ROUND(($D$727/$C$727)*C715,0)</f>
        <v>0</v>
      </c>
      <c r="E715" s="247">
        <f>E696</f>
        <v>12.4</v>
      </c>
      <c r="F715" s="187"/>
      <c r="G715" s="184">
        <f>ROUND(E715*$C715*$E$604,0)</f>
        <v>0</v>
      </c>
      <c r="H715" s="184">
        <f>ROUND(E715*$D715*$E$604,0)</f>
        <v>0</v>
      </c>
      <c r="I715" s="247">
        <f>I696</f>
        <v>13.64</v>
      </c>
      <c r="J715" s="187"/>
      <c r="K715" s="184">
        <f>ROUND(I715*$D715*$E$604,0)</f>
        <v>0</v>
      </c>
    </row>
    <row r="716" spans="1:11">
      <c r="A716" s="172" t="s">
        <v>258</v>
      </c>
      <c r="B716" s="1"/>
      <c r="C716" s="182">
        <v>0</v>
      </c>
      <c r="D716" s="182">
        <f>ROUND(($D$727/$C$727)*C716,0)</f>
        <v>0</v>
      </c>
      <c r="E716" s="247">
        <f>E697</f>
        <v>9.65</v>
      </c>
      <c r="F716" s="187"/>
      <c r="G716" s="184">
        <f>ROUND(E716*$C716*$E$604,0)</f>
        <v>0</v>
      </c>
      <c r="H716" s="184">
        <f>ROUND(E716*$D716*$E$604,0)</f>
        <v>0</v>
      </c>
      <c r="I716" s="247">
        <f>I697</f>
        <v>10.62</v>
      </c>
      <c r="J716" s="187"/>
      <c r="K716" s="184">
        <f>ROUND(I716*$D716*$E$604,0)</f>
        <v>0</v>
      </c>
    </row>
    <row r="717" spans="1:11">
      <c r="A717" s="172" t="s">
        <v>269</v>
      </c>
      <c r="B717" s="1"/>
      <c r="C717" s="182">
        <v>0</v>
      </c>
      <c r="D717" s="182">
        <v>0</v>
      </c>
      <c r="E717" s="216">
        <f>E698</f>
        <v>54.45</v>
      </c>
      <c r="F717" s="187"/>
      <c r="G717" s="184">
        <f>ROUND(E717*$C717*$E$604,0)</f>
        <v>0</v>
      </c>
      <c r="H717" s="184">
        <f>ROUND(E717*$D717*$E$604,0)</f>
        <v>0</v>
      </c>
      <c r="I717" s="216">
        <f>I698</f>
        <v>59.61</v>
      </c>
      <c r="J717" s="187"/>
      <c r="K717" s="184">
        <f>ROUND(I717*$D717*$E$604,0)</f>
        <v>0</v>
      </c>
    </row>
    <row r="718" spans="1:11">
      <c r="A718" s="172" t="s">
        <v>270</v>
      </c>
      <c r="B718" s="1"/>
      <c r="C718" s="182">
        <v>0</v>
      </c>
      <c r="D718" s="182">
        <v>0</v>
      </c>
      <c r="E718" s="216">
        <f>E699</f>
        <v>108.9</v>
      </c>
      <c r="F718" s="187"/>
      <c r="G718" s="184">
        <f>ROUND(E718*$C718*$E$604,0)</f>
        <v>0</v>
      </c>
      <c r="H718" s="184">
        <f>ROUND(E718*$D718*$E$604,0)</f>
        <v>0</v>
      </c>
      <c r="I718" s="216">
        <f>I699</f>
        <v>119.22</v>
      </c>
      <c r="J718" s="187"/>
      <c r="K718" s="184">
        <f>ROUND(I718*$D718*$E$604,0)</f>
        <v>0</v>
      </c>
    </row>
    <row r="719" spans="1:11">
      <c r="A719" s="172" t="s">
        <v>266</v>
      </c>
      <c r="B719" s="1"/>
      <c r="C719" s="182"/>
      <c r="D719" s="182"/>
      <c r="E719" s="200"/>
      <c r="F719" s="187"/>
      <c r="G719" s="184"/>
      <c r="H719" s="184"/>
      <c r="I719" s="200"/>
      <c r="J719" s="187"/>
      <c r="K719" s="184"/>
    </row>
    <row r="720" spans="1:11">
      <c r="A720" s="172" t="s">
        <v>261</v>
      </c>
      <c r="B720" s="1"/>
      <c r="C720" s="182">
        <v>0</v>
      </c>
      <c r="D720" s="182">
        <f>ROUND(($D$727/$C$727)*C720,0)</f>
        <v>0</v>
      </c>
      <c r="E720" s="226">
        <f>E701</f>
        <v>-18.149999999999999</v>
      </c>
      <c r="F720" s="187"/>
      <c r="G720" s="184">
        <f>ROUND(E720*$C720*$E$604,0)</f>
        <v>0</v>
      </c>
      <c r="H720" s="184">
        <f>ROUND(E720*$D720*$E$604,0)</f>
        <v>0</v>
      </c>
      <c r="I720" s="226">
        <f>I701</f>
        <v>-19.87</v>
      </c>
      <c r="J720" s="187"/>
      <c r="K720" s="184">
        <f>ROUND(I720*$D720*$E$604,0)</f>
        <v>0</v>
      </c>
    </row>
    <row r="721" spans="1:15">
      <c r="A721" s="172" t="s">
        <v>267</v>
      </c>
      <c r="B721" s="1"/>
      <c r="C721" s="182">
        <v>0</v>
      </c>
      <c r="D721" s="182">
        <f>ROUND(($D$727/$C$727)*C721,0)</f>
        <v>0</v>
      </c>
      <c r="E721" s="226">
        <f>E702</f>
        <v>-18.149999999999999</v>
      </c>
      <c r="F721" s="187"/>
      <c r="G721" s="184">
        <f>ROUND(E721*$C721*$E$604,0)</f>
        <v>0</v>
      </c>
      <c r="H721" s="184">
        <f>ROUND(E721*$D721*$E$604,0)</f>
        <v>0</v>
      </c>
      <c r="I721" s="226">
        <f>I702</f>
        <v>-19.87</v>
      </c>
      <c r="J721" s="187"/>
      <c r="K721" s="184">
        <f>ROUND(I721*$D721*$E$604,0)</f>
        <v>0</v>
      </c>
    </row>
    <row r="722" spans="1:15">
      <c r="A722" s="186" t="s">
        <v>230</v>
      </c>
      <c r="B722" s="1"/>
      <c r="C722" s="182"/>
      <c r="D722" s="182"/>
      <c r="E722" s="247"/>
      <c r="F722" s="184"/>
      <c r="G722" s="184"/>
      <c r="H722" s="184"/>
      <c r="I722" s="247"/>
      <c r="J722" s="184"/>
      <c r="K722" s="184"/>
    </row>
    <row r="723" spans="1:15">
      <c r="A723" s="172" t="s">
        <v>268</v>
      </c>
      <c r="B723" s="1"/>
      <c r="C723" s="182">
        <f>38079</f>
        <v>38079</v>
      </c>
      <c r="D723" s="182">
        <f>ROUND(($D$727/$C$727)*C723,0)</f>
        <v>36727</v>
      </c>
      <c r="E723" s="248">
        <f>E704</f>
        <v>4.9909999999999997</v>
      </c>
      <c r="F723" s="184" t="s">
        <v>178</v>
      </c>
      <c r="G723" s="184">
        <f>ROUND(E723/100*$C723*$E$604,0)</f>
        <v>-19</v>
      </c>
      <c r="H723" s="184">
        <f>ROUND(E723/100*$D723*$E$604,0)</f>
        <v>-18</v>
      </c>
      <c r="I723" s="248">
        <f>I704</f>
        <v>5.3710000000000004</v>
      </c>
      <c r="J723" s="184" t="s">
        <v>178</v>
      </c>
      <c r="K723" s="184">
        <f>ROUND(I723/100*$D723*$E$604,0)</f>
        <v>-20</v>
      </c>
    </row>
    <row r="724" spans="1:15">
      <c r="A724" s="186" t="s">
        <v>204</v>
      </c>
      <c r="B724" s="1"/>
      <c r="C724" s="182">
        <v>0</v>
      </c>
      <c r="D724" s="182">
        <f>ROUND(($D$727/$C$727)*C724,0)</f>
        <v>0</v>
      </c>
      <c r="E724" s="238">
        <f>E705</f>
        <v>45</v>
      </c>
      <c r="F724" s="184" t="s">
        <v>178</v>
      </c>
      <c r="G724" s="184">
        <f>ROUND(E724/100*$C724*$E$604,0)</f>
        <v>0</v>
      </c>
      <c r="H724" s="184">
        <f>ROUND(E724/100*$D724*$E$604,0)</f>
        <v>0</v>
      </c>
      <c r="I724" s="238">
        <f>I705</f>
        <v>45</v>
      </c>
      <c r="J724" s="186" t="s">
        <v>178</v>
      </c>
      <c r="K724" s="184">
        <f>ROUND(I724/100*$D724*$E$604,0)</f>
        <v>0</v>
      </c>
    </row>
    <row r="725" spans="1:15">
      <c r="A725" s="186" t="s">
        <v>247</v>
      </c>
      <c r="B725" s="1"/>
      <c r="C725" s="182">
        <f>5+7</f>
        <v>12</v>
      </c>
      <c r="D725" s="182">
        <v>13</v>
      </c>
      <c r="E725" s="161">
        <v>60</v>
      </c>
      <c r="F725" s="227" t="s">
        <v>13</v>
      </c>
      <c r="G725" s="184">
        <f>ROUND(E725*$C725,0)</f>
        <v>720</v>
      </c>
      <c r="H725" s="184">
        <f>ROUND(E725*$D725,0)</f>
        <v>780</v>
      </c>
      <c r="I725" s="161">
        <f>$I$623</f>
        <v>60</v>
      </c>
      <c r="J725" s="1"/>
      <c r="K725" s="184">
        <f>ROUND(I725*$D725,0)</f>
        <v>780</v>
      </c>
    </row>
    <row r="726" spans="1:15">
      <c r="A726" s="186" t="s">
        <v>248</v>
      </c>
      <c r="B726" s="1"/>
      <c r="C726" s="182">
        <f>7*C714</f>
        <v>280</v>
      </c>
      <c r="D726" s="182">
        <f>ROUND(($D$727/$C$727)*C726,0)</f>
        <v>270</v>
      </c>
      <c r="E726" s="202">
        <v>-30</v>
      </c>
      <c r="F726" s="184" t="s">
        <v>178</v>
      </c>
      <c r="G726" s="184">
        <f>ROUND(E726*$C726/100,0)</f>
        <v>-84</v>
      </c>
      <c r="H726" s="184">
        <f>ROUND(E726*$D726/100,0)</f>
        <v>-81</v>
      </c>
      <c r="I726" s="202">
        <f>$I$624</f>
        <v>-30</v>
      </c>
      <c r="J726" s="184" t="s">
        <v>178</v>
      </c>
      <c r="K726" s="184">
        <f>ROUND(I726*$D726/100,0)</f>
        <v>-81</v>
      </c>
    </row>
    <row r="727" spans="1:15">
      <c r="A727" s="1" t="s">
        <v>185</v>
      </c>
      <c r="B727" s="1"/>
      <c r="C727" s="182">
        <f>SUM(C704:C704)</f>
        <v>19403281</v>
      </c>
      <c r="D727" s="182">
        <v>18714383.130874861</v>
      </c>
      <c r="E727" s="193"/>
      <c r="F727" s="2"/>
      <c r="G727" s="2">
        <f>SUM(G684:G726)</f>
        <v>1173033</v>
      </c>
      <c r="H727" s="2">
        <f>SUM(H684:H726)</f>
        <v>1132712</v>
      </c>
      <c r="I727" s="193"/>
      <c r="J727" s="186"/>
      <c r="K727" s="2">
        <f>SUM(K684:K726)</f>
        <v>1222790</v>
      </c>
    </row>
    <row r="728" spans="1:15">
      <c r="A728" s="1" t="s">
        <v>167</v>
      </c>
      <c r="B728" s="1"/>
      <c r="C728" s="212">
        <v>346887.72769998875</v>
      </c>
      <c r="D728" s="212">
        <v>0</v>
      </c>
      <c r="E728" s="172"/>
      <c r="F728" s="172"/>
      <c r="G728" s="173">
        <v>17626.216910670679</v>
      </c>
      <c r="H728" s="173">
        <v>0</v>
      </c>
      <c r="I728" s="172"/>
      <c r="J728" s="172"/>
      <c r="K728" s="173">
        <v>0</v>
      </c>
      <c r="M728" s="152"/>
      <c r="N728" s="152"/>
      <c r="O728" s="153"/>
    </row>
    <row r="729" spans="1:15" ht="16.5" thickBot="1">
      <c r="A729" s="1" t="s">
        <v>186</v>
      </c>
      <c r="B729" s="1"/>
      <c r="C729" s="229">
        <f>SUM(C727:C728)</f>
        <v>19750168.727699988</v>
      </c>
      <c r="D729" s="229">
        <f>SUM(D727:D728)</f>
        <v>18714383.130874861</v>
      </c>
      <c r="E729" s="205"/>
      <c r="F729" s="206"/>
      <c r="G729" s="207">
        <f>G727+G728</f>
        <v>1190659.2169106707</v>
      </c>
      <c r="H729" s="207">
        <f>H727+H728</f>
        <v>1132712</v>
      </c>
      <c r="I729" s="205"/>
      <c r="J729" s="208"/>
      <c r="K729" s="207">
        <f>K727+K728</f>
        <v>1222790</v>
      </c>
      <c r="M729" s="154"/>
      <c r="N729" s="154"/>
      <c r="O729" s="155"/>
    </row>
    <row r="730" spans="1:15" ht="16.5" thickTop="1">
      <c r="A730" s="166"/>
      <c r="B730" s="241"/>
      <c r="C730" s="166"/>
      <c r="D730" s="166"/>
      <c r="E730" s="12"/>
      <c r="F730" s="12"/>
      <c r="G730" s="242"/>
      <c r="H730" s="242"/>
      <c r="I730" s="166"/>
      <c r="J730" s="166"/>
      <c r="K730" s="166"/>
    </row>
    <row r="731" spans="1:15">
      <c r="A731" s="156" t="s">
        <v>273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172" t="s">
        <v>274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186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186" t="s">
        <v>197</v>
      </c>
      <c r="B734" s="1"/>
      <c r="C734" s="182"/>
      <c r="D734" s="182"/>
      <c r="E734" s="2"/>
      <c r="F734" s="2"/>
      <c r="G734" s="1"/>
      <c r="H734" s="1"/>
      <c r="I734" s="2"/>
      <c r="J734" s="1"/>
      <c r="K734" s="1"/>
    </row>
    <row r="735" spans="1:15">
      <c r="A735" s="186" t="s">
        <v>275</v>
      </c>
      <c r="B735" s="1"/>
      <c r="C735" s="182">
        <v>13</v>
      </c>
      <c r="D735" s="182">
        <v>12</v>
      </c>
      <c r="E735" s="247">
        <f t="shared" ref="E735:E740" si="60">E794</f>
        <v>1100</v>
      </c>
      <c r="F735" s="200"/>
      <c r="G735" s="2">
        <f>ROUND(E735*$C735,0)</f>
        <v>14300</v>
      </c>
      <c r="H735" s="2">
        <f>ROUND(E735*$D735,0)</f>
        <v>13200</v>
      </c>
      <c r="I735" s="247">
        <f t="shared" ref="I735:I740" si="61">I794</f>
        <v>1205</v>
      </c>
      <c r="J735" s="184"/>
      <c r="K735" s="2">
        <f>ROUND(I735*$D735,0)</f>
        <v>14460</v>
      </c>
      <c r="M735" s="42">
        <f>I735*D735</f>
        <v>14460</v>
      </c>
      <c r="O735" s="8"/>
    </row>
    <row r="736" spans="1:15">
      <c r="A736" s="186" t="s">
        <v>276</v>
      </c>
      <c r="B736" s="1"/>
      <c r="C736" s="182">
        <v>0</v>
      </c>
      <c r="D736" s="182">
        <v>0</v>
      </c>
      <c r="E736" s="247">
        <f t="shared" si="60"/>
        <v>1325</v>
      </c>
      <c r="F736" s="200"/>
      <c r="G736" s="2">
        <f>ROUND(E736*$C736,0)</f>
        <v>0</v>
      </c>
      <c r="H736" s="2">
        <f>ROUND(E736*$D736,0)</f>
        <v>0</v>
      </c>
      <c r="I736" s="247">
        <f t="shared" si="61"/>
        <v>1450</v>
      </c>
      <c r="J736" s="187"/>
      <c r="K736" s="2">
        <f>ROUND(I736*$D736,0)</f>
        <v>0</v>
      </c>
      <c r="M736" s="42">
        <f>I736*D736</f>
        <v>0</v>
      </c>
      <c r="O736" s="8"/>
    </row>
    <row r="737" spans="1:15">
      <c r="A737" s="186" t="s">
        <v>198</v>
      </c>
      <c r="B737" s="1"/>
      <c r="C737" s="182">
        <f>SUM(C735:C736)</f>
        <v>13</v>
      </c>
      <c r="D737" s="182">
        <f>SUM(D735:D736)</f>
        <v>12</v>
      </c>
      <c r="E737" s="247" t="str">
        <f t="shared" si="60"/>
        <v xml:space="preserve"> </v>
      </c>
      <c r="F737" s="200"/>
      <c r="G737" s="2" t="s">
        <v>13</v>
      </c>
      <c r="H737" s="2" t="s">
        <v>13</v>
      </c>
      <c r="I737" s="247" t="str">
        <f t="shared" si="61"/>
        <v xml:space="preserve"> </v>
      </c>
      <c r="J737" s="184"/>
      <c r="K737" s="2" t="s">
        <v>13</v>
      </c>
    </row>
    <row r="738" spans="1:15">
      <c r="A738" s="186" t="s">
        <v>277</v>
      </c>
      <c r="B738" s="1"/>
      <c r="C738" s="182">
        <f>16660</f>
        <v>16660</v>
      </c>
      <c r="D738" s="182">
        <f>ROUND(($D$758/$C$758)*C738,0)</f>
        <v>22366</v>
      </c>
      <c r="E738" s="247">
        <f t="shared" si="60"/>
        <v>0.83</v>
      </c>
      <c r="F738" s="200"/>
      <c r="G738" s="2">
        <f>ROUND(E738*$C738,0)</f>
        <v>13828</v>
      </c>
      <c r="H738" s="2">
        <f>ROUND(E738*$D738,0)</f>
        <v>18564</v>
      </c>
      <c r="I738" s="247">
        <f t="shared" si="61"/>
        <v>0.91</v>
      </c>
      <c r="J738" s="184"/>
      <c r="K738" s="2">
        <f>ROUND(I738*$D738,0)</f>
        <v>20353</v>
      </c>
      <c r="M738" s="42">
        <f>I738*D738</f>
        <v>20353.060000000001</v>
      </c>
      <c r="O738" s="8"/>
    </row>
    <row r="739" spans="1:15">
      <c r="A739" s="186" t="s">
        <v>278</v>
      </c>
      <c r="B739" s="1"/>
      <c r="C739" s="182">
        <v>0</v>
      </c>
      <c r="D739" s="182">
        <v>0</v>
      </c>
      <c r="E739" s="247">
        <f t="shared" si="60"/>
        <v>0.76</v>
      </c>
      <c r="F739" s="200"/>
      <c r="G739" s="2">
        <f>ROUND(E739*$C739,0)</f>
        <v>0</v>
      </c>
      <c r="H739" s="2">
        <f>ROUND(E739*$D739,0)</f>
        <v>0</v>
      </c>
      <c r="I739" s="247">
        <f t="shared" si="61"/>
        <v>0.83</v>
      </c>
      <c r="J739" s="184"/>
      <c r="K739" s="2">
        <f>ROUND(I739*$D739,0)</f>
        <v>0</v>
      </c>
      <c r="M739" s="42">
        <f>I739*D739</f>
        <v>0</v>
      </c>
    </row>
    <row r="740" spans="1:15">
      <c r="A740" s="172" t="s">
        <v>207</v>
      </c>
      <c r="B740" s="1"/>
      <c r="C740" s="182">
        <f>11800</f>
        <v>11800</v>
      </c>
      <c r="D740" s="182">
        <f>ROUND(($D$758/$C$758)*C740,0)</f>
        <v>15841</v>
      </c>
      <c r="E740" s="247">
        <f t="shared" si="60"/>
        <v>5.52</v>
      </c>
      <c r="F740" s="200"/>
      <c r="G740" s="2">
        <f>ROUND(E740*$C740,0)</f>
        <v>65136</v>
      </c>
      <c r="H740" s="2">
        <f>ROUND(E740*$D740,0)</f>
        <v>87442</v>
      </c>
      <c r="I740" s="247">
        <f t="shared" si="61"/>
        <v>6.03</v>
      </c>
      <c r="J740" s="184"/>
      <c r="K740" s="2">
        <f>ROUND(I740*$D740,0)</f>
        <v>95521</v>
      </c>
      <c r="M740" s="42">
        <f>I740*D740</f>
        <v>95521.23000000001</v>
      </c>
    </row>
    <row r="741" spans="1:15">
      <c r="A741" s="186" t="s">
        <v>230</v>
      </c>
      <c r="B741" s="1"/>
      <c r="C741" s="182"/>
      <c r="D741" s="182"/>
      <c r="E741" s="247"/>
      <c r="F741" s="200"/>
      <c r="G741" s="2"/>
      <c r="H741" s="2"/>
      <c r="I741" s="247"/>
      <c r="J741" s="184"/>
      <c r="K741" s="2"/>
    </row>
    <row r="742" spans="1:15">
      <c r="A742" s="186" t="s">
        <v>268</v>
      </c>
      <c r="B742" s="1"/>
      <c r="C742" s="182">
        <f>1815160</f>
        <v>1815160</v>
      </c>
      <c r="D742" s="182">
        <f>ROUND(($D$758/$C$758)*C742,0)</f>
        <v>2436796</v>
      </c>
      <c r="E742" s="250">
        <f>E801</f>
        <v>3.2050000000000001</v>
      </c>
      <c r="F742" s="184" t="s">
        <v>178</v>
      </c>
      <c r="G742" s="2">
        <f>ROUND(E742/100*$C742,0)</f>
        <v>58176</v>
      </c>
      <c r="H742" s="2">
        <f>ROUND(E742/100*$D742,0)</f>
        <v>78099</v>
      </c>
      <c r="I742" s="250">
        <f>I801</f>
        <v>3.4990000000000001</v>
      </c>
      <c r="J742" s="184" t="s">
        <v>178</v>
      </c>
      <c r="K742" s="2">
        <f>ROUND(I742/100*$D742,0)</f>
        <v>85263</v>
      </c>
      <c r="M742" s="42">
        <f>(I742/100)*D742</f>
        <v>85263.492039999997</v>
      </c>
    </row>
    <row r="743" spans="1:15">
      <c r="A743" s="186" t="s">
        <v>204</v>
      </c>
      <c r="B743" s="1"/>
      <c r="C743" s="182">
        <f>52276</f>
        <v>52276</v>
      </c>
      <c r="D743" s="182">
        <f>ROUND(($D$758/$C$758)*C743,0)</f>
        <v>70179</v>
      </c>
      <c r="E743" s="247">
        <f>E802</f>
        <v>0.45</v>
      </c>
      <c r="F743" s="184"/>
      <c r="G743" s="2">
        <f>ROUND(E743*$C743,0)</f>
        <v>23524</v>
      </c>
      <c r="H743" s="2">
        <f>ROUND(E743*$D743,0)</f>
        <v>31581</v>
      </c>
      <c r="I743" s="247">
        <f>I802</f>
        <v>0.45</v>
      </c>
      <c r="J743" s="184"/>
      <c r="K743" s="2">
        <f>ROUND(I743*$D743,0)</f>
        <v>31581</v>
      </c>
      <c r="M743" s="42">
        <f>I743*D743</f>
        <v>31580.55</v>
      </c>
      <c r="N743" s="182"/>
    </row>
    <row r="744" spans="1:15">
      <c r="A744" s="172" t="s">
        <v>232</v>
      </c>
      <c r="B744" s="1"/>
      <c r="C744" s="182">
        <v>0</v>
      </c>
      <c r="D744" s="182">
        <v>0</v>
      </c>
      <c r="E744" s="251">
        <v>5.9999999999999995E-4</v>
      </c>
      <c r="F744" s="184"/>
      <c r="G744" s="2">
        <f>ROUND(E744*$C744,0)</f>
        <v>0</v>
      </c>
      <c r="H744" s="2">
        <f>ROUND(E744*$D744,0)</f>
        <v>0</v>
      </c>
      <c r="I744" s="251">
        <v>5.9999999999999995E-4</v>
      </c>
      <c r="J744" s="184"/>
      <c r="K744" s="2">
        <f>ROUND(I744*$D744,0)</f>
        <v>0</v>
      </c>
      <c r="M744" s="42">
        <f>I744*D744</f>
        <v>0</v>
      </c>
      <c r="N744" s="182"/>
    </row>
    <row r="745" spans="1:15">
      <c r="A745" s="223" t="s">
        <v>205</v>
      </c>
      <c r="B745" s="1"/>
      <c r="C745" s="182"/>
      <c r="D745" s="182"/>
      <c r="E745" s="252">
        <f>E803</f>
        <v>-0.01</v>
      </c>
      <c r="F745" s="195"/>
      <c r="G745" s="2"/>
      <c r="H745" s="2"/>
      <c r="I745" s="252">
        <f>I803</f>
        <v>-0.01</v>
      </c>
      <c r="J745" s="224"/>
      <c r="K745" s="2"/>
    </row>
    <row r="746" spans="1:15">
      <c r="A746" s="186" t="s">
        <v>275</v>
      </c>
      <c r="B746" s="1"/>
      <c r="C746" s="182">
        <v>0</v>
      </c>
      <c r="D746" s="182">
        <v>0</v>
      </c>
      <c r="E746" s="247">
        <f>E735</f>
        <v>1100</v>
      </c>
      <c r="F746" s="197"/>
      <c r="G746" s="184">
        <f>ROUND(E746*$C746*$E$803,0)</f>
        <v>0</v>
      </c>
      <c r="H746" s="184">
        <f>ROUND(E746*$D746*$E$803,0)</f>
        <v>0</v>
      </c>
      <c r="I746" s="247">
        <f>I735</f>
        <v>1205</v>
      </c>
      <c r="J746" s="184"/>
      <c r="K746" s="184">
        <f>ROUND(I746*$D746*$E$803,0)</f>
        <v>0</v>
      </c>
      <c r="M746" s="42">
        <f>-(I746*D746)/100</f>
        <v>0</v>
      </c>
    </row>
    <row r="747" spans="1:15">
      <c r="A747" s="186" t="s">
        <v>276</v>
      </c>
      <c r="B747" s="1"/>
      <c r="C747" s="182">
        <f>C736</f>
        <v>0</v>
      </c>
      <c r="D747" s="182">
        <v>0</v>
      </c>
      <c r="E747" s="247">
        <f>E736</f>
        <v>1325</v>
      </c>
      <c r="F747" s="197"/>
      <c r="G747" s="184">
        <f>ROUND(E747*$C747*$E$803,0)</f>
        <v>0</v>
      </c>
      <c r="H747" s="184">
        <f>ROUND(E747*$D747*$E$803,0)</f>
        <v>0</v>
      </c>
      <c r="I747" s="247">
        <f>I736</f>
        <v>1450</v>
      </c>
      <c r="J747" s="184"/>
      <c r="K747" s="184">
        <f>ROUND(I747*$D747*$E$803,0)</f>
        <v>0</v>
      </c>
      <c r="M747" s="42">
        <f>-(I747*D747)/100</f>
        <v>0</v>
      </c>
    </row>
    <row r="748" spans="1:15">
      <c r="A748" s="186" t="s">
        <v>277</v>
      </c>
      <c r="B748" s="1"/>
      <c r="C748" s="182">
        <v>0</v>
      </c>
      <c r="D748" s="182">
        <v>0</v>
      </c>
      <c r="E748" s="247">
        <f>E738</f>
        <v>0.83</v>
      </c>
      <c r="F748" s="197"/>
      <c r="G748" s="184">
        <f>ROUND(E748*$C748*$E$803,0)</f>
        <v>0</v>
      </c>
      <c r="H748" s="184">
        <f>ROUND(E748*$D748*$E$803,0)</f>
        <v>0</v>
      </c>
      <c r="I748" s="247">
        <f>I738</f>
        <v>0.91</v>
      </c>
      <c r="J748" s="184"/>
      <c r="K748" s="184">
        <f>ROUND(I748*$D748*$E$803,0)</f>
        <v>0</v>
      </c>
      <c r="M748" s="42">
        <f>-(I748*D748)/100</f>
        <v>0</v>
      </c>
    </row>
    <row r="749" spans="1:15">
      <c r="A749" s="186" t="s">
        <v>278</v>
      </c>
      <c r="B749" s="1"/>
      <c r="C749" s="182">
        <f>C739</f>
        <v>0</v>
      </c>
      <c r="D749" s="182">
        <v>0</v>
      </c>
      <c r="E749" s="247">
        <f>E739</f>
        <v>0.76</v>
      </c>
      <c r="F749" s="197"/>
      <c r="G749" s="184">
        <f>ROUND(E749*$C749*$E$803,0)</f>
        <v>0</v>
      </c>
      <c r="H749" s="184">
        <f>ROUND(E749*$D749*$E$803,0)</f>
        <v>0</v>
      </c>
      <c r="I749" s="247">
        <f>I739</f>
        <v>0.83</v>
      </c>
      <c r="J749" s="184"/>
      <c r="K749" s="184">
        <f>ROUND(I749*$D749*$E$803,0)</f>
        <v>0</v>
      </c>
      <c r="M749" s="42">
        <f>-(I749*D749)/100</f>
        <v>0</v>
      </c>
    </row>
    <row r="750" spans="1:15">
      <c r="A750" s="172" t="s">
        <v>207</v>
      </c>
      <c r="B750" s="243"/>
      <c r="C750" s="182">
        <v>0</v>
      </c>
      <c r="D750" s="182">
        <v>0</v>
      </c>
      <c r="E750" s="247">
        <f>E740</f>
        <v>5.52</v>
      </c>
      <c r="F750" s="200"/>
      <c r="G750" s="184">
        <f>ROUND(E750*$C750*$E$803,0)</f>
        <v>0</v>
      </c>
      <c r="H750" s="184">
        <f>ROUND(E750*$D750*$E$803,0)</f>
        <v>0</v>
      </c>
      <c r="I750" s="247">
        <f>I740</f>
        <v>6.03</v>
      </c>
      <c r="J750" s="184"/>
      <c r="K750" s="184">
        <f>ROUND(I750*$D750*$E$803,0)</f>
        <v>0</v>
      </c>
      <c r="M750" s="42">
        <f>-(I750*D750)/100</f>
        <v>0</v>
      </c>
    </row>
    <row r="751" spans="1:15">
      <c r="A751" s="186" t="s">
        <v>268</v>
      </c>
      <c r="B751" s="1"/>
      <c r="C751" s="182">
        <v>0</v>
      </c>
      <c r="D751" s="182">
        <v>0</v>
      </c>
      <c r="E751" s="253">
        <f>E742</f>
        <v>3.2050000000000001</v>
      </c>
      <c r="F751" s="184" t="s">
        <v>178</v>
      </c>
      <c r="G751" s="184">
        <f>ROUND(E751/100*$C751*$E$803,0)</f>
        <v>0</v>
      </c>
      <c r="H751" s="184">
        <f>ROUND(E751/100*$D751*$E$803,0)</f>
        <v>0</v>
      </c>
      <c r="I751" s="253">
        <f>I742</f>
        <v>3.4990000000000001</v>
      </c>
      <c r="J751" s="184" t="s">
        <v>178</v>
      </c>
      <c r="K751" s="184">
        <f>ROUND(I751/100*$D751*$E$803,0)</f>
        <v>0</v>
      </c>
      <c r="M751" s="42">
        <f>-((I751*D751)/100)/100</f>
        <v>0</v>
      </c>
    </row>
    <row r="752" spans="1:15">
      <c r="A752" s="186" t="s">
        <v>204</v>
      </c>
      <c r="B752" s="1"/>
      <c r="C752" s="182">
        <v>0</v>
      </c>
      <c r="D752" s="182">
        <v>0</v>
      </c>
      <c r="E752" s="247">
        <f>E743</f>
        <v>0.45</v>
      </c>
      <c r="F752" s="184"/>
      <c r="G752" s="184">
        <f>ROUND(E752*$C752*$E$803,0)</f>
        <v>0</v>
      </c>
      <c r="H752" s="184">
        <f>ROUND(E752*$D752*$E$803,0)</f>
        <v>0</v>
      </c>
      <c r="I752" s="247">
        <f>I743</f>
        <v>0.45</v>
      </c>
      <c r="J752" s="184"/>
      <c r="K752" s="184">
        <f>ROUND(I752*$D752*$E$803,0)</f>
        <v>0</v>
      </c>
      <c r="M752" s="42">
        <f>-(I752*D752)/100</f>
        <v>0</v>
      </c>
    </row>
    <row r="753" spans="1:19">
      <c r="A753" s="172" t="s">
        <v>279</v>
      </c>
      <c r="B753" s="1"/>
      <c r="C753" s="182">
        <v>0</v>
      </c>
      <c r="D753" s="182">
        <v>0</v>
      </c>
      <c r="E753" s="247">
        <f>E811</f>
        <v>60</v>
      </c>
      <c r="F753" s="200"/>
      <c r="G753" s="184">
        <f>ROUND(E753*$C753,0)</f>
        <v>0</v>
      </c>
      <c r="H753" s="184">
        <f>ROUND(E753*$D753,0)</f>
        <v>0</v>
      </c>
      <c r="I753" s="247">
        <f>I811</f>
        <v>60</v>
      </c>
      <c r="J753" s="184"/>
      <c r="K753" s="184">
        <f>ROUND(I753*$D753,0)</f>
        <v>0</v>
      </c>
      <c r="M753" s="42">
        <f>-(I753*D753)/100</f>
        <v>0</v>
      </c>
    </row>
    <row r="754" spans="1:19">
      <c r="A754" s="172" t="s">
        <v>248</v>
      </c>
      <c r="B754" s="1"/>
      <c r="C754" s="182">
        <v>0</v>
      </c>
      <c r="D754" s="182">
        <v>0</v>
      </c>
      <c r="E754" s="247">
        <f>E812</f>
        <v>-0.3</v>
      </c>
      <c r="F754" s="184"/>
      <c r="G754" s="184">
        <f>ROUND(E754*$C754,0)</f>
        <v>0</v>
      </c>
      <c r="H754" s="184">
        <f>ROUND(E754*$D754,0)</f>
        <v>0</v>
      </c>
      <c r="I754" s="247">
        <f>I812</f>
        <v>-0.75</v>
      </c>
      <c r="J754" s="184"/>
      <c r="K754" s="184">
        <f>ROUND(I754*$D754,0)</f>
        <v>0</v>
      </c>
      <c r="M754" s="42">
        <f>-(I754*D754)/100</f>
        <v>0</v>
      </c>
    </row>
    <row r="755" spans="1:19">
      <c r="A755" s="172" t="s">
        <v>237</v>
      </c>
      <c r="B755" s="1"/>
      <c r="C755" s="182">
        <f>200</f>
        <v>200</v>
      </c>
      <c r="D755" s="182">
        <f>ROUND(($D$758/$C$758)*C755,0)</f>
        <v>268</v>
      </c>
      <c r="E755" s="254">
        <f>ROUND(E740/2,3)</f>
        <v>2.76</v>
      </c>
      <c r="F755" s="184"/>
      <c r="G755" s="184">
        <f>ROUND(E755*$C755,0)</f>
        <v>552</v>
      </c>
      <c r="H755" s="184">
        <f>ROUND(E755*$D755,0)</f>
        <v>740</v>
      </c>
      <c r="I755" s="254">
        <f>ROUND(I740/2,3)</f>
        <v>3.0150000000000001</v>
      </c>
      <c r="J755" s="184"/>
      <c r="K755" s="184">
        <f>ROUND($D755*I755,0)</f>
        <v>808</v>
      </c>
      <c r="M755" s="42">
        <f>I755*D755</f>
        <v>808.02</v>
      </c>
    </row>
    <row r="756" spans="1:19">
      <c r="A756" s="172" t="s">
        <v>238</v>
      </c>
      <c r="B756" s="1"/>
      <c r="C756" s="182">
        <v>240</v>
      </c>
      <c r="D756" s="182">
        <f>ROUND(($D$758/$C$758)*C756,0)</f>
        <v>322</v>
      </c>
      <c r="E756" s="197">
        <f>E740*4</f>
        <v>22.08</v>
      </c>
      <c r="F756" s="184"/>
      <c r="G756" s="184">
        <f>ROUND(E756*$C756,0)</f>
        <v>5299</v>
      </c>
      <c r="H756" s="184">
        <f>ROUND(E756*$D756,0)</f>
        <v>7110</v>
      </c>
      <c r="I756" s="197">
        <f>I740*4</f>
        <v>24.12</v>
      </c>
      <c r="J756" s="184"/>
      <c r="K756" s="184">
        <f>ROUND($D756*I756,0)</f>
        <v>7767</v>
      </c>
      <c r="M756" s="42">
        <f>I756*D756</f>
        <v>7766.64</v>
      </c>
    </row>
    <row r="757" spans="1:19">
      <c r="A757" s="3" t="s">
        <v>239</v>
      </c>
      <c r="B757" s="166"/>
      <c r="C757" s="182">
        <v>4840</v>
      </c>
      <c r="D757" s="182">
        <f>ROUND(($D$758/$C$758)*C757,0)</f>
        <v>6498</v>
      </c>
      <c r="E757" s="255">
        <f>E742*4</f>
        <v>12.82</v>
      </c>
      <c r="F757" s="184" t="s">
        <v>178</v>
      </c>
      <c r="G757" s="184">
        <f>ROUND($C757*E757/100,0)</f>
        <v>620</v>
      </c>
      <c r="H757" s="184">
        <f>ROUND($D757*E757/100,0)</f>
        <v>833</v>
      </c>
      <c r="I757" s="255">
        <f>I742*4</f>
        <v>13.996</v>
      </c>
      <c r="J757" s="184" t="s">
        <v>178</v>
      </c>
      <c r="K757" s="184">
        <f>ROUND($D757*I757/100,0)</f>
        <v>909</v>
      </c>
      <c r="M757" s="42">
        <f>(I757/100)*D757</f>
        <v>909.46008000000006</v>
      </c>
    </row>
    <row r="758" spans="1:19">
      <c r="A758" s="1" t="s">
        <v>185</v>
      </c>
      <c r="B758" s="1"/>
      <c r="C758" s="182">
        <f>C742</f>
        <v>1815160</v>
      </c>
      <c r="D758" s="182">
        <v>2436796.4482688801</v>
      </c>
      <c r="E758" s="193"/>
      <c r="F758" s="2"/>
      <c r="G758" s="2">
        <f>SUM(G735:G757)</f>
        <v>181435</v>
      </c>
      <c r="H758" s="2">
        <f>SUM(H735:H757)</f>
        <v>237569</v>
      </c>
      <c r="I758" s="193"/>
      <c r="J758" s="1"/>
      <c r="K758" s="2">
        <f>SUM(K735:K757)</f>
        <v>256662</v>
      </c>
      <c r="M758" s="42">
        <f>SUM(M735:M757)</f>
        <v>256662.45212</v>
      </c>
    </row>
    <row r="759" spans="1:19">
      <c r="A759" s="1" t="s">
        <v>167</v>
      </c>
      <c r="B759" s="1"/>
      <c r="C759" s="182">
        <v>-198469.54929823201</v>
      </c>
      <c r="D759" s="182">
        <v>0</v>
      </c>
      <c r="E759" s="172"/>
      <c r="F759" s="172"/>
      <c r="G759" s="204">
        <v>-15809.382749483628</v>
      </c>
      <c r="H759" s="204">
        <v>0</v>
      </c>
      <c r="I759" s="172"/>
      <c r="J759" s="172"/>
      <c r="K759" s="204">
        <v>0</v>
      </c>
    </row>
    <row r="760" spans="1:19" ht="16.5" thickBot="1">
      <c r="A760" s="1" t="s">
        <v>186</v>
      </c>
      <c r="B760" s="1"/>
      <c r="C760" s="256">
        <f>SUM(C758)+C759</f>
        <v>1616690.450701768</v>
      </c>
      <c r="D760" s="256">
        <f>SUM(D742)+D759</f>
        <v>2436796</v>
      </c>
      <c r="E760" s="205"/>
      <c r="F760" s="206"/>
      <c r="G760" s="207">
        <f>G758+G759</f>
        <v>165625.61725051637</v>
      </c>
      <c r="H760" s="207">
        <f>H758+H759</f>
        <v>237569</v>
      </c>
      <c r="I760" s="205"/>
      <c r="J760" s="208"/>
      <c r="K760" s="207">
        <f>K758+K759</f>
        <v>256662</v>
      </c>
      <c r="N760" s="3" t="s">
        <v>168</v>
      </c>
      <c r="O760" s="33" t="e">
        <f>#REF!*1000</f>
        <v>#REF!</v>
      </c>
    </row>
    <row r="761" spans="1:19" ht="16.5" thickTop="1">
      <c r="A761" s="1"/>
      <c r="B761" s="1"/>
      <c r="C761" s="12"/>
      <c r="D761" s="12"/>
      <c r="E761" s="200"/>
      <c r="F761" s="2"/>
      <c r="G761" s="2"/>
      <c r="H761" s="2"/>
      <c r="I761" s="200"/>
      <c r="J761" s="1"/>
      <c r="K761" s="243"/>
      <c r="N761" s="3" t="s">
        <v>114</v>
      </c>
      <c r="O761" s="33" t="e">
        <f>O760-K760</f>
        <v>#REF!</v>
      </c>
      <c r="P761" s="8" t="e">
        <f>(O760-K760)/K760</f>
        <v>#REF!</v>
      </c>
    </row>
    <row r="762" spans="1:19">
      <c r="A762" s="156" t="s">
        <v>280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172" t="s">
        <v>281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186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186" t="s">
        <v>197</v>
      </c>
      <c r="B765" s="1"/>
      <c r="C765" s="182"/>
      <c r="D765" s="182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186" t="s">
        <v>275</v>
      </c>
      <c r="B766" s="1"/>
      <c r="C766" s="182">
        <f>C794+C877</f>
        <v>690</v>
      </c>
      <c r="D766" s="182">
        <f>D794+D877</f>
        <v>680</v>
      </c>
      <c r="E766" s="200">
        <v>1100</v>
      </c>
      <c r="F766" s="200"/>
      <c r="G766" s="2">
        <f>G794+G877</f>
        <v>759000</v>
      </c>
      <c r="H766" s="2">
        <f>H794+H877</f>
        <v>748000</v>
      </c>
      <c r="I766" s="200">
        <v>1205</v>
      </c>
      <c r="J766" s="184"/>
      <c r="K766" s="2">
        <f>K794+K877</f>
        <v>819400</v>
      </c>
      <c r="M766" s="42">
        <f>I766*D766</f>
        <v>819400</v>
      </c>
      <c r="O766" s="8">
        <f>(I766-E766)/E766</f>
        <v>9.5454545454545459E-2</v>
      </c>
      <c r="P766" s="8">
        <f>SUM(K766:K770)/SUM(H766:H770)-1</f>
        <v>9.4617608552899801E-2</v>
      </c>
      <c r="Q766" s="3" t="s">
        <v>175</v>
      </c>
      <c r="R766" s="192">
        <f>E766+(E769*3000)</f>
        <v>3590</v>
      </c>
      <c r="S766" s="192">
        <f>E767+(E770*3001)</f>
        <v>3605.76</v>
      </c>
    </row>
    <row r="767" spans="1:19">
      <c r="A767" s="186" t="s">
        <v>276</v>
      </c>
      <c r="B767" s="1"/>
      <c r="C767" s="182">
        <f>C795+C878</f>
        <v>74</v>
      </c>
      <c r="D767" s="182">
        <f>D795+D878</f>
        <v>74</v>
      </c>
      <c r="E767" s="200">
        <v>1325</v>
      </c>
      <c r="F767" s="200"/>
      <c r="G767" s="2">
        <f>G795+G878</f>
        <v>98050</v>
      </c>
      <c r="H767" s="2">
        <f>H795+H878</f>
        <v>98050</v>
      </c>
      <c r="I767" s="200">
        <v>1450</v>
      </c>
      <c r="J767" s="187"/>
      <c r="K767" s="2">
        <f>K795+K878</f>
        <v>107300</v>
      </c>
      <c r="M767" s="42">
        <f>I767*D767</f>
        <v>107300</v>
      </c>
      <c r="O767" s="8">
        <f>(I767-E767)/E767</f>
        <v>9.4339622641509441E-2</v>
      </c>
      <c r="Q767" s="3" t="s">
        <v>120</v>
      </c>
      <c r="R767" s="192">
        <f>I766+(I769*3000)</f>
        <v>3935</v>
      </c>
      <c r="S767" s="192">
        <f>I767+(I770*3001)</f>
        <v>3940.83</v>
      </c>
    </row>
    <row r="768" spans="1:19">
      <c r="A768" s="186" t="s">
        <v>198</v>
      </c>
      <c r="B768" s="1"/>
      <c r="C768" s="182">
        <f>SUM(C766:C767)</f>
        <v>764</v>
      </c>
      <c r="D768" s="182">
        <f>SUM(D766:D767)</f>
        <v>754</v>
      </c>
      <c r="E768" s="200" t="s">
        <v>13</v>
      </c>
      <c r="F768" s="200"/>
      <c r="G768" s="2"/>
      <c r="H768" s="2"/>
      <c r="I768" s="200" t="s">
        <v>13</v>
      </c>
      <c r="J768" s="184"/>
      <c r="K768" s="2"/>
      <c r="O768" s="183"/>
    </row>
    <row r="769" spans="1:21">
      <c r="A769" s="186" t="s">
        <v>277</v>
      </c>
      <c r="B769" s="1"/>
      <c r="C769" s="182">
        <f t="shared" ref="C769:D771" si="62">C797+C880</f>
        <v>928030</v>
      </c>
      <c r="D769" s="182">
        <f t="shared" si="62"/>
        <v>950060</v>
      </c>
      <c r="E769" s="200">
        <v>0.83</v>
      </c>
      <c r="F769" s="200"/>
      <c r="G769" s="2">
        <f t="shared" ref="G769:H771" si="63">G797+G880</f>
        <v>770265</v>
      </c>
      <c r="H769" s="2">
        <f t="shared" si="63"/>
        <v>788550</v>
      </c>
      <c r="I769" s="200">
        <v>0.91</v>
      </c>
      <c r="J769" s="184"/>
      <c r="K769" s="2">
        <f>K797+K880</f>
        <v>864554</v>
      </c>
      <c r="M769" s="42">
        <f>I769*D769</f>
        <v>864554.6</v>
      </c>
      <c r="O769" s="8">
        <f>(I769-E769)/E769</f>
        <v>9.6385542168674787E-2</v>
      </c>
      <c r="S769" s="192">
        <f>S767-R767</f>
        <v>5.8299999999999272</v>
      </c>
    </row>
    <row r="770" spans="1:21">
      <c r="A770" s="186" t="s">
        <v>278</v>
      </c>
      <c r="B770" s="1"/>
      <c r="C770" s="182">
        <f t="shared" si="62"/>
        <v>1074005</v>
      </c>
      <c r="D770" s="182">
        <f t="shared" si="62"/>
        <v>1043203</v>
      </c>
      <c r="E770" s="200">
        <v>0.76</v>
      </c>
      <c r="F770" s="200"/>
      <c r="G770" s="2">
        <f t="shared" si="63"/>
        <v>816243</v>
      </c>
      <c r="H770" s="2">
        <f t="shared" si="63"/>
        <v>792834</v>
      </c>
      <c r="I770" s="200">
        <v>0.83</v>
      </c>
      <c r="J770" s="184"/>
      <c r="K770" s="2">
        <f>K798+K881</f>
        <v>865858</v>
      </c>
      <c r="M770" s="42">
        <f>I770*D770</f>
        <v>865858.49</v>
      </c>
      <c r="O770" s="8">
        <f>(I770-E770)/E770</f>
        <v>9.2105263157894676E-2</v>
      </c>
      <c r="S770" s="192">
        <f>I770</f>
        <v>0.83</v>
      </c>
    </row>
    <row r="771" spans="1:21">
      <c r="A771" s="172" t="s">
        <v>207</v>
      </c>
      <c r="B771" s="1"/>
      <c r="C771" s="182">
        <f t="shared" si="62"/>
        <v>1739771</v>
      </c>
      <c r="D771" s="182">
        <f t="shared" si="62"/>
        <v>1745147</v>
      </c>
      <c r="E771" s="200">
        <v>5.52</v>
      </c>
      <c r="F771" s="200"/>
      <c r="G771" s="2">
        <f t="shared" si="63"/>
        <v>9603536</v>
      </c>
      <c r="H771" s="2">
        <f t="shared" si="63"/>
        <v>9633212</v>
      </c>
      <c r="I771" s="200">
        <v>6.03</v>
      </c>
      <c r="J771" s="184"/>
      <c r="K771" s="2">
        <f>K799+K882</f>
        <v>10523236</v>
      </c>
      <c r="M771" s="42">
        <f>I771*D771</f>
        <v>10523236.41</v>
      </c>
      <c r="O771" s="8">
        <f>(I771-E771)/E771</f>
        <v>9.239130434782622E-2</v>
      </c>
    </row>
    <row r="772" spans="1:21">
      <c r="A772" s="186" t="s">
        <v>230</v>
      </c>
      <c r="B772" s="1"/>
      <c r="C772" s="182"/>
      <c r="D772" s="182"/>
      <c r="E772" s="200" t="s">
        <v>13</v>
      </c>
      <c r="F772" s="200"/>
      <c r="G772" s="2"/>
      <c r="H772" s="2"/>
      <c r="I772" s="200" t="s">
        <v>13</v>
      </c>
      <c r="J772" s="184"/>
      <c r="K772" s="2"/>
      <c r="O772" s="257"/>
    </row>
    <row r="773" spans="1:21">
      <c r="A773" s="186" t="s">
        <v>268</v>
      </c>
      <c r="B773" s="1"/>
      <c r="C773" s="182">
        <f>C801+C884</f>
        <v>871959257</v>
      </c>
      <c r="D773" s="182">
        <f>D801+D884</f>
        <v>892786384</v>
      </c>
      <c r="E773" s="258">
        <v>3.2050000000000001</v>
      </c>
      <c r="F773" s="184" t="s">
        <v>178</v>
      </c>
      <c r="G773" s="2">
        <f>G801+G884</f>
        <v>27946294</v>
      </c>
      <c r="H773" s="2">
        <f>H801+H884</f>
        <v>28613803</v>
      </c>
      <c r="I773" s="246">
        <v>3.4990000000000001</v>
      </c>
      <c r="J773" s="184" t="s">
        <v>178</v>
      </c>
      <c r="K773" s="2">
        <f>K801+K884</f>
        <v>31238595</v>
      </c>
      <c r="M773" s="42">
        <f>(I773/100)*D773</f>
        <v>31238595.576159999</v>
      </c>
      <c r="O773" s="8">
        <f>(I773-E773)/E773</f>
        <v>9.1731669266770677E-2</v>
      </c>
    </row>
    <row r="774" spans="1:21">
      <c r="A774" s="186" t="s">
        <v>204</v>
      </c>
      <c r="B774" s="1"/>
      <c r="C774" s="182">
        <f>C802+C885</f>
        <v>412832</v>
      </c>
      <c r="D774" s="182">
        <f>D802+D885</f>
        <v>423788</v>
      </c>
      <c r="E774" s="200">
        <v>0.45</v>
      </c>
      <c r="F774" s="184"/>
      <c r="G774" s="2">
        <f>G802+G885</f>
        <v>185774</v>
      </c>
      <c r="H774" s="2">
        <f>H802+H885</f>
        <v>190705</v>
      </c>
      <c r="I774" s="200">
        <v>0.45</v>
      </c>
      <c r="J774" s="184"/>
      <c r="K774" s="2">
        <f>K802+K885</f>
        <v>190705</v>
      </c>
      <c r="M774" s="42">
        <f>I774*D774</f>
        <v>190704.6</v>
      </c>
      <c r="N774" s="183"/>
      <c r="O774" s="8">
        <f>(I774-E774)/E774</f>
        <v>0</v>
      </c>
      <c r="R774" s="3" t="s">
        <v>175</v>
      </c>
      <c r="S774" s="3" t="s">
        <v>120</v>
      </c>
      <c r="T774" s="3" t="s">
        <v>176</v>
      </c>
      <c r="U774" s="3" t="s">
        <v>126</v>
      </c>
    </row>
    <row r="775" spans="1:21">
      <c r="A775" s="223" t="s">
        <v>205</v>
      </c>
      <c r="B775" s="1"/>
      <c r="C775" s="182"/>
      <c r="D775" s="182"/>
      <c r="E775" s="195">
        <v>-0.01</v>
      </c>
      <c r="F775" s="195"/>
      <c r="G775" s="2"/>
      <c r="H775" s="2"/>
      <c r="I775" s="195">
        <v>-0.01</v>
      </c>
      <c r="J775" s="224"/>
      <c r="K775" s="2"/>
      <c r="Q775" s="3" t="s">
        <v>246</v>
      </c>
      <c r="R775" s="49">
        <f>SUM(H766:H770)+SUM(H735:H739)</f>
        <v>2459198</v>
      </c>
      <c r="S775" s="49">
        <f>SUM(K766:K770)+SUM(K735:K739)</f>
        <v>2691925</v>
      </c>
      <c r="T775" s="49">
        <v>3831772.5730205807</v>
      </c>
      <c r="U775" s="101">
        <f>S775/T775</f>
        <v>0.70252734177225962</v>
      </c>
    </row>
    <row r="776" spans="1:21">
      <c r="A776" s="186" t="s">
        <v>275</v>
      </c>
      <c r="B776" s="1"/>
      <c r="C776" s="182">
        <f t="shared" ref="C776:D786" si="64">C804+C887</f>
        <v>155</v>
      </c>
      <c r="D776" s="182">
        <f t="shared" si="64"/>
        <v>152</v>
      </c>
      <c r="E776" s="197">
        <f>E766</f>
        <v>1100</v>
      </c>
      <c r="F776" s="197"/>
      <c r="G776" s="184">
        <f t="shared" ref="G776:H786" si="65">G804+G887</f>
        <v>-1705</v>
      </c>
      <c r="H776" s="184">
        <f t="shared" si="65"/>
        <v>-1672</v>
      </c>
      <c r="I776" s="197">
        <f>I766</f>
        <v>1205</v>
      </c>
      <c r="J776" s="184"/>
      <c r="K776" s="184">
        <f t="shared" ref="K776:K786" si="66">K804+K887</f>
        <v>-1832</v>
      </c>
      <c r="M776" s="42">
        <f>-(I776/100)*D776</f>
        <v>-1831.6000000000001</v>
      </c>
      <c r="Q776" s="3" t="s">
        <v>210</v>
      </c>
      <c r="R776" s="49">
        <f>H771</f>
        <v>9633212</v>
      </c>
      <c r="S776" s="49">
        <f>K771</f>
        <v>10523236</v>
      </c>
      <c r="T776" s="49">
        <v>5205301.8106998745</v>
      </c>
      <c r="U776" s="101">
        <f>S776/T776</f>
        <v>2.0216380111463907</v>
      </c>
    </row>
    <row r="777" spans="1:21">
      <c r="A777" s="186" t="s">
        <v>276</v>
      </c>
      <c r="B777" s="1"/>
      <c r="C777" s="182">
        <f t="shared" si="64"/>
        <v>49</v>
      </c>
      <c r="D777" s="182">
        <f t="shared" si="64"/>
        <v>49</v>
      </c>
      <c r="E777" s="197">
        <f>E767</f>
        <v>1325</v>
      </c>
      <c r="F777" s="197"/>
      <c r="G777" s="184">
        <f t="shared" si="65"/>
        <v>-650</v>
      </c>
      <c r="H777" s="184">
        <f t="shared" si="65"/>
        <v>-650</v>
      </c>
      <c r="I777" s="197">
        <f>I767</f>
        <v>1450</v>
      </c>
      <c r="J777" s="184"/>
      <c r="K777" s="184">
        <f t="shared" si="66"/>
        <v>-711</v>
      </c>
      <c r="M777" s="42">
        <f>-(I777/100)*D777</f>
        <v>-710.5</v>
      </c>
      <c r="Q777" s="3" t="s">
        <v>180</v>
      </c>
      <c r="R777" s="49">
        <f>H773</f>
        <v>28613803</v>
      </c>
      <c r="S777" s="49">
        <f>K773</f>
        <v>31238595</v>
      </c>
      <c r="T777" s="49">
        <v>38185452.241358206</v>
      </c>
      <c r="U777" s="101">
        <f>S777/T777</f>
        <v>0.81807581595605283</v>
      </c>
    </row>
    <row r="778" spans="1:21">
      <c r="A778" s="186" t="s">
        <v>277</v>
      </c>
      <c r="B778" s="1"/>
      <c r="C778" s="182">
        <f t="shared" si="64"/>
        <v>215573</v>
      </c>
      <c r="D778" s="182">
        <f t="shared" si="64"/>
        <v>213423</v>
      </c>
      <c r="E778" s="197">
        <f>E769</f>
        <v>0.83</v>
      </c>
      <c r="F778" s="197"/>
      <c r="G778" s="184">
        <f t="shared" si="65"/>
        <v>-1789</v>
      </c>
      <c r="H778" s="184">
        <f t="shared" si="65"/>
        <v>-1771</v>
      </c>
      <c r="I778" s="197">
        <f>I769</f>
        <v>0.91</v>
      </c>
      <c r="J778" s="184"/>
      <c r="K778" s="184">
        <f t="shared" si="66"/>
        <v>-1942</v>
      </c>
      <c r="M778" s="42">
        <f>-(I778/100)*D778</f>
        <v>-1942.1493</v>
      </c>
    </row>
    <row r="779" spans="1:21">
      <c r="A779" s="186" t="s">
        <v>278</v>
      </c>
      <c r="B779" s="1"/>
      <c r="C779" s="182">
        <f t="shared" si="64"/>
        <v>972802</v>
      </c>
      <c r="D779" s="182">
        <f t="shared" si="64"/>
        <v>935824</v>
      </c>
      <c r="E779" s="197">
        <f>E770</f>
        <v>0.76</v>
      </c>
      <c r="F779" s="197"/>
      <c r="G779" s="184">
        <f t="shared" si="65"/>
        <v>-7393</v>
      </c>
      <c r="H779" s="184">
        <f t="shared" si="65"/>
        <v>-7112</v>
      </c>
      <c r="I779" s="197">
        <f>I770</f>
        <v>0.83</v>
      </c>
      <c r="J779" s="184"/>
      <c r="K779" s="184">
        <f t="shared" si="66"/>
        <v>-7767</v>
      </c>
      <c r="M779" s="42">
        <f>-(I779/100)*D779</f>
        <v>-7767.3392000000003</v>
      </c>
    </row>
    <row r="780" spans="1:21">
      <c r="A780" s="172" t="s">
        <v>207</v>
      </c>
      <c r="B780" s="243"/>
      <c r="C780" s="182">
        <f t="shared" si="64"/>
        <v>1070224</v>
      </c>
      <c r="D780" s="182">
        <f t="shared" si="64"/>
        <v>1048404</v>
      </c>
      <c r="E780" s="197">
        <f>E771</f>
        <v>5.52</v>
      </c>
      <c r="F780" s="200"/>
      <c r="G780" s="184">
        <f t="shared" si="65"/>
        <v>-59076</v>
      </c>
      <c r="H780" s="184">
        <f t="shared" si="65"/>
        <v>-57872</v>
      </c>
      <c r="I780" s="197">
        <f>I771</f>
        <v>6.03</v>
      </c>
      <c r="J780" s="184"/>
      <c r="K780" s="184">
        <f t="shared" si="66"/>
        <v>-63218</v>
      </c>
      <c r="M780" s="42">
        <f>-(I780/100)*D780</f>
        <v>-63218.761200000001</v>
      </c>
    </row>
    <row r="781" spans="1:21">
      <c r="A781" s="186" t="s">
        <v>268</v>
      </c>
      <c r="B781" s="1"/>
      <c r="C781" s="182">
        <f t="shared" si="64"/>
        <v>570875201</v>
      </c>
      <c r="D781" s="182">
        <f t="shared" si="64"/>
        <v>579479682</v>
      </c>
      <c r="E781" s="198">
        <f>E773</f>
        <v>3.2050000000000001</v>
      </c>
      <c r="F781" s="184" t="s">
        <v>178</v>
      </c>
      <c r="G781" s="184">
        <f t="shared" si="65"/>
        <v>-182966</v>
      </c>
      <c r="H781" s="184">
        <f t="shared" si="65"/>
        <v>-185723</v>
      </c>
      <c r="I781" s="198">
        <f>I773</f>
        <v>3.4990000000000001</v>
      </c>
      <c r="J781" s="184" t="s">
        <v>178</v>
      </c>
      <c r="K781" s="184">
        <f t="shared" si="66"/>
        <v>-202760</v>
      </c>
      <c r="M781" s="42">
        <f>-((I781/100)*D781)/100</f>
        <v>-202759.94073180002</v>
      </c>
    </row>
    <row r="782" spans="1:21">
      <c r="A782" s="186" t="s">
        <v>204</v>
      </c>
      <c r="B782" s="1"/>
      <c r="C782" s="182">
        <f t="shared" si="64"/>
        <v>220790</v>
      </c>
      <c r="D782" s="182">
        <f t="shared" si="64"/>
        <v>222465</v>
      </c>
      <c r="E782" s="247">
        <f>E774</f>
        <v>0.45</v>
      </c>
      <c r="F782" s="184"/>
      <c r="G782" s="184">
        <f t="shared" si="65"/>
        <v>-993</v>
      </c>
      <c r="H782" s="184">
        <f t="shared" si="65"/>
        <v>-1001</v>
      </c>
      <c r="I782" s="247">
        <f>I774</f>
        <v>0.45</v>
      </c>
      <c r="J782" s="184"/>
      <c r="K782" s="184">
        <f t="shared" si="66"/>
        <v>-1001</v>
      </c>
      <c r="M782" s="42">
        <f>-(I782/100)*D782</f>
        <v>-1001.0925000000001</v>
      </c>
    </row>
    <row r="783" spans="1:21">
      <c r="A783" s="172" t="s">
        <v>279</v>
      </c>
      <c r="B783" s="1"/>
      <c r="C783" s="182">
        <f t="shared" si="64"/>
        <v>204</v>
      </c>
      <c r="D783" s="182">
        <f t="shared" si="64"/>
        <v>201</v>
      </c>
      <c r="E783" s="200">
        <v>60</v>
      </c>
      <c r="F783" s="200"/>
      <c r="G783" s="184">
        <f t="shared" si="65"/>
        <v>12240</v>
      </c>
      <c r="H783" s="184">
        <f t="shared" si="65"/>
        <v>12060</v>
      </c>
      <c r="I783" s="200">
        <v>60</v>
      </c>
      <c r="J783" s="184"/>
      <c r="K783" s="184">
        <f t="shared" si="66"/>
        <v>12060</v>
      </c>
      <c r="M783" s="42">
        <f>I783*D783</f>
        <v>12060</v>
      </c>
      <c r="O783" s="8">
        <f>(I783-E783)/E783</f>
        <v>0</v>
      </c>
    </row>
    <row r="784" spans="1:21">
      <c r="A784" s="172" t="s">
        <v>248</v>
      </c>
      <c r="B784" s="1"/>
      <c r="C784" s="182">
        <f t="shared" si="64"/>
        <v>1188375</v>
      </c>
      <c r="D784" s="182">
        <f t="shared" si="64"/>
        <v>1149247</v>
      </c>
      <c r="E784" s="200">
        <v>-0.3</v>
      </c>
      <c r="F784" s="184"/>
      <c r="G784" s="184">
        <f t="shared" si="65"/>
        <v>-356513</v>
      </c>
      <c r="H784" s="184">
        <f t="shared" si="65"/>
        <v>-344774</v>
      </c>
      <c r="I784" s="200">
        <v>-0.75</v>
      </c>
      <c r="J784" s="184"/>
      <c r="K784" s="184">
        <f t="shared" si="66"/>
        <v>-861936</v>
      </c>
      <c r="M784" s="42">
        <f>I784*D784</f>
        <v>-861935.25</v>
      </c>
      <c r="O784" s="101">
        <v>1.0864172229701943</v>
      </c>
    </row>
    <row r="785" spans="1:17">
      <c r="A785" s="1" t="s">
        <v>185</v>
      </c>
      <c r="B785" s="1"/>
      <c r="C785" s="182">
        <f t="shared" si="64"/>
        <v>871959257</v>
      </c>
      <c r="D785" s="182">
        <f t="shared" si="64"/>
        <v>892786385.17848599</v>
      </c>
      <c r="E785" s="193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42">
        <f>SUM(M766:M784)</f>
        <v>43480543.043228194</v>
      </c>
    </row>
    <row r="786" spans="1:17">
      <c r="A786" s="1" t="s">
        <v>167</v>
      </c>
      <c r="B786" s="1"/>
      <c r="C786" s="182">
        <f t="shared" si="64"/>
        <v>-15462158.225744508</v>
      </c>
      <c r="D786" s="182">
        <f t="shared" si="64"/>
        <v>0</v>
      </c>
      <c r="E786" s="172"/>
      <c r="F786" s="172"/>
      <c r="G786" s="204">
        <f t="shared" si="65"/>
        <v>-584107.65036853903</v>
      </c>
      <c r="H786" s="204">
        <f t="shared" si="65"/>
        <v>0</v>
      </c>
      <c r="I786" s="172"/>
      <c r="J786" s="172"/>
      <c r="K786" s="204">
        <f t="shared" si="66"/>
        <v>0</v>
      </c>
      <c r="Q786" s="139"/>
    </row>
    <row r="787" spans="1:17" ht="16.5" thickBot="1">
      <c r="A787" s="1" t="s">
        <v>186</v>
      </c>
      <c r="B787" s="1"/>
      <c r="C787" s="256">
        <f>SUM(C785)+C786</f>
        <v>856497098.77425551</v>
      </c>
      <c r="D787" s="256">
        <f>SUM(D773)+D786</f>
        <v>892786384</v>
      </c>
      <c r="E787" s="205"/>
      <c r="F787" s="206"/>
      <c r="G787" s="207">
        <f>G785+G786</f>
        <v>38996209.349631459</v>
      </c>
      <c r="H787" s="207">
        <f>H785+H786</f>
        <v>40276639</v>
      </c>
      <c r="I787" s="205"/>
      <c r="J787" s="208"/>
      <c r="K787" s="207">
        <f>K785+K786</f>
        <v>43480541</v>
      </c>
      <c r="N787" s="3" t="s">
        <v>168</v>
      </c>
      <c r="O787" s="33" t="e">
        <f>#REF!*1000</f>
        <v>#REF!</v>
      </c>
    </row>
    <row r="788" spans="1:17" ht="16.5" thickTop="1">
      <c r="A788" s="1"/>
      <c r="B788" s="1"/>
      <c r="C788" s="12"/>
      <c r="D788" s="12"/>
      <c r="E788" s="200"/>
      <c r="F788" s="2"/>
      <c r="G788" s="2"/>
      <c r="H788" s="2"/>
      <c r="I788" s="216" t="s">
        <v>13</v>
      </c>
      <c r="J788" s="1"/>
      <c r="K788" s="2" t="s">
        <v>13</v>
      </c>
      <c r="N788" s="3" t="s">
        <v>114</v>
      </c>
      <c r="O788" s="33" t="e">
        <f>O787-K787</f>
        <v>#REF!</v>
      </c>
      <c r="P788" s="139" t="e">
        <f>(O787-K787)/K787</f>
        <v>#REF!</v>
      </c>
    </row>
    <row r="789" spans="1:17">
      <c r="A789" s="1"/>
      <c r="B789" s="1"/>
      <c r="C789" s="12"/>
      <c r="D789" s="12"/>
      <c r="E789" s="200"/>
      <c r="F789" s="2"/>
      <c r="G789" s="2"/>
      <c r="H789" s="2"/>
      <c r="I789" s="200"/>
      <c r="J789" s="1"/>
      <c r="K789" s="243"/>
    </row>
    <row r="790" spans="1:17">
      <c r="A790" s="156" t="s">
        <v>280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101"/>
      <c r="N790" s="42"/>
      <c r="O790" s="259" t="e">
        <f>O788+O761</f>
        <v>#REF!</v>
      </c>
    </row>
    <row r="791" spans="1:17">
      <c r="A791" s="172" t="s">
        <v>282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186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186" t="s">
        <v>197</v>
      </c>
      <c r="B793" s="1"/>
      <c r="C793" s="182"/>
      <c r="D793" s="182"/>
      <c r="E793" s="2"/>
      <c r="F793" s="2"/>
      <c r="G793" s="1"/>
      <c r="H793" s="1"/>
      <c r="I793" s="2"/>
      <c r="J793" s="1"/>
      <c r="K793" s="1"/>
    </row>
    <row r="794" spans="1:17">
      <c r="A794" s="186" t="s">
        <v>275</v>
      </c>
      <c r="B794" s="1"/>
      <c r="C794" s="182">
        <f>C822+C850</f>
        <v>690</v>
      </c>
      <c r="D794" s="182">
        <f>D822+D850</f>
        <v>680</v>
      </c>
      <c r="E794" s="200">
        <v>1100</v>
      </c>
      <c r="F794" s="200"/>
      <c r="G794" s="2">
        <f>G822+G850</f>
        <v>759000</v>
      </c>
      <c r="H794" s="2">
        <f>H822+H850</f>
        <v>748000</v>
      </c>
      <c r="I794" s="200">
        <f>$I$766</f>
        <v>1205</v>
      </c>
      <c r="J794" s="184"/>
      <c r="K794" s="2">
        <f>K822+K850</f>
        <v>819400</v>
      </c>
    </row>
    <row r="795" spans="1:17">
      <c r="A795" s="186" t="s">
        <v>276</v>
      </c>
      <c r="B795" s="1"/>
      <c r="C795" s="182">
        <f>C823+C851</f>
        <v>62</v>
      </c>
      <c r="D795" s="182">
        <f>D823+D851</f>
        <v>62</v>
      </c>
      <c r="E795" s="200">
        <v>1325</v>
      </c>
      <c r="F795" s="200"/>
      <c r="G795" s="2">
        <f>G823+G851</f>
        <v>82150</v>
      </c>
      <c r="H795" s="2">
        <f>H823+H851</f>
        <v>82150</v>
      </c>
      <c r="I795" s="200">
        <f>$I$767</f>
        <v>1450</v>
      </c>
      <c r="J795" s="187"/>
      <c r="K795" s="2">
        <f>K823+K851</f>
        <v>89900</v>
      </c>
    </row>
    <row r="796" spans="1:17">
      <c r="A796" s="186" t="s">
        <v>198</v>
      </c>
      <c r="B796" s="1"/>
      <c r="C796" s="182">
        <f>SUM(C794:C795)</f>
        <v>752</v>
      </c>
      <c r="D796" s="182">
        <f>SUM(D794:D795)</f>
        <v>742</v>
      </c>
      <c r="E796" s="200" t="s">
        <v>13</v>
      </c>
      <c r="F796" s="200"/>
      <c r="G796" s="2"/>
      <c r="H796" s="2"/>
      <c r="I796" s="200" t="s">
        <v>13</v>
      </c>
      <c r="J796" s="184"/>
      <c r="K796" s="2"/>
    </row>
    <row r="797" spans="1:17">
      <c r="A797" s="186" t="s">
        <v>277</v>
      </c>
      <c r="B797" s="1"/>
      <c r="C797" s="182">
        <f t="shared" ref="C797:D799" si="67">C825+C853</f>
        <v>928030</v>
      </c>
      <c r="D797" s="182">
        <f t="shared" si="67"/>
        <v>950060</v>
      </c>
      <c r="E797" s="200">
        <v>0.83</v>
      </c>
      <c r="F797" s="200"/>
      <c r="G797" s="2">
        <f t="shared" ref="G797:H799" si="68">G825+G853</f>
        <v>770265</v>
      </c>
      <c r="H797" s="2">
        <f t="shared" si="68"/>
        <v>788550</v>
      </c>
      <c r="I797" s="200">
        <f>$I$769</f>
        <v>0.91</v>
      </c>
      <c r="J797" s="184"/>
      <c r="K797" s="2">
        <f>K825+K853</f>
        <v>864554</v>
      </c>
    </row>
    <row r="798" spans="1:17">
      <c r="A798" s="186" t="s">
        <v>278</v>
      </c>
      <c r="B798" s="1"/>
      <c r="C798" s="182">
        <f t="shared" si="67"/>
        <v>868981</v>
      </c>
      <c r="D798" s="182">
        <f t="shared" si="67"/>
        <v>918946</v>
      </c>
      <c r="E798" s="200">
        <v>0.76</v>
      </c>
      <c r="F798" s="200"/>
      <c r="G798" s="2">
        <f t="shared" si="68"/>
        <v>660425</v>
      </c>
      <c r="H798" s="2">
        <f t="shared" si="68"/>
        <v>698399</v>
      </c>
      <c r="I798" s="200">
        <f>$I$770</f>
        <v>0.83</v>
      </c>
      <c r="J798" s="184"/>
      <c r="K798" s="2">
        <f>K826+K854</f>
        <v>762725</v>
      </c>
    </row>
    <row r="799" spans="1:17">
      <c r="A799" s="172" t="s">
        <v>207</v>
      </c>
      <c r="B799" s="1"/>
      <c r="C799" s="182">
        <f t="shared" si="67"/>
        <v>1581133</v>
      </c>
      <c r="D799" s="182">
        <f t="shared" si="67"/>
        <v>1649003</v>
      </c>
      <c r="E799" s="200">
        <v>5.52</v>
      </c>
      <c r="F799" s="200"/>
      <c r="G799" s="2">
        <f t="shared" si="68"/>
        <v>8727854</v>
      </c>
      <c r="H799" s="2">
        <f t="shared" si="68"/>
        <v>9102497</v>
      </c>
      <c r="I799" s="200">
        <f>$I$771</f>
        <v>6.03</v>
      </c>
      <c r="J799" s="184"/>
      <c r="K799" s="2">
        <f>K827+K855</f>
        <v>9943488</v>
      </c>
    </row>
    <row r="800" spans="1:17">
      <c r="A800" s="186" t="s">
        <v>230</v>
      </c>
      <c r="B800" s="1"/>
      <c r="C800" s="182"/>
      <c r="D800" s="182"/>
      <c r="E800" s="200" t="s">
        <v>13</v>
      </c>
      <c r="F800" s="200"/>
      <c r="G800" s="2"/>
      <c r="H800" s="2"/>
      <c r="I800" s="200" t="s">
        <v>13</v>
      </c>
      <c r="J800" s="184"/>
      <c r="K800" s="2"/>
    </row>
    <row r="801" spans="1:15">
      <c r="A801" s="186" t="s">
        <v>268</v>
      </c>
      <c r="B801" s="1"/>
      <c r="C801" s="182">
        <f>C829+C857</f>
        <v>828270257</v>
      </c>
      <c r="D801" s="182">
        <f>D829+D857</f>
        <v>866308148</v>
      </c>
      <c r="E801" s="258">
        <v>3.2050000000000001</v>
      </c>
      <c r="F801" s="184" t="s">
        <v>178</v>
      </c>
      <c r="G801" s="2">
        <f>G829+G857</f>
        <v>26546062</v>
      </c>
      <c r="H801" s="2">
        <f>H829+H857</f>
        <v>27765176</v>
      </c>
      <c r="I801" s="258">
        <f>$I$773</f>
        <v>3.4990000000000001</v>
      </c>
      <c r="J801" s="184" t="s">
        <v>178</v>
      </c>
      <c r="K801" s="2">
        <f>K829+K857</f>
        <v>30312122</v>
      </c>
    </row>
    <row r="802" spans="1:15">
      <c r="A802" s="186" t="s">
        <v>204</v>
      </c>
      <c r="B802" s="1"/>
      <c r="C802" s="182">
        <f>C830+C858</f>
        <v>389844</v>
      </c>
      <c r="D802" s="182">
        <f>D830+D858</f>
        <v>409856</v>
      </c>
      <c r="E802" s="200">
        <v>0.45</v>
      </c>
      <c r="F802" s="184"/>
      <c r="G802" s="2">
        <f>G830+G858</f>
        <v>175429</v>
      </c>
      <c r="H802" s="2">
        <f>H830+H858</f>
        <v>184436</v>
      </c>
      <c r="I802" s="200">
        <f>$I$774</f>
        <v>0.45</v>
      </c>
      <c r="J802" s="184"/>
      <c r="K802" s="2">
        <f>K830+K858</f>
        <v>184436</v>
      </c>
    </row>
    <row r="803" spans="1:15">
      <c r="A803" s="223" t="s">
        <v>205</v>
      </c>
      <c r="B803" s="1"/>
      <c r="C803" s="182"/>
      <c r="D803" s="182"/>
      <c r="E803" s="195">
        <v>-0.01</v>
      </c>
      <c r="F803" s="195"/>
      <c r="G803" s="2"/>
      <c r="H803" s="2"/>
      <c r="I803" s="195">
        <f>$I$775</f>
        <v>-0.01</v>
      </c>
      <c r="J803" s="224"/>
      <c r="K803" s="2"/>
    </row>
    <row r="804" spans="1:15">
      <c r="A804" s="186" t="s">
        <v>275</v>
      </c>
      <c r="B804" s="1"/>
      <c r="C804" s="182">
        <f t="shared" ref="C804:D814" si="69">C832+C860</f>
        <v>155</v>
      </c>
      <c r="D804" s="182">
        <f t="shared" si="69"/>
        <v>152</v>
      </c>
      <c r="E804" s="197">
        <f>E794</f>
        <v>1100</v>
      </c>
      <c r="F804" s="197"/>
      <c r="G804" s="184">
        <f t="shared" ref="G804:H814" si="70">G832+G860</f>
        <v>-1705</v>
      </c>
      <c r="H804" s="184">
        <f t="shared" si="70"/>
        <v>-1672</v>
      </c>
      <c r="I804" s="197">
        <f>I794</f>
        <v>1205</v>
      </c>
      <c r="J804" s="184"/>
      <c r="K804" s="184">
        <f t="shared" ref="K804:K814" si="71">K832+K860</f>
        <v>-1832</v>
      </c>
    </row>
    <row r="805" spans="1:15">
      <c r="A805" s="186" t="s">
        <v>276</v>
      </c>
      <c r="B805" s="1"/>
      <c r="C805" s="182">
        <f t="shared" si="69"/>
        <v>37</v>
      </c>
      <c r="D805" s="182">
        <f t="shared" si="69"/>
        <v>37</v>
      </c>
      <c r="E805" s="197">
        <f>E795</f>
        <v>1325</v>
      </c>
      <c r="F805" s="197"/>
      <c r="G805" s="184">
        <f t="shared" si="70"/>
        <v>-491</v>
      </c>
      <c r="H805" s="184">
        <f t="shared" si="70"/>
        <v>-491</v>
      </c>
      <c r="I805" s="197">
        <f>I795</f>
        <v>1450</v>
      </c>
      <c r="J805" s="184"/>
      <c r="K805" s="184">
        <f t="shared" si="71"/>
        <v>-537</v>
      </c>
    </row>
    <row r="806" spans="1:15">
      <c r="A806" s="186" t="s">
        <v>277</v>
      </c>
      <c r="B806" s="1"/>
      <c r="C806" s="182">
        <f t="shared" si="69"/>
        <v>215573</v>
      </c>
      <c r="D806" s="182">
        <f t="shared" si="69"/>
        <v>213423</v>
      </c>
      <c r="E806" s="197">
        <f>E797</f>
        <v>0.83</v>
      </c>
      <c r="F806" s="197"/>
      <c r="G806" s="184">
        <f t="shared" si="70"/>
        <v>-1789</v>
      </c>
      <c r="H806" s="184">
        <f t="shared" si="70"/>
        <v>-1771</v>
      </c>
      <c r="I806" s="197">
        <f>I797</f>
        <v>0.91</v>
      </c>
      <c r="J806" s="184"/>
      <c r="K806" s="184">
        <f t="shared" si="71"/>
        <v>-1942</v>
      </c>
    </row>
    <row r="807" spans="1:15">
      <c r="A807" s="186" t="s">
        <v>278</v>
      </c>
      <c r="B807" s="1"/>
      <c r="C807" s="182">
        <f t="shared" si="69"/>
        <v>767778</v>
      </c>
      <c r="D807" s="182">
        <f t="shared" si="69"/>
        <v>811567</v>
      </c>
      <c r="E807" s="197">
        <f>E798</f>
        <v>0.76</v>
      </c>
      <c r="F807" s="197"/>
      <c r="G807" s="184">
        <f t="shared" si="70"/>
        <v>-5835</v>
      </c>
      <c r="H807" s="184">
        <f t="shared" si="70"/>
        <v>-6168</v>
      </c>
      <c r="I807" s="197">
        <f>I798</f>
        <v>0.83</v>
      </c>
      <c r="J807" s="184"/>
      <c r="K807" s="184">
        <f t="shared" si="71"/>
        <v>-6736</v>
      </c>
    </row>
    <row r="808" spans="1:15">
      <c r="A808" s="172" t="s">
        <v>207</v>
      </c>
      <c r="B808" s="243"/>
      <c r="C808" s="182">
        <f t="shared" si="69"/>
        <v>911586</v>
      </c>
      <c r="D808" s="182">
        <f t="shared" si="69"/>
        <v>952260</v>
      </c>
      <c r="E808" s="197">
        <f>E799</f>
        <v>5.52</v>
      </c>
      <c r="F808" s="200"/>
      <c r="G808" s="184">
        <f t="shared" si="70"/>
        <v>-50319</v>
      </c>
      <c r="H808" s="184">
        <f t="shared" si="70"/>
        <v>-52565</v>
      </c>
      <c r="I808" s="197">
        <f>I799</f>
        <v>6.03</v>
      </c>
      <c r="J808" s="184"/>
      <c r="K808" s="184">
        <f t="shared" si="71"/>
        <v>-57421</v>
      </c>
    </row>
    <row r="809" spans="1:15">
      <c r="A809" s="186" t="s">
        <v>268</v>
      </c>
      <c r="B809" s="1"/>
      <c r="C809" s="182">
        <f t="shared" si="69"/>
        <v>527186201</v>
      </c>
      <c r="D809" s="182">
        <f t="shared" si="69"/>
        <v>553001446</v>
      </c>
      <c r="E809" s="198">
        <f>E801</f>
        <v>3.2050000000000001</v>
      </c>
      <c r="F809" s="184" t="s">
        <v>178</v>
      </c>
      <c r="G809" s="184">
        <f t="shared" si="70"/>
        <v>-168964</v>
      </c>
      <c r="H809" s="184">
        <f t="shared" si="70"/>
        <v>-177237</v>
      </c>
      <c r="I809" s="198">
        <f>I801</f>
        <v>3.4990000000000001</v>
      </c>
      <c r="J809" s="184" t="s">
        <v>178</v>
      </c>
      <c r="K809" s="184">
        <f t="shared" si="71"/>
        <v>-193495</v>
      </c>
    </row>
    <row r="810" spans="1:15">
      <c r="A810" s="186" t="s">
        <v>204</v>
      </c>
      <c r="B810" s="1"/>
      <c r="C810" s="182">
        <f t="shared" si="69"/>
        <v>197802</v>
      </c>
      <c r="D810" s="182">
        <f t="shared" si="69"/>
        <v>208533</v>
      </c>
      <c r="E810" s="247">
        <f>E802</f>
        <v>0.45</v>
      </c>
      <c r="F810" s="184"/>
      <c r="G810" s="184">
        <f t="shared" si="70"/>
        <v>-890</v>
      </c>
      <c r="H810" s="184">
        <f t="shared" si="70"/>
        <v>-938</v>
      </c>
      <c r="I810" s="247">
        <f>I802</f>
        <v>0.45</v>
      </c>
      <c r="J810" s="184"/>
      <c r="K810" s="184">
        <f t="shared" si="71"/>
        <v>-938</v>
      </c>
    </row>
    <row r="811" spans="1:15">
      <c r="A811" s="172" t="s">
        <v>279</v>
      </c>
      <c r="B811" s="1"/>
      <c r="C811" s="182">
        <f t="shared" si="69"/>
        <v>192</v>
      </c>
      <c r="D811" s="182">
        <f t="shared" si="69"/>
        <v>189</v>
      </c>
      <c r="E811" s="200">
        <v>60</v>
      </c>
      <c r="F811" s="200"/>
      <c r="G811" s="184">
        <f t="shared" si="70"/>
        <v>11520</v>
      </c>
      <c r="H811" s="184">
        <f t="shared" si="70"/>
        <v>11340</v>
      </c>
      <c r="I811" s="200">
        <f>$I$783</f>
        <v>60</v>
      </c>
      <c r="J811" s="184"/>
      <c r="K811" s="184">
        <f t="shared" si="71"/>
        <v>11340</v>
      </c>
    </row>
    <row r="812" spans="1:15">
      <c r="A812" s="172" t="s">
        <v>248</v>
      </c>
      <c r="B812" s="1"/>
      <c r="C812" s="182">
        <f t="shared" si="69"/>
        <v>983351</v>
      </c>
      <c r="D812" s="182">
        <f t="shared" si="69"/>
        <v>1024990</v>
      </c>
      <c r="E812" s="200">
        <v>-0.3</v>
      </c>
      <c r="F812" s="184"/>
      <c r="G812" s="184">
        <f t="shared" si="70"/>
        <v>-295006</v>
      </c>
      <c r="H812" s="184">
        <f t="shared" si="70"/>
        <v>-307497</v>
      </c>
      <c r="I812" s="200">
        <f>$I$784</f>
        <v>-0.75</v>
      </c>
      <c r="J812" s="184"/>
      <c r="K812" s="184">
        <f t="shared" si="71"/>
        <v>-768743</v>
      </c>
    </row>
    <row r="813" spans="1:15">
      <c r="A813" s="1" t="s">
        <v>185</v>
      </c>
      <c r="B813" s="1"/>
      <c r="C813" s="182">
        <f t="shared" si="69"/>
        <v>828270257</v>
      </c>
      <c r="D813" s="182">
        <f t="shared" si="69"/>
        <v>866308148.72444463</v>
      </c>
      <c r="E813" s="193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167</v>
      </c>
      <c r="B814" s="1"/>
      <c r="C814" s="182">
        <f t="shared" si="69"/>
        <v>-14477401.998794576</v>
      </c>
      <c r="D814" s="182">
        <f t="shared" si="69"/>
        <v>0</v>
      </c>
      <c r="E814" s="172"/>
      <c r="F814" s="172"/>
      <c r="G814" s="204">
        <f t="shared" si="70"/>
        <v>-539028.47841944266</v>
      </c>
      <c r="H814" s="204">
        <f t="shared" si="70"/>
        <v>0</v>
      </c>
      <c r="I814" s="172"/>
      <c r="J814" s="172"/>
      <c r="K814" s="204">
        <f t="shared" si="71"/>
        <v>0</v>
      </c>
      <c r="M814" s="152"/>
      <c r="N814" s="152"/>
      <c r="O814" s="153"/>
    </row>
    <row r="815" spans="1:15" ht="16.5" thickBot="1">
      <c r="A815" s="1" t="s">
        <v>186</v>
      </c>
      <c r="B815" s="1"/>
      <c r="C815" s="256">
        <f>SUM(C813)+C814</f>
        <v>813792855.00120544</v>
      </c>
      <c r="D815" s="256">
        <f>SUM(D801)+D814</f>
        <v>866308148</v>
      </c>
      <c r="E815" s="205"/>
      <c r="F815" s="206"/>
      <c r="G815" s="207">
        <f>G813+G814</f>
        <v>36668677.521580555</v>
      </c>
      <c r="H815" s="207">
        <f>H813+H814</f>
        <v>38832209</v>
      </c>
      <c r="I815" s="205"/>
      <c r="J815" s="208"/>
      <c r="K815" s="207">
        <f>K813+K814</f>
        <v>41956321</v>
      </c>
      <c r="M815" s="154"/>
      <c r="N815" s="154"/>
      <c r="O815" s="155"/>
    </row>
    <row r="816" spans="1:15" ht="16.5" thickTop="1">
      <c r="A816" s="1"/>
      <c r="B816" s="1"/>
      <c r="C816" s="12"/>
      <c r="D816" s="12"/>
      <c r="E816" s="200"/>
      <c r="F816" s="2"/>
      <c r="G816" s="2"/>
      <c r="H816" s="2"/>
      <c r="I816" s="216" t="s">
        <v>13</v>
      </c>
      <c r="J816" s="1"/>
      <c r="K816" s="2" t="s">
        <v>13</v>
      </c>
    </row>
    <row r="817" spans="1:11">
      <c r="A817" s="1"/>
      <c r="B817" s="1"/>
      <c r="C817" s="12"/>
      <c r="D817" s="12"/>
      <c r="E817" s="200"/>
      <c r="F817" s="2"/>
      <c r="G817" s="2"/>
      <c r="H817" s="2"/>
      <c r="I817" s="200"/>
      <c r="J817" s="1"/>
      <c r="K817" s="243"/>
    </row>
    <row r="818" spans="1:11">
      <c r="A818" s="156" t="s">
        <v>280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172" t="s">
        <v>283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186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186" t="s">
        <v>197</v>
      </c>
      <c r="B821" s="1"/>
      <c r="C821" s="182"/>
      <c r="D821" s="182"/>
      <c r="E821" s="2"/>
      <c r="F821" s="2"/>
      <c r="G821" s="1"/>
      <c r="H821" s="1"/>
      <c r="I821" s="2"/>
      <c r="J821" s="1"/>
      <c r="K821" s="1"/>
    </row>
    <row r="822" spans="1:11">
      <c r="A822" s="186" t="s">
        <v>275</v>
      </c>
      <c r="B822" s="1"/>
      <c r="C822" s="182">
        <f>133+193</f>
        <v>326</v>
      </c>
      <c r="D822" s="182">
        <v>318</v>
      </c>
      <c r="E822" s="200">
        <v>1100</v>
      </c>
      <c r="F822" s="200"/>
      <c r="G822" s="2">
        <f>ROUND(E822*$C822,0)</f>
        <v>358600</v>
      </c>
      <c r="H822" s="2">
        <f>ROUND(E822*$D822,0)</f>
        <v>349800</v>
      </c>
      <c r="I822" s="200">
        <f>$I$766</f>
        <v>1205</v>
      </c>
      <c r="J822" s="184"/>
      <c r="K822" s="2">
        <f>ROUND(I822*$D822,0)</f>
        <v>383190</v>
      </c>
    </row>
    <row r="823" spans="1:11">
      <c r="A823" s="186" t="s">
        <v>276</v>
      </c>
      <c r="B823" s="1"/>
      <c r="C823" s="182">
        <v>11</v>
      </c>
      <c r="D823" s="182">
        <v>11</v>
      </c>
      <c r="E823" s="200">
        <v>1325</v>
      </c>
      <c r="F823" s="200"/>
      <c r="G823" s="2">
        <f>ROUND(E823*$C823,0)</f>
        <v>14575</v>
      </c>
      <c r="H823" s="2">
        <f>ROUND(E823*$D823,0)</f>
        <v>14575</v>
      </c>
      <c r="I823" s="200">
        <f>$I$767</f>
        <v>1450</v>
      </c>
      <c r="J823" s="187"/>
      <c r="K823" s="2">
        <f>ROUND(I823*$D823,0)</f>
        <v>15950</v>
      </c>
    </row>
    <row r="824" spans="1:11">
      <c r="A824" s="186" t="s">
        <v>198</v>
      </c>
      <c r="B824" s="1"/>
      <c r="C824" s="182">
        <f>SUM(C822:C823)</f>
        <v>337</v>
      </c>
      <c r="D824" s="182">
        <f>SUM(D822:D823)</f>
        <v>329</v>
      </c>
      <c r="E824" s="200" t="s">
        <v>13</v>
      </c>
      <c r="F824" s="200"/>
      <c r="G824" s="2" t="s">
        <v>13</v>
      </c>
      <c r="H824" s="2" t="s">
        <v>13</v>
      </c>
      <c r="I824" s="200" t="s">
        <v>13</v>
      </c>
      <c r="J824" s="184"/>
      <c r="K824" s="2" t="s">
        <v>13</v>
      </c>
    </row>
    <row r="825" spans="1:11">
      <c r="A825" s="186" t="s">
        <v>277</v>
      </c>
      <c r="B825" s="1"/>
      <c r="C825" s="182">
        <f>192047+242158</f>
        <v>434205</v>
      </c>
      <c r="D825" s="182">
        <f>ROUND((C825/$C$841)*$D$841,0)</f>
        <v>426097</v>
      </c>
      <c r="E825" s="200">
        <v>0.83</v>
      </c>
      <c r="F825" s="200"/>
      <c r="G825" s="2">
        <f>ROUND(E825*$C825,0)</f>
        <v>360390</v>
      </c>
      <c r="H825" s="2">
        <f>ROUND(E825*$D825,0)</f>
        <v>353661</v>
      </c>
      <c r="I825" s="200">
        <f>$I$769</f>
        <v>0.91</v>
      </c>
      <c r="J825" s="184"/>
      <c r="K825" s="2">
        <f>ROUND(I825*$D825,0)</f>
        <v>387748</v>
      </c>
    </row>
    <row r="826" spans="1:11">
      <c r="A826" s="186" t="s">
        <v>278</v>
      </c>
      <c r="B826" s="1"/>
      <c r="C826" s="182">
        <f>38508</f>
        <v>38508</v>
      </c>
      <c r="D826" s="182">
        <f>ROUND((C826/$C$841)*$D$841,0)</f>
        <v>37789</v>
      </c>
      <c r="E826" s="200">
        <v>0.76</v>
      </c>
      <c r="F826" s="200"/>
      <c r="G826" s="2">
        <f>ROUND(E826*$C826,0)</f>
        <v>29266</v>
      </c>
      <c r="H826" s="2">
        <f>ROUND(E826*$D826,0)</f>
        <v>28720</v>
      </c>
      <c r="I826" s="200">
        <f>$I$770</f>
        <v>0.83</v>
      </c>
      <c r="J826" s="184"/>
      <c r="K826" s="2">
        <f>ROUND(I826*$D826,0)</f>
        <v>31365</v>
      </c>
    </row>
    <row r="827" spans="1:11">
      <c r="A827" s="172" t="s">
        <v>207</v>
      </c>
      <c r="B827" s="1"/>
      <c r="C827" s="182">
        <f>152840+171467+34863</f>
        <v>359170</v>
      </c>
      <c r="D827" s="182">
        <f>ROUND((C827/$C$841)*$D$841,0)</f>
        <v>352463</v>
      </c>
      <c r="E827" s="200">
        <v>5.52</v>
      </c>
      <c r="F827" s="200"/>
      <c r="G827" s="2">
        <f>ROUND(E827*$C827,0)</f>
        <v>1982618</v>
      </c>
      <c r="H827" s="2">
        <f>ROUND(E827*$D827,0)</f>
        <v>1945596</v>
      </c>
      <c r="I827" s="200">
        <f>$I$771</f>
        <v>6.03</v>
      </c>
      <c r="J827" s="184"/>
      <c r="K827" s="2">
        <f>ROUND(I827*$D827,0)</f>
        <v>2125352</v>
      </c>
    </row>
    <row r="828" spans="1:11">
      <c r="A828" s="186" t="s">
        <v>230</v>
      </c>
      <c r="B828" s="1"/>
      <c r="C828" s="182"/>
      <c r="D828" s="182"/>
      <c r="E828" s="200" t="s">
        <v>13</v>
      </c>
      <c r="F828" s="200"/>
      <c r="G828" s="2"/>
      <c r="H828" s="2"/>
      <c r="I828" s="200" t="s">
        <v>13</v>
      </c>
      <c r="J828" s="184"/>
      <c r="K828" s="2"/>
    </row>
    <row r="829" spans="1:11">
      <c r="A829" s="186" t="s">
        <v>268</v>
      </c>
      <c r="B829" s="1"/>
      <c r="C829" s="182">
        <f>61181500+18604800+77195004</f>
        <v>156981304</v>
      </c>
      <c r="D829" s="182">
        <f>ROUND((C829/$C$841)*$D$841,0)</f>
        <v>154050076</v>
      </c>
      <c r="E829" s="258">
        <v>3.2050000000000001</v>
      </c>
      <c r="F829" s="184" t="s">
        <v>178</v>
      </c>
      <c r="G829" s="2">
        <f>ROUND(E829/100*$C829,0)</f>
        <v>5031251</v>
      </c>
      <c r="H829" s="2">
        <f>ROUND(E829/100*$D829,0)</f>
        <v>4937305</v>
      </c>
      <c r="I829" s="258">
        <f>$I$773</f>
        <v>3.4990000000000001</v>
      </c>
      <c r="J829" s="184" t="s">
        <v>178</v>
      </c>
      <c r="K829" s="2">
        <f>ROUND(I829/100*$D829,0)</f>
        <v>5390212</v>
      </c>
    </row>
    <row r="830" spans="1:11">
      <c r="A830" s="186" t="s">
        <v>204</v>
      </c>
      <c r="B830" s="1"/>
      <c r="C830" s="182">
        <f>13550+3280+30593</f>
        <v>47423</v>
      </c>
      <c r="D830" s="182">
        <f>ROUND((C830/$C$841)*$D$841,0)</f>
        <v>46537</v>
      </c>
      <c r="E830" s="200">
        <v>0.45</v>
      </c>
      <c r="F830" s="184"/>
      <c r="G830" s="2">
        <f>ROUND(E830*$C830,0)</f>
        <v>21340</v>
      </c>
      <c r="H830" s="2">
        <f>ROUND(E830*$D830,0)</f>
        <v>20942</v>
      </c>
      <c r="I830" s="200">
        <f>$I$774</f>
        <v>0.45</v>
      </c>
      <c r="J830" s="184"/>
      <c r="K830" s="2">
        <f>ROUND(I830*$D830,0)</f>
        <v>20942</v>
      </c>
    </row>
    <row r="831" spans="1:11">
      <c r="A831" s="223" t="s">
        <v>205</v>
      </c>
      <c r="B831" s="1"/>
      <c r="C831" s="182"/>
      <c r="D831" s="182"/>
      <c r="E831" s="195">
        <v>-0.01</v>
      </c>
      <c r="F831" s="195"/>
      <c r="G831" s="2"/>
      <c r="H831" s="2"/>
      <c r="I831" s="195">
        <f>$I$775</f>
        <v>-0.01</v>
      </c>
      <c r="J831" s="224"/>
      <c r="K831" s="2"/>
    </row>
    <row r="832" spans="1:11">
      <c r="A832" s="186" t="s">
        <v>275</v>
      </c>
      <c r="B832" s="1"/>
      <c r="C832" s="182">
        <v>133</v>
      </c>
      <c r="D832" s="182">
        <v>130</v>
      </c>
      <c r="E832" s="197">
        <f>E822</f>
        <v>1100</v>
      </c>
      <c r="F832" s="197"/>
      <c r="G832" s="184">
        <f>ROUND(E832*$C832*$E$803,0)</f>
        <v>-1463</v>
      </c>
      <c r="H832" s="184">
        <f>ROUND(E832*$D832*$E$803,0)</f>
        <v>-1430</v>
      </c>
      <c r="I832" s="197">
        <f>I822</f>
        <v>1205</v>
      </c>
      <c r="J832" s="184"/>
      <c r="K832" s="184">
        <f>ROUND(I832*$D832*$E$803,0)</f>
        <v>-1567</v>
      </c>
    </row>
    <row r="833" spans="1:15">
      <c r="A833" s="186" t="s">
        <v>276</v>
      </c>
      <c r="B833" s="1"/>
      <c r="C833" s="182">
        <v>11</v>
      </c>
      <c r="D833" s="182">
        <v>11</v>
      </c>
      <c r="E833" s="197">
        <f>E823</f>
        <v>1325</v>
      </c>
      <c r="F833" s="197"/>
      <c r="G833" s="184">
        <f>ROUND(E833*$C833*$E$803,0)</f>
        <v>-146</v>
      </c>
      <c r="H833" s="184">
        <f>ROUND(E833*$D833*$E$803,0)</f>
        <v>-146</v>
      </c>
      <c r="I833" s="197">
        <f>I823</f>
        <v>1450</v>
      </c>
      <c r="J833" s="184"/>
      <c r="K833" s="184">
        <f>ROUND(I833*$D833*$E$803,0)</f>
        <v>-160</v>
      </c>
    </row>
    <row r="834" spans="1:15">
      <c r="A834" s="186" t="s">
        <v>277</v>
      </c>
      <c r="B834" s="1"/>
      <c r="C834" s="182">
        <v>192047</v>
      </c>
      <c r="D834" s="182">
        <f>ROUND((C834/$C$841)*$D$841,0)</f>
        <v>188461</v>
      </c>
      <c r="E834" s="197">
        <f>E825</f>
        <v>0.83</v>
      </c>
      <c r="F834" s="197"/>
      <c r="G834" s="184">
        <f>ROUND(E834*$C834*$E$803,0)</f>
        <v>-1594</v>
      </c>
      <c r="H834" s="184">
        <f>ROUND(E834*$D834*$E$803,0)</f>
        <v>-1564</v>
      </c>
      <c r="I834" s="197">
        <f>I825</f>
        <v>0.91</v>
      </c>
      <c r="J834" s="184"/>
      <c r="K834" s="184">
        <f>ROUND(I834*$D834*$E$803,0)</f>
        <v>-1715</v>
      </c>
    </row>
    <row r="835" spans="1:15">
      <c r="A835" s="186" t="s">
        <v>278</v>
      </c>
      <c r="B835" s="1"/>
      <c r="C835" s="182">
        <v>38508</v>
      </c>
      <c r="D835" s="182">
        <f>ROUND((C835/$C$841)*$D$841,0)</f>
        <v>37789</v>
      </c>
      <c r="E835" s="197">
        <f>E826</f>
        <v>0.76</v>
      </c>
      <c r="F835" s="197"/>
      <c r="G835" s="184">
        <f>ROUND(E835*$C835*$E$803,0)</f>
        <v>-293</v>
      </c>
      <c r="H835" s="184">
        <f>ROUND(E835*$D835*$E$803,0)</f>
        <v>-287</v>
      </c>
      <c r="I835" s="197">
        <f>I826</f>
        <v>0.83</v>
      </c>
      <c r="J835" s="184"/>
      <c r="K835" s="184">
        <f>ROUND(I835*$D835*$E$803,0)</f>
        <v>-314</v>
      </c>
    </row>
    <row r="836" spans="1:15">
      <c r="A836" s="172" t="s">
        <v>207</v>
      </c>
      <c r="B836" s="243"/>
      <c r="C836" s="182">
        <f>152840+34863</f>
        <v>187703</v>
      </c>
      <c r="D836" s="182">
        <f>ROUND((C836/$C$841)*$D$841,0)</f>
        <v>184198</v>
      </c>
      <c r="E836" s="197">
        <f>E827</f>
        <v>5.52</v>
      </c>
      <c r="F836" s="200"/>
      <c r="G836" s="184">
        <f>ROUND(E836*$C836*$E$803,0)</f>
        <v>-10361</v>
      </c>
      <c r="H836" s="184">
        <f>ROUND(E836*$D836*$E$803,0)</f>
        <v>-10168</v>
      </c>
      <c r="I836" s="197">
        <f>I827</f>
        <v>6.03</v>
      </c>
      <c r="J836" s="184"/>
      <c r="K836" s="184">
        <f>ROUND(I836*$D836*$E$803,0)</f>
        <v>-11107</v>
      </c>
    </row>
    <row r="837" spans="1:15">
      <c r="A837" s="186" t="s">
        <v>268</v>
      </c>
      <c r="B837" s="1"/>
      <c r="C837" s="182">
        <f>61181500+18604800</f>
        <v>79786300</v>
      </c>
      <c r="D837" s="182">
        <f>ROUND((C837/$C$841)*$D$841,0)</f>
        <v>78296493</v>
      </c>
      <c r="E837" s="198">
        <f>E829</f>
        <v>3.2050000000000001</v>
      </c>
      <c r="F837" s="184" t="s">
        <v>178</v>
      </c>
      <c r="G837" s="184">
        <f>ROUND(E837/100*$C837*$E$803,0)</f>
        <v>-25572</v>
      </c>
      <c r="H837" s="184">
        <f>ROUND(E837/100*$D837*$E$803,0)</f>
        <v>-25094</v>
      </c>
      <c r="I837" s="198">
        <f>I829</f>
        <v>3.4990000000000001</v>
      </c>
      <c r="J837" s="184" t="s">
        <v>178</v>
      </c>
      <c r="K837" s="184">
        <f>ROUND(I837/100*$D837*$E$803,0)</f>
        <v>-27396</v>
      </c>
    </row>
    <row r="838" spans="1:15">
      <c r="A838" s="186" t="s">
        <v>204</v>
      </c>
      <c r="B838" s="1"/>
      <c r="C838" s="182">
        <f>13550+3280</f>
        <v>16830</v>
      </c>
      <c r="D838" s="182">
        <f>ROUND((C838/$C$841)*$D$841,0)</f>
        <v>16516</v>
      </c>
      <c r="E838" s="247">
        <f>E830</f>
        <v>0.45</v>
      </c>
      <c r="F838" s="184"/>
      <c r="G838" s="184">
        <f>ROUND(E838*$C838*$E$803,0)</f>
        <v>-76</v>
      </c>
      <c r="H838" s="184">
        <f>ROUND(E838*$D838*$E$803,0)</f>
        <v>-74</v>
      </c>
      <c r="I838" s="247">
        <f>I830</f>
        <v>0.45</v>
      </c>
      <c r="J838" s="184"/>
      <c r="K838" s="184">
        <f>ROUND(I838*$D838*$E$803,0)</f>
        <v>-74</v>
      </c>
    </row>
    <row r="839" spans="1:15">
      <c r="A839" s="172" t="s">
        <v>279</v>
      </c>
      <c r="B839" s="1"/>
      <c r="C839" s="182">
        <f>133+11</f>
        <v>144</v>
      </c>
      <c r="D839" s="182">
        <v>141</v>
      </c>
      <c r="E839" s="200">
        <v>60</v>
      </c>
      <c r="F839" s="200"/>
      <c r="G839" s="184">
        <f>ROUND(E839*$C839,0)</f>
        <v>8640</v>
      </c>
      <c r="H839" s="184">
        <f>ROUND(E839*$D839,0)</f>
        <v>8460</v>
      </c>
      <c r="I839" s="200">
        <f>$I$783</f>
        <v>60</v>
      </c>
      <c r="J839" s="184"/>
      <c r="K839" s="184">
        <f>ROUND(I839*$D839,0)</f>
        <v>8460</v>
      </c>
    </row>
    <row r="840" spans="1:15">
      <c r="A840" s="172" t="s">
        <v>248</v>
      </c>
      <c r="B840" s="1"/>
      <c r="C840" s="182">
        <f>192047+38508</f>
        <v>230555</v>
      </c>
      <c r="D840" s="182">
        <f>ROUND((C840/$C$841)*$D$841,0)</f>
        <v>226250</v>
      </c>
      <c r="E840" s="200">
        <v>-0.3</v>
      </c>
      <c r="F840" s="184"/>
      <c r="G840" s="184">
        <f>ROUND(E840*$C840,0)</f>
        <v>-69167</v>
      </c>
      <c r="H840" s="184">
        <f>ROUND(E840*$D840,0)</f>
        <v>-67875</v>
      </c>
      <c r="I840" s="200">
        <f>$I$784</f>
        <v>-0.75</v>
      </c>
      <c r="J840" s="184"/>
      <c r="K840" s="184">
        <f>ROUND(I840*$D840,0)</f>
        <v>-169688</v>
      </c>
    </row>
    <row r="841" spans="1:15">
      <c r="A841" s="1" t="s">
        <v>185</v>
      </c>
      <c r="B841" s="1"/>
      <c r="C841" s="182">
        <f>C829</f>
        <v>156981304</v>
      </c>
      <c r="D841" s="182">
        <v>154050076.39425009</v>
      </c>
      <c r="E841" s="193"/>
      <c r="F841" s="2"/>
      <c r="G841" s="2">
        <f>SUM(G822:G840)</f>
        <v>7698008</v>
      </c>
      <c r="H841" s="2">
        <f>SUM(H822:H840)</f>
        <v>7552421</v>
      </c>
      <c r="I841" s="193"/>
      <c r="J841" s="1"/>
      <c r="K841" s="2">
        <f>SUM(K822:K840)</f>
        <v>8151198</v>
      </c>
    </row>
    <row r="842" spans="1:15">
      <c r="A842" s="1" t="s">
        <v>167</v>
      </c>
      <c r="B842" s="1"/>
      <c r="C842" s="182">
        <v>687227.4909941873</v>
      </c>
      <c r="D842" s="182">
        <v>0</v>
      </c>
      <c r="E842" s="172"/>
      <c r="F842" s="172"/>
      <c r="G842" s="204">
        <v>28763.430775107623</v>
      </c>
      <c r="H842" s="204">
        <v>0</v>
      </c>
      <c r="I842" s="172"/>
      <c r="J842" s="172"/>
      <c r="K842" s="204">
        <v>0</v>
      </c>
      <c r="M842" s="152"/>
      <c r="N842" s="152"/>
      <c r="O842" s="153"/>
    </row>
    <row r="843" spans="1:15" ht="16.5" thickBot="1">
      <c r="A843" s="1" t="s">
        <v>186</v>
      </c>
      <c r="B843" s="1"/>
      <c r="C843" s="256">
        <f>SUM(C841)+C842</f>
        <v>157668531.49099419</v>
      </c>
      <c r="D843" s="256">
        <f>SUM(D829)+D842</f>
        <v>154050076</v>
      </c>
      <c r="E843" s="205"/>
      <c r="F843" s="206"/>
      <c r="G843" s="207">
        <f>G841+G842</f>
        <v>7726771.4307751078</v>
      </c>
      <c r="H843" s="207">
        <f>H841+H842</f>
        <v>7552421</v>
      </c>
      <c r="I843" s="205"/>
      <c r="J843" s="208"/>
      <c r="K843" s="207">
        <f>K841+K842</f>
        <v>8151198</v>
      </c>
      <c r="M843" s="154"/>
      <c r="N843" s="154"/>
      <c r="O843" s="155"/>
    </row>
    <row r="844" spans="1:15" ht="16.5" thickTop="1">
      <c r="A844" s="1"/>
      <c r="B844" s="1"/>
      <c r="C844" s="12"/>
      <c r="D844" s="12"/>
      <c r="E844" s="200"/>
      <c r="F844" s="2"/>
      <c r="G844" s="2"/>
      <c r="H844" s="2"/>
      <c r="I844" s="216" t="s">
        <v>13</v>
      </c>
      <c r="J844" s="1"/>
      <c r="K844" s="2" t="s">
        <v>13</v>
      </c>
    </row>
    <row r="845" spans="1:15">
      <c r="A845" s="1"/>
      <c r="B845" s="1"/>
      <c r="C845" s="12"/>
      <c r="D845" s="12"/>
      <c r="E845" s="200"/>
      <c r="F845" s="2"/>
      <c r="G845" s="2"/>
      <c r="H845" s="2"/>
      <c r="I845" s="200"/>
      <c r="J845" s="1"/>
      <c r="K845" s="243"/>
    </row>
    <row r="846" spans="1:15">
      <c r="A846" s="156" t="s">
        <v>280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172" t="s">
        <v>284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186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186" t="s">
        <v>197</v>
      </c>
      <c r="B849" s="1"/>
      <c r="C849" s="182"/>
      <c r="D849" s="182"/>
      <c r="E849" s="2"/>
      <c r="F849" s="2"/>
      <c r="G849" s="1"/>
      <c r="H849" s="1"/>
      <c r="I849" s="2"/>
      <c r="J849" s="1"/>
      <c r="K849" s="1"/>
    </row>
    <row r="850" spans="1:11">
      <c r="A850" s="186" t="s">
        <v>275</v>
      </c>
      <c r="B850" s="1"/>
      <c r="C850" s="182">
        <f>22+336+6</f>
        <v>364</v>
      </c>
      <c r="D850" s="182">
        <v>362</v>
      </c>
      <c r="E850" s="200">
        <v>1100</v>
      </c>
      <c r="F850" s="200"/>
      <c r="G850" s="2">
        <f>ROUND(E850*$C850,0)</f>
        <v>400400</v>
      </c>
      <c r="H850" s="2">
        <f>ROUND(E850*$D850,0)</f>
        <v>398200</v>
      </c>
      <c r="I850" s="200">
        <f>$I$766</f>
        <v>1205</v>
      </c>
      <c r="J850" s="184"/>
      <c r="K850" s="2">
        <f>ROUND(I850*$D850,0)</f>
        <v>436210</v>
      </c>
    </row>
    <row r="851" spans="1:11">
      <c r="A851" s="186" t="s">
        <v>276</v>
      </c>
      <c r="B851" s="1"/>
      <c r="C851" s="182">
        <f>26+25</f>
        <v>51</v>
      </c>
      <c r="D851" s="182">
        <v>51</v>
      </c>
      <c r="E851" s="200">
        <v>1325</v>
      </c>
      <c r="F851" s="200"/>
      <c r="G851" s="2">
        <f>ROUND(E851*$C851,0)</f>
        <v>67575</v>
      </c>
      <c r="H851" s="2">
        <f>ROUND(E851*$D851,0)</f>
        <v>67575</v>
      </c>
      <c r="I851" s="200">
        <f>$I$767</f>
        <v>1450</v>
      </c>
      <c r="J851" s="187"/>
      <c r="K851" s="2">
        <f>ROUND(I851*$D851,0)</f>
        <v>73950</v>
      </c>
    </row>
    <row r="852" spans="1:11">
      <c r="A852" s="186" t="s">
        <v>198</v>
      </c>
      <c r="B852" s="1"/>
      <c r="C852" s="182">
        <f>SUM(C850:C851)</f>
        <v>415</v>
      </c>
      <c r="D852" s="182">
        <f>SUM(D850:D851)</f>
        <v>413</v>
      </c>
      <c r="E852" s="200" t="s">
        <v>13</v>
      </c>
      <c r="F852" s="200"/>
      <c r="G852" s="2" t="s">
        <v>13</v>
      </c>
      <c r="H852" s="2" t="s">
        <v>13</v>
      </c>
      <c r="I852" s="200" t="s">
        <v>13</v>
      </c>
      <c r="J852" s="184"/>
      <c r="K852" s="2" t="s">
        <v>13</v>
      </c>
    </row>
    <row r="853" spans="1:11">
      <c r="A853" s="186" t="s">
        <v>277</v>
      </c>
      <c r="B853" s="1"/>
      <c r="C853" s="182">
        <f>23526+462664+7635</f>
        <v>493825</v>
      </c>
      <c r="D853" s="182">
        <f>ROUND(($D$869/$C$869)*C853,0)</f>
        <v>523963</v>
      </c>
      <c r="E853" s="200">
        <v>0.83</v>
      </c>
      <c r="F853" s="200"/>
      <c r="G853" s="2">
        <f>ROUND(E853*$C853,0)</f>
        <v>409875</v>
      </c>
      <c r="H853" s="2">
        <f>ROUND(E853*$D853,0)</f>
        <v>434889</v>
      </c>
      <c r="I853" s="200">
        <f>$I$769</f>
        <v>0.91</v>
      </c>
      <c r="J853" s="184"/>
      <c r="K853" s="2">
        <f>ROUND(I853*$D853,0)</f>
        <v>476806</v>
      </c>
    </row>
    <row r="854" spans="1:11">
      <c r="A854" s="186" t="s">
        <v>278</v>
      </c>
      <c r="B854" s="1"/>
      <c r="C854" s="182">
        <f>729270+101203</f>
        <v>830473</v>
      </c>
      <c r="D854" s="182">
        <f>ROUND(($D$869/$C$869)*C854,0)</f>
        <v>881157</v>
      </c>
      <c r="E854" s="200">
        <v>0.76</v>
      </c>
      <c r="F854" s="200"/>
      <c r="G854" s="2">
        <f>ROUND(E854*$C854,0)</f>
        <v>631159</v>
      </c>
      <c r="H854" s="2">
        <f>ROUND(E854*$D854,0)</f>
        <v>669679</v>
      </c>
      <c r="I854" s="200">
        <f>$I$770</f>
        <v>0.83</v>
      </c>
      <c r="J854" s="184"/>
      <c r="K854" s="2">
        <f>ROUND(I854*$D854,0)</f>
        <v>731360</v>
      </c>
    </row>
    <row r="855" spans="1:11">
      <c r="A855" s="172" t="s">
        <v>207</v>
      </c>
      <c r="B855" s="1"/>
      <c r="C855" s="182">
        <f>21282+702601+399599+90949+7532</f>
        <v>1221963</v>
      </c>
      <c r="D855" s="182">
        <f>ROUND(($D$869/$C$869)*C855,0)</f>
        <v>1296540</v>
      </c>
      <c r="E855" s="200">
        <v>5.52</v>
      </c>
      <c r="F855" s="200"/>
      <c r="G855" s="2">
        <f>ROUND(E855*$C855,0)</f>
        <v>6745236</v>
      </c>
      <c r="H855" s="2">
        <f>ROUND(E855*$D855,0)</f>
        <v>7156901</v>
      </c>
      <c r="I855" s="200">
        <f>$I$771</f>
        <v>6.03</v>
      </c>
      <c r="J855" s="184"/>
      <c r="K855" s="2">
        <f>ROUND(I855*$D855,0)</f>
        <v>7818136</v>
      </c>
    </row>
    <row r="856" spans="1:11">
      <c r="A856" s="186" t="s">
        <v>230</v>
      </c>
      <c r="B856" s="1"/>
      <c r="C856" s="182"/>
      <c r="D856" s="182"/>
      <c r="E856" s="200" t="s">
        <v>13</v>
      </c>
      <c r="F856" s="200"/>
      <c r="G856" s="2"/>
      <c r="H856" s="2"/>
      <c r="I856" s="200" t="s">
        <v>13</v>
      </c>
      <c r="J856" s="184"/>
      <c r="K856" s="2"/>
    </row>
    <row r="857" spans="1:11">
      <c r="A857" s="186" t="s">
        <v>268</v>
      </c>
      <c r="B857" s="1"/>
      <c r="C857" s="182">
        <f>6333900+441066001+175276602+45716850+2895600</f>
        <v>671288953</v>
      </c>
      <c r="D857" s="182">
        <f>ROUND(($D$869/$C$869)*C857,0)</f>
        <v>712258072</v>
      </c>
      <c r="E857" s="258">
        <v>3.2050000000000001</v>
      </c>
      <c r="F857" s="184" t="s">
        <v>178</v>
      </c>
      <c r="G857" s="2">
        <f>ROUND(E857/100*$C857,0)</f>
        <v>21514811</v>
      </c>
      <c r="H857" s="2">
        <f>ROUND(E857/100*$D857,0)</f>
        <v>22827871</v>
      </c>
      <c r="I857" s="258">
        <f>$I$773</f>
        <v>3.4990000000000001</v>
      </c>
      <c r="J857" s="184" t="s">
        <v>178</v>
      </c>
      <c r="K857" s="2">
        <f>ROUND(I857/100*$D857,0)</f>
        <v>24921910</v>
      </c>
    </row>
    <row r="858" spans="1:11">
      <c r="A858" s="186" t="s">
        <v>204</v>
      </c>
      <c r="B858" s="1"/>
      <c r="C858" s="182">
        <f>6818+174154+133859+26014+1576</f>
        <v>342421</v>
      </c>
      <c r="D858" s="182">
        <f>ROUND(($D$869/$C$869)*C858,0)</f>
        <v>363319</v>
      </c>
      <c r="E858" s="200">
        <v>0.45</v>
      </c>
      <c r="F858" s="184"/>
      <c r="G858" s="2">
        <f>ROUND(E858*$C858,0)</f>
        <v>154089</v>
      </c>
      <c r="H858" s="2">
        <f>ROUND(E858*$D858,0)</f>
        <v>163494</v>
      </c>
      <c r="I858" s="200">
        <f>$I$774</f>
        <v>0.45</v>
      </c>
      <c r="J858" s="184"/>
      <c r="K858" s="2">
        <f>ROUND(I858*$D858,0)</f>
        <v>163494</v>
      </c>
    </row>
    <row r="859" spans="1:11">
      <c r="A859" s="223" t="s">
        <v>205</v>
      </c>
      <c r="B859" s="1"/>
      <c r="C859" s="182"/>
      <c r="D859" s="182"/>
      <c r="E859" s="195">
        <v>-0.01</v>
      </c>
      <c r="F859" s="195"/>
      <c r="G859" s="2"/>
      <c r="H859" s="2"/>
      <c r="I859" s="195">
        <f>$I$775</f>
        <v>-0.01</v>
      </c>
      <c r="J859" s="224"/>
      <c r="K859" s="2"/>
    </row>
    <row r="860" spans="1:11">
      <c r="A860" s="186" t="s">
        <v>275</v>
      </c>
      <c r="B860" s="1"/>
      <c r="C860" s="182">
        <v>22</v>
      </c>
      <c r="D860" s="182">
        <v>22</v>
      </c>
      <c r="E860" s="197">
        <f>E850</f>
        <v>1100</v>
      </c>
      <c r="F860" s="197"/>
      <c r="G860" s="184">
        <f>ROUND(E860*$C860*$E$803,0)</f>
        <v>-242</v>
      </c>
      <c r="H860" s="184">
        <f>ROUND(E860*$D860*$E$803,0)</f>
        <v>-242</v>
      </c>
      <c r="I860" s="197">
        <f>I850</f>
        <v>1205</v>
      </c>
      <c r="J860" s="184"/>
      <c r="K860" s="184">
        <f>ROUND(I860*$D860*$E$803,0)</f>
        <v>-265</v>
      </c>
    </row>
    <row r="861" spans="1:11">
      <c r="A861" s="186" t="s">
        <v>276</v>
      </c>
      <c r="B861" s="1"/>
      <c r="C861" s="182">
        <v>26</v>
      </c>
      <c r="D861" s="182">
        <v>26</v>
      </c>
      <c r="E861" s="197">
        <f>E851</f>
        <v>1325</v>
      </c>
      <c r="F861" s="197"/>
      <c r="G861" s="184">
        <f>ROUND(E861*$C861*$E$803,0)</f>
        <v>-345</v>
      </c>
      <c r="H861" s="184">
        <f>ROUND(E861*$D861*$E$803,0)</f>
        <v>-345</v>
      </c>
      <c r="I861" s="197">
        <f>I851</f>
        <v>1450</v>
      </c>
      <c r="J861" s="184"/>
      <c r="K861" s="184">
        <f>ROUND(I861*$D861*$E$803,0)</f>
        <v>-377</v>
      </c>
    </row>
    <row r="862" spans="1:11">
      <c r="A862" s="186" t="s">
        <v>277</v>
      </c>
      <c r="B862" s="1"/>
      <c r="C862" s="182">
        <v>23526</v>
      </c>
      <c r="D862" s="182">
        <f>ROUND(($D$869/$C$869)*C862,0)</f>
        <v>24962</v>
      </c>
      <c r="E862" s="197">
        <f>E853</f>
        <v>0.83</v>
      </c>
      <c r="F862" s="197"/>
      <c r="G862" s="184">
        <f>ROUND(E862*$C862*$E$803,0)</f>
        <v>-195</v>
      </c>
      <c r="H862" s="184">
        <f>ROUND(E862*$D862*$E$803,0)</f>
        <v>-207</v>
      </c>
      <c r="I862" s="197">
        <f>I853</f>
        <v>0.91</v>
      </c>
      <c r="J862" s="184"/>
      <c r="K862" s="184">
        <f>ROUND(I862*$D862*$E$803,0)</f>
        <v>-227</v>
      </c>
    </row>
    <row r="863" spans="1:11">
      <c r="A863" s="186" t="s">
        <v>278</v>
      </c>
      <c r="B863" s="1"/>
      <c r="C863" s="182">
        <f>729270</f>
        <v>729270</v>
      </c>
      <c r="D863" s="182">
        <f>ROUND(($D$869/$C$869)*C863,0)</f>
        <v>773778</v>
      </c>
      <c r="E863" s="197">
        <f>E854</f>
        <v>0.76</v>
      </c>
      <c r="F863" s="197"/>
      <c r="G863" s="184">
        <f>ROUND(E863*$C863*$E$803,0)</f>
        <v>-5542</v>
      </c>
      <c r="H863" s="184">
        <f>ROUND(E863*$D863*$E$803,0)</f>
        <v>-5881</v>
      </c>
      <c r="I863" s="197">
        <f>I854</f>
        <v>0.83</v>
      </c>
      <c r="J863" s="184"/>
      <c r="K863" s="184">
        <f>ROUND(I863*$D863*$E$803,0)</f>
        <v>-6422</v>
      </c>
    </row>
    <row r="864" spans="1:11">
      <c r="A864" s="172" t="s">
        <v>207</v>
      </c>
      <c r="B864" s="243"/>
      <c r="C864" s="182">
        <f>21282+702601</f>
        <v>723883</v>
      </c>
      <c r="D864" s="182">
        <f>ROUND(($D$869/$C$869)*C864,0)</f>
        <v>768062</v>
      </c>
      <c r="E864" s="197">
        <f>E855</f>
        <v>5.52</v>
      </c>
      <c r="F864" s="200"/>
      <c r="G864" s="184">
        <f>ROUND(E864*$C864*$E$803,0)</f>
        <v>-39958</v>
      </c>
      <c r="H864" s="184">
        <f>ROUND(E864*$D864*$E$803,0)</f>
        <v>-42397</v>
      </c>
      <c r="I864" s="197">
        <f>I855</f>
        <v>6.03</v>
      </c>
      <c r="J864" s="184"/>
      <c r="K864" s="184">
        <f>ROUND(I864*$D864*$E$803,0)</f>
        <v>-46314</v>
      </c>
    </row>
    <row r="865" spans="1:15">
      <c r="A865" s="186" t="s">
        <v>268</v>
      </c>
      <c r="B865" s="1"/>
      <c r="C865" s="182">
        <f>6333900+441066001</f>
        <v>447399901</v>
      </c>
      <c r="D865" s="182">
        <f>ROUND(($D$869/$C$869)*C865,0)</f>
        <v>474704953</v>
      </c>
      <c r="E865" s="198">
        <f>E857</f>
        <v>3.2050000000000001</v>
      </c>
      <c r="F865" s="184" t="s">
        <v>178</v>
      </c>
      <c r="G865" s="184">
        <f>ROUND(E865/100*$C865*$E$803,0)</f>
        <v>-143392</v>
      </c>
      <c r="H865" s="184">
        <f>ROUND(E865/100*$D865*$E$803,0)</f>
        <v>-152143</v>
      </c>
      <c r="I865" s="198">
        <f>I857</f>
        <v>3.4990000000000001</v>
      </c>
      <c r="J865" s="184" t="s">
        <v>178</v>
      </c>
      <c r="K865" s="184">
        <f>ROUND(I865/100*$D865*$E$803,0)</f>
        <v>-166099</v>
      </c>
    </row>
    <row r="866" spans="1:15">
      <c r="A866" s="186" t="s">
        <v>204</v>
      </c>
      <c r="B866" s="1"/>
      <c r="C866" s="182">
        <f>6818+174154</f>
        <v>180972</v>
      </c>
      <c r="D866" s="182">
        <f>ROUND(($D$869/$C$869)*C866,0)</f>
        <v>192017</v>
      </c>
      <c r="E866" s="247">
        <f>E858</f>
        <v>0.45</v>
      </c>
      <c r="F866" s="184"/>
      <c r="G866" s="184">
        <f>ROUND(E866*$C866*$E$803,0)</f>
        <v>-814</v>
      </c>
      <c r="H866" s="184">
        <f>ROUND(E866*$D866*$E$803,0)</f>
        <v>-864</v>
      </c>
      <c r="I866" s="247">
        <f>I858</f>
        <v>0.45</v>
      </c>
      <c r="J866" s="184"/>
      <c r="K866" s="184">
        <f>ROUND(I866*$D866*$E$803,0)</f>
        <v>-864</v>
      </c>
    </row>
    <row r="867" spans="1:15">
      <c r="A867" s="172" t="s">
        <v>279</v>
      </c>
      <c r="B867" s="1"/>
      <c r="C867" s="182">
        <f>22+26</f>
        <v>48</v>
      </c>
      <c r="D867" s="182">
        <v>48</v>
      </c>
      <c r="E867" s="200">
        <v>60</v>
      </c>
      <c r="F867" s="200"/>
      <c r="G867" s="184">
        <f>ROUND(E867*$C867,0)</f>
        <v>2880</v>
      </c>
      <c r="H867" s="184">
        <f>ROUND(E867*$D867,0)</f>
        <v>2880</v>
      </c>
      <c r="I867" s="200">
        <f>$I$783</f>
        <v>60</v>
      </c>
      <c r="J867" s="184"/>
      <c r="K867" s="184">
        <f>ROUND(I867*$D867,0)</f>
        <v>2880</v>
      </c>
    </row>
    <row r="868" spans="1:15">
      <c r="A868" s="172" t="s">
        <v>248</v>
      </c>
      <c r="B868" s="1"/>
      <c r="C868" s="182">
        <f>23526+729270</f>
        <v>752796</v>
      </c>
      <c r="D868" s="182">
        <f>ROUND(($D$869/$C$869)*C868,0)</f>
        <v>798740</v>
      </c>
      <c r="E868" s="200">
        <v>-0.3</v>
      </c>
      <c r="F868" s="184"/>
      <c r="G868" s="184">
        <f>ROUND(E868*$C868,0)</f>
        <v>-225839</v>
      </c>
      <c r="H868" s="184">
        <f>ROUND(E868*$D868,0)</f>
        <v>-239622</v>
      </c>
      <c r="I868" s="200">
        <f>$I$784</f>
        <v>-0.75</v>
      </c>
      <c r="J868" s="184"/>
      <c r="K868" s="184">
        <f>ROUND(I868*$D868,0)</f>
        <v>-599055</v>
      </c>
    </row>
    <row r="869" spans="1:15">
      <c r="A869" s="1" t="s">
        <v>185</v>
      </c>
      <c r="B869" s="1"/>
      <c r="C869" s="182">
        <f>C857</f>
        <v>671288953</v>
      </c>
      <c r="D869" s="182">
        <v>712258072.33019459</v>
      </c>
      <c r="E869" s="193"/>
      <c r="F869" s="2"/>
      <c r="G869" s="2">
        <f>SUM(G850:G868)</f>
        <v>29509698</v>
      </c>
      <c r="H869" s="2">
        <f>SUM(H850:H868)</f>
        <v>31279788</v>
      </c>
      <c r="I869" s="193"/>
      <c r="J869" s="1"/>
      <c r="K869" s="2">
        <f>SUM(K850:K868)</f>
        <v>33805123</v>
      </c>
    </row>
    <row r="870" spans="1:15">
      <c r="A870" s="1" t="s">
        <v>167</v>
      </c>
      <c r="B870" s="1"/>
      <c r="C870" s="182">
        <v>-15164629.489788763</v>
      </c>
      <c r="D870" s="182">
        <v>0</v>
      </c>
      <c r="E870" s="172"/>
      <c r="F870" s="172"/>
      <c r="G870" s="204">
        <v>-567791.90919455024</v>
      </c>
      <c r="H870" s="204">
        <v>0</v>
      </c>
      <c r="I870" s="172"/>
      <c r="J870" s="172"/>
      <c r="K870" s="204">
        <v>0</v>
      </c>
      <c r="M870" s="152"/>
      <c r="N870" s="152"/>
      <c r="O870" s="153"/>
    </row>
    <row r="871" spans="1:15" ht="16.5" thickBot="1">
      <c r="A871" s="1" t="s">
        <v>186</v>
      </c>
      <c r="B871" s="1"/>
      <c r="C871" s="256">
        <f>SUM(C869)+C870</f>
        <v>656124323.51021123</v>
      </c>
      <c r="D871" s="256">
        <f>SUM(D857)+D870</f>
        <v>712258072</v>
      </c>
      <c r="E871" s="205"/>
      <c r="F871" s="206"/>
      <c r="G871" s="207">
        <f>G869+G870</f>
        <v>28941906.090805449</v>
      </c>
      <c r="H871" s="207">
        <f>H869+H870</f>
        <v>31279788</v>
      </c>
      <c r="I871" s="205"/>
      <c r="J871" s="208"/>
      <c r="K871" s="207">
        <f>K869+K870</f>
        <v>33805123</v>
      </c>
      <c r="M871" s="154"/>
      <c r="N871" s="154"/>
      <c r="O871" s="155"/>
    </row>
    <row r="872" spans="1:15" ht="16.5" thickTop="1">
      <c r="A872" s="1"/>
      <c r="B872" s="1"/>
      <c r="C872" s="12"/>
      <c r="D872" s="12"/>
      <c r="E872" s="200"/>
      <c r="F872" s="2"/>
      <c r="G872" s="2"/>
      <c r="H872" s="2"/>
      <c r="I872" s="216" t="s">
        <v>13</v>
      </c>
      <c r="J872" s="1"/>
      <c r="K872" s="2" t="s">
        <v>13</v>
      </c>
    </row>
    <row r="873" spans="1:15">
      <c r="A873" s="156" t="s">
        <v>285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172" t="s">
        <v>284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186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186" t="s">
        <v>197</v>
      </c>
      <c r="B876" s="1"/>
      <c r="C876" s="182"/>
      <c r="D876" s="182"/>
      <c r="E876" s="2"/>
      <c r="F876" s="2"/>
      <c r="G876" s="1"/>
      <c r="H876" s="1"/>
      <c r="I876" s="2"/>
      <c r="J876" s="1"/>
      <c r="K876" s="1"/>
    </row>
    <row r="877" spans="1:15">
      <c r="A877" s="186" t="s">
        <v>275</v>
      </c>
      <c r="B877" s="1"/>
      <c r="C877" s="182">
        <v>0</v>
      </c>
      <c r="D877" s="182">
        <v>0</v>
      </c>
      <c r="E877" s="200">
        <v>1100</v>
      </c>
      <c r="F877" s="200"/>
      <c r="G877" s="2">
        <f>ROUND(E877*$C877,0)</f>
        <v>0</v>
      </c>
      <c r="H877" s="2">
        <f>ROUND(E877*$D877,0)</f>
        <v>0</v>
      </c>
      <c r="I877" s="200">
        <f>$I$766</f>
        <v>1205</v>
      </c>
      <c r="J877" s="184"/>
      <c r="K877" s="2">
        <f>ROUND(I877*$D877,0)</f>
        <v>0</v>
      </c>
    </row>
    <row r="878" spans="1:15">
      <c r="A878" s="186" t="s">
        <v>276</v>
      </c>
      <c r="B878" s="1"/>
      <c r="C878" s="182">
        <v>12</v>
      </c>
      <c r="D878" s="182">
        <v>12</v>
      </c>
      <c r="E878" s="200">
        <v>1325</v>
      </c>
      <c r="F878" s="200"/>
      <c r="G878" s="2">
        <f>ROUND(E878*$C878,0)</f>
        <v>15900</v>
      </c>
      <c r="H878" s="2">
        <f>ROUND(E878*$D878,0)</f>
        <v>15900</v>
      </c>
      <c r="I878" s="200">
        <f>$I$767</f>
        <v>1450</v>
      </c>
      <c r="J878" s="187"/>
      <c r="K878" s="2">
        <f>ROUND(I878*$D878,0)</f>
        <v>17400</v>
      </c>
    </row>
    <row r="879" spans="1:15">
      <c r="A879" s="186" t="s">
        <v>198</v>
      </c>
      <c r="B879" s="1"/>
      <c r="C879" s="182">
        <f>SUM(C877:C878)</f>
        <v>12</v>
      </c>
      <c r="D879" s="182">
        <v>12</v>
      </c>
      <c r="E879" s="200" t="s">
        <v>13</v>
      </c>
      <c r="F879" s="200"/>
      <c r="G879" s="2" t="s">
        <v>13</v>
      </c>
      <c r="H879" s="2" t="s">
        <v>13</v>
      </c>
      <c r="I879" s="200" t="s">
        <v>13</v>
      </c>
      <c r="J879" s="184"/>
      <c r="K879" s="2" t="s">
        <v>13</v>
      </c>
    </row>
    <row r="880" spans="1:15">
      <c r="A880" s="186" t="s">
        <v>277</v>
      </c>
      <c r="B880" s="1"/>
      <c r="C880" s="182">
        <v>0</v>
      </c>
      <c r="D880" s="182">
        <v>0</v>
      </c>
      <c r="E880" s="200">
        <v>0.83</v>
      </c>
      <c r="F880" s="200"/>
      <c r="G880" s="2">
        <f>ROUND(E880*$C880,0)</f>
        <v>0</v>
      </c>
      <c r="H880" s="2">
        <f>ROUND(E880*$D880,0)</f>
        <v>0</v>
      </c>
      <c r="I880" s="200">
        <f>$I$769</f>
        <v>0.91</v>
      </c>
      <c r="J880" s="184"/>
      <c r="K880" s="2">
        <f>ROUND(I880*$D880,0)</f>
        <v>0</v>
      </c>
    </row>
    <row r="881" spans="1:11">
      <c r="A881" s="186" t="s">
        <v>278</v>
      </c>
      <c r="B881" s="1"/>
      <c r="C881" s="182">
        <v>205024</v>
      </c>
      <c r="D881" s="182">
        <f>ROUND(($D$896/$C$896)*C881,0)</f>
        <v>124257</v>
      </c>
      <c r="E881" s="200">
        <v>0.76</v>
      </c>
      <c r="F881" s="200"/>
      <c r="G881" s="2">
        <f>ROUND(E881*$C881,0)</f>
        <v>155818</v>
      </c>
      <c r="H881" s="2">
        <f>ROUND(E881*$D881,0)</f>
        <v>94435</v>
      </c>
      <c r="I881" s="200">
        <f>$I$770</f>
        <v>0.83</v>
      </c>
      <c r="J881" s="184"/>
      <c r="K881" s="2">
        <f>ROUND(I881*$D881,0)</f>
        <v>103133</v>
      </c>
    </row>
    <row r="882" spans="1:11">
      <c r="A882" s="172" t="s">
        <v>207</v>
      </c>
      <c r="B882" s="1"/>
      <c r="C882" s="182">
        <v>158638</v>
      </c>
      <c r="D882" s="182">
        <f>ROUND(($D$896/$C$896)*C882,0)</f>
        <v>96144</v>
      </c>
      <c r="E882" s="200">
        <v>5.52</v>
      </c>
      <c r="F882" s="200"/>
      <c r="G882" s="2">
        <f>ROUND(E882*$C882,0)</f>
        <v>875682</v>
      </c>
      <c r="H882" s="2">
        <f>ROUND(E882*$D882,0)</f>
        <v>530715</v>
      </c>
      <c r="I882" s="200">
        <f>$I$771</f>
        <v>6.03</v>
      </c>
      <c r="J882" s="184"/>
      <c r="K882" s="2">
        <f>ROUND(I882*$D882,0)</f>
        <v>579748</v>
      </c>
    </row>
    <row r="883" spans="1:11">
      <c r="A883" s="186" t="s">
        <v>230</v>
      </c>
      <c r="B883" s="1"/>
      <c r="C883" s="182"/>
      <c r="D883" s="182"/>
      <c r="E883" s="200" t="s">
        <v>13</v>
      </c>
      <c r="F883" s="200"/>
      <c r="G883" s="2"/>
      <c r="H883" s="2"/>
      <c r="I883" s="200" t="s">
        <v>13</v>
      </c>
      <c r="J883" s="184"/>
      <c r="K883" s="2"/>
    </row>
    <row r="884" spans="1:11">
      <c r="A884" s="186" t="s">
        <v>268</v>
      </c>
      <c r="B884" s="1"/>
      <c r="C884" s="182">
        <f>43689000</f>
        <v>43689000</v>
      </c>
      <c r="D884" s="182">
        <f>ROUND(($D$896/$C$896)*C884,0)</f>
        <v>26478236</v>
      </c>
      <c r="E884" s="258">
        <v>3.2050000000000001</v>
      </c>
      <c r="F884" s="184" t="s">
        <v>178</v>
      </c>
      <c r="G884" s="2">
        <f>ROUND(E884/100*$C884,0)</f>
        <v>1400232</v>
      </c>
      <c r="H884" s="2">
        <f>ROUND(E884/100*$D884,0)</f>
        <v>848627</v>
      </c>
      <c r="I884" s="258">
        <f>$I$773</f>
        <v>3.4990000000000001</v>
      </c>
      <c r="J884" s="184" t="s">
        <v>178</v>
      </c>
      <c r="K884" s="2">
        <f>ROUND(I884/100*$D884,0)</f>
        <v>926473</v>
      </c>
    </row>
    <row r="885" spans="1:11">
      <c r="A885" s="186" t="s">
        <v>204</v>
      </c>
      <c r="B885" s="1"/>
      <c r="C885" s="182">
        <v>22988</v>
      </c>
      <c r="D885" s="182">
        <f>ROUND(($D$896/$C$896)*C885,0)</f>
        <v>13932</v>
      </c>
      <c r="E885" s="200">
        <v>0.45</v>
      </c>
      <c r="F885" s="184"/>
      <c r="G885" s="2">
        <f>ROUND(E885*$C885,0)</f>
        <v>10345</v>
      </c>
      <c r="H885" s="2">
        <f>ROUND(E885*$D885,0)</f>
        <v>6269</v>
      </c>
      <c r="I885" s="200">
        <f>$I$774</f>
        <v>0.45</v>
      </c>
      <c r="J885" s="184"/>
      <c r="K885" s="2">
        <f>ROUND(I885*$D885,0)</f>
        <v>6269</v>
      </c>
    </row>
    <row r="886" spans="1:11">
      <c r="A886" s="223" t="s">
        <v>205</v>
      </c>
      <c r="B886" s="1"/>
      <c r="C886" s="182"/>
      <c r="D886" s="182"/>
      <c r="E886" s="195">
        <v>-0.01</v>
      </c>
      <c r="F886" s="195"/>
      <c r="G886" s="2"/>
      <c r="H886" s="2"/>
      <c r="I886" s="195">
        <f>$I$775</f>
        <v>-0.01</v>
      </c>
      <c r="J886" s="224"/>
      <c r="K886" s="2"/>
    </row>
    <row r="887" spans="1:11">
      <c r="A887" s="186" t="s">
        <v>275</v>
      </c>
      <c r="B887" s="1"/>
      <c r="C887" s="182">
        <v>0</v>
      </c>
      <c r="D887" s="182">
        <v>0</v>
      </c>
      <c r="E887" s="197">
        <f>E877</f>
        <v>1100</v>
      </c>
      <c r="F887" s="197"/>
      <c r="G887" s="184">
        <f>ROUND(E887*$C887*$E$803,0)</f>
        <v>0</v>
      </c>
      <c r="H887" s="184">
        <f>ROUND(E887*$D887*$E$803,0)</f>
        <v>0</v>
      </c>
      <c r="I887" s="197">
        <f>I877</f>
        <v>1205</v>
      </c>
      <c r="J887" s="184"/>
      <c r="K887" s="184">
        <f>ROUND(I887*$D887*$E$803,0)</f>
        <v>0</v>
      </c>
    </row>
    <row r="888" spans="1:11">
      <c r="A888" s="186" t="s">
        <v>276</v>
      </c>
      <c r="B888" s="1"/>
      <c r="C888" s="182">
        <v>12</v>
      </c>
      <c r="D888" s="182">
        <v>12</v>
      </c>
      <c r="E888" s="197">
        <f>E878</f>
        <v>1325</v>
      </c>
      <c r="F888" s="197"/>
      <c r="G888" s="184">
        <f>ROUND(E888*$C888*$E$803,0)</f>
        <v>-159</v>
      </c>
      <c r="H888" s="184">
        <f>ROUND(E888*$D888*$E$803,0)</f>
        <v>-159</v>
      </c>
      <c r="I888" s="197">
        <f>I878</f>
        <v>1450</v>
      </c>
      <c r="J888" s="184"/>
      <c r="K888" s="184">
        <f>ROUND(I888*$D888*$E$803,0)</f>
        <v>-174</v>
      </c>
    </row>
    <row r="889" spans="1:11">
      <c r="A889" s="186" t="s">
        <v>277</v>
      </c>
      <c r="B889" s="1"/>
      <c r="C889" s="182">
        <v>0</v>
      </c>
      <c r="D889" s="182">
        <v>0</v>
      </c>
      <c r="E889" s="197">
        <f>E880</f>
        <v>0.83</v>
      </c>
      <c r="F889" s="197"/>
      <c r="G889" s="184">
        <f>ROUND(E889*$C889*$E$803,0)</f>
        <v>0</v>
      </c>
      <c r="H889" s="184">
        <f>ROUND(E889*$D889*$E$803,0)</f>
        <v>0</v>
      </c>
      <c r="I889" s="197">
        <f>I880</f>
        <v>0.91</v>
      </c>
      <c r="J889" s="184"/>
      <c r="K889" s="184">
        <f>ROUND(I889*$D889*$E$803,0)</f>
        <v>0</v>
      </c>
    </row>
    <row r="890" spans="1:11">
      <c r="A890" s="186" t="s">
        <v>278</v>
      </c>
      <c r="B890" s="1"/>
      <c r="C890" s="182">
        <v>205024</v>
      </c>
      <c r="D890" s="182">
        <f>ROUND(($D$896/$C$896)*C890,0)</f>
        <v>124257</v>
      </c>
      <c r="E890" s="197">
        <f>E881</f>
        <v>0.76</v>
      </c>
      <c r="F890" s="197"/>
      <c r="G890" s="184">
        <f>ROUND(E890*$C890*$E$803,0)</f>
        <v>-1558</v>
      </c>
      <c r="H890" s="184">
        <f>ROUND(E890*$D890*$E$803,0)</f>
        <v>-944</v>
      </c>
      <c r="I890" s="197">
        <f>I881</f>
        <v>0.83</v>
      </c>
      <c r="J890" s="184"/>
      <c r="K890" s="184">
        <f>ROUND(I890*$D890*$E$803,0)</f>
        <v>-1031</v>
      </c>
    </row>
    <row r="891" spans="1:11">
      <c r="A891" s="172" t="s">
        <v>207</v>
      </c>
      <c r="B891" s="243"/>
      <c r="C891" s="182">
        <v>158638</v>
      </c>
      <c r="D891" s="182">
        <f>ROUND(($D$896/$C$896)*C891,0)</f>
        <v>96144</v>
      </c>
      <c r="E891" s="197">
        <f>E882</f>
        <v>5.52</v>
      </c>
      <c r="F891" s="200"/>
      <c r="G891" s="184">
        <f>ROUND(E891*$C891*$E$803,0)</f>
        <v>-8757</v>
      </c>
      <c r="H891" s="184">
        <f>ROUND(E891*$D891*$E$803,0)</f>
        <v>-5307</v>
      </c>
      <c r="I891" s="197">
        <f>I882</f>
        <v>6.03</v>
      </c>
      <c r="J891" s="184"/>
      <c r="K891" s="184">
        <f>ROUND(I891*$D891*$E$803,0)</f>
        <v>-5797</v>
      </c>
    </row>
    <row r="892" spans="1:11">
      <c r="A892" s="186" t="s">
        <v>268</v>
      </c>
      <c r="B892" s="1"/>
      <c r="C892" s="182">
        <f>C884</f>
        <v>43689000</v>
      </c>
      <c r="D892" s="182">
        <f>ROUND(($D$896/$C$896)*C892,0)</f>
        <v>26478236</v>
      </c>
      <c r="E892" s="198">
        <f>E884</f>
        <v>3.2050000000000001</v>
      </c>
      <c r="F892" s="184" t="s">
        <v>178</v>
      </c>
      <c r="G892" s="184">
        <f>ROUND(E892/100*$C892*$E$803,0)</f>
        <v>-14002</v>
      </c>
      <c r="H892" s="184">
        <f>ROUND(E892/100*$D892*$E$803,0)</f>
        <v>-8486</v>
      </c>
      <c r="I892" s="198">
        <f>I884</f>
        <v>3.4990000000000001</v>
      </c>
      <c r="J892" s="184" t="s">
        <v>178</v>
      </c>
      <c r="K892" s="184">
        <f>ROUND(I892/100*$D892*$E$803,0)</f>
        <v>-9265</v>
      </c>
    </row>
    <row r="893" spans="1:11">
      <c r="A893" s="186" t="s">
        <v>204</v>
      </c>
      <c r="B893" s="1"/>
      <c r="C893" s="182">
        <v>22988</v>
      </c>
      <c r="D893" s="182">
        <f>ROUND(($D$896/$C$896)*C893,0)</f>
        <v>13932</v>
      </c>
      <c r="E893" s="247">
        <f>E885</f>
        <v>0.45</v>
      </c>
      <c r="F893" s="184"/>
      <c r="G893" s="184">
        <f>ROUND(E893*$C893*$E$803,0)</f>
        <v>-103</v>
      </c>
      <c r="H893" s="184">
        <f>ROUND(E893*$D893*$E$803,0)</f>
        <v>-63</v>
      </c>
      <c r="I893" s="247">
        <f>I885</f>
        <v>0.45</v>
      </c>
      <c r="J893" s="184"/>
      <c r="K893" s="184">
        <f>ROUND(I893*$D893*$E$803,0)</f>
        <v>-63</v>
      </c>
    </row>
    <row r="894" spans="1:11">
      <c r="A894" s="172" t="s">
        <v>279</v>
      </c>
      <c r="B894" s="1"/>
      <c r="C894" s="182">
        <v>12</v>
      </c>
      <c r="D894" s="182">
        <v>12</v>
      </c>
      <c r="E894" s="200">
        <v>60</v>
      </c>
      <c r="F894" s="200"/>
      <c r="G894" s="184">
        <f>ROUND(E894*$C894,0)</f>
        <v>720</v>
      </c>
      <c r="H894" s="184">
        <f>ROUND(E894*$D894,0)</f>
        <v>720</v>
      </c>
      <c r="I894" s="200">
        <f>$I$783</f>
        <v>60</v>
      </c>
      <c r="J894" s="184"/>
      <c r="K894" s="184">
        <f>ROUND(I894*$D894,0)</f>
        <v>720</v>
      </c>
    </row>
    <row r="895" spans="1:11">
      <c r="A895" s="172" t="s">
        <v>248</v>
      </c>
      <c r="B895" s="1"/>
      <c r="C895" s="182">
        <v>205024</v>
      </c>
      <c r="D895" s="182">
        <f>ROUND(($D$896/$C$896)*C895,0)</f>
        <v>124257</v>
      </c>
      <c r="E895" s="200">
        <v>-0.3</v>
      </c>
      <c r="F895" s="184"/>
      <c r="G895" s="184">
        <f>ROUND(E895*$C895,0)</f>
        <v>-61507</v>
      </c>
      <c r="H895" s="184">
        <f>ROUND(E895*$D895,0)</f>
        <v>-37277</v>
      </c>
      <c r="I895" s="200">
        <f>$I$784</f>
        <v>-0.75</v>
      </c>
      <c r="J895" s="184"/>
      <c r="K895" s="184">
        <f>ROUND(I895*$D895,0)</f>
        <v>-93193</v>
      </c>
    </row>
    <row r="896" spans="1:11">
      <c r="A896" s="1" t="s">
        <v>185</v>
      </c>
      <c r="B896" s="1"/>
      <c r="C896" s="182">
        <f>C884</f>
        <v>43689000</v>
      </c>
      <c r="D896" s="182">
        <v>26478236.454041336</v>
      </c>
      <c r="E896" s="193"/>
      <c r="F896" s="2"/>
      <c r="G896" s="2">
        <f>SUM(G877:G895)</f>
        <v>2372611</v>
      </c>
      <c r="H896" s="2">
        <f>SUM(H877:H895)</f>
        <v>1444430</v>
      </c>
      <c r="I896" s="193"/>
      <c r="J896" s="1"/>
      <c r="K896" s="2">
        <f>SUM(K877:K895)</f>
        <v>1524220</v>
      </c>
    </row>
    <row r="897" spans="1:24">
      <c r="A897" s="1" t="s">
        <v>167</v>
      </c>
      <c r="B897" s="1"/>
      <c r="C897" s="182">
        <v>-984756.22694993159</v>
      </c>
      <c r="D897" s="182">
        <v>0</v>
      </c>
      <c r="E897" s="172"/>
      <c r="F897" s="172"/>
      <c r="G897" s="204">
        <v>-45079.171949096344</v>
      </c>
      <c r="H897" s="204">
        <v>0</v>
      </c>
      <c r="I897" s="172"/>
      <c r="J897" s="172"/>
      <c r="K897" s="204">
        <v>0</v>
      </c>
      <c r="M897" s="152"/>
      <c r="N897" s="152"/>
      <c r="O897" s="153"/>
    </row>
    <row r="898" spans="1:24" ht="16.5" thickBot="1">
      <c r="A898" s="1" t="s">
        <v>186</v>
      </c>
      <c r="B898" s="1"/>
      <c r="C898" s="256">
        <f>SUM(C896)+C897</f>
        <v>42704243.77305007</v>
      </c>
      <c r="D898" s="256">
        <f>SUM(D884)+D897</f>
        <v>26478236</v>
      </c>
      <c r="E898" s="205"/>
      <c r="F898" s="206"/>
      <c r="G898" s="207">
        <f>G896+G897</f>
        <v>2327531.8280509035</v>
      </c>
      <c r="H898" s="207">
        <f>H896+H897</f>
        <v>1444430</v>
      </c>
      <c r="I898" s="205"/>
      <c r="J898" s="208"/>
      <c r="K898" s="207">
        <f>K896+K897</f>
        <v>1524220</v>
      </c>
      <c r="M898" s="154"/>
      <c r="N898" s="154"/>
      <c r="O898" s="155"/>
    </row>
    <row r="899" spans="1:24" ht="16.5" thickTop="1">
      <c r="A899" s="1"/>
      <c r="B899" s="1"/>
      <c r="C899" s="12"/>
      <c r="D899" s="12"/>
      <c r="E899" s="200"/>
      <c r="F899" s="2"/>
      <c r="G899" s="2"/>
      <c r="H899" s="2"/>
      <c r="I899" s="216" t="s">
        <v>13</v>
      </c>
      <c r="J899" s="1"/>
      <c r="K899" s="2" t="s">
        <v>13</v>
      </c>
    </row>
    <row r="900" spans="1:24">
      <c r="A900" s="156" t="s">
        <v>286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287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</row>
    <row r="903" spans="1:24">
      <c r="A903" s="1" t="s">
        <v>288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40"/>
      <c r="N903" s="140"/>
      <c r="O903" s="140"/>
      <c r="Q903" s="260"/>
      <c r="R903" s="143"/>
      <c r="S903" s="144"/>
      <c r="T903" s="145"/>
      <c r="U903" s="141"/>
      <c r="V903" s="141"/>
      <c r="W903" s="141"/>
      <c r="X903" s="141"/>
    </row>
    <row r="904" spans="1:24">
      <c r="A904" s="3" t="s">
        <v>162</v>
      </c>
      <c r="C904" s="127">
        <f>15247</f>
        <v>15247</v>
      </c>
      <c r="D904" s="127">
        <f>ROUND(($D$909/$C$909)*C904,0)</f>
        <v>15700</v>
      </c>
      <c r="E904" s="128">
        <v>7.61</v>
      </c>
      <c r="G904" s="2">
        <f>ROUND(E904*$C904,0)</f>
        <v>116030</v>
      </c>
      <c r="H904" s="2">
        <f>ROUND(E904*$D904,0)</f>
        <v>119477</v>
      </c>
      <c r="I904" s="128">
        <v>7.61</v>
      </c>
      <c r="K904" s="2">
        <f>ROUND(I904*$D904,0)</f>
        <v>119477</v>
      </c>
      <c r="M904" s="42">
        <f>I904*D904</f>
        <v>119477</v>
      </c>
      <c r="O904" s="261">
        <v>31</v>
      </c>
      <c r="P904" s="262">
        <f>O904*D904</f>
        <v>486700</v>
      </c>
      <c r="Q904" s="263" t="e">
        <f>$P$910*O904</f>
        <v>#REF!</v>
      </c>
      <c r="R904" s="264" t="e">
        <f>ROUND(E904+Q904,2)</f>
        <v>#REF!</v>
      </c>
      <c r="S904" s="147"/>
      <c r="T904" s="141"/>
      <c r="U904" s="144"/>
      <c r="V904" s="144"/>
      <c r="W904" s="148"/>
      <c r="X904" s="144"/>
    </row>
    <row r="905" spans="1:24">
      <c r="A905" s="3" t="s">
        <v>289</v>
      </c>
      <c r="C905" s="127">
        <f>14583</f>
        <v>14583</v>
      </c>
      <c r="D905" s="127">
        <f>ROUND(($D$909/$C$909)*C905,0)</f>
        <v>15016</v>
      </c>
      <c r="E905" s="128">
        <v>9.1300000000000008</v>
      </c>
      <c r="G905" s="2">
        <f>ROUND(E905*$C905,0)</f>
        <v>133143</v>
      </c>
      <c r="H905" s="2">
        <f>ROUND(E905*$D905,0)</f>
        <v>137096</v>
      </c>
      <c r="I905" s="128">
        <v>9.1300000000000008</v>
      </c>
      <c r="K905" s="2">
        <f>ROUND(I905*$D905,0)</f>
        <v>137096</v>
      </c>
      <c r="M905" s="42">
        <f>I905*D905</f>
        <v>137096.08000000002</v>
      </c>
      <c r="O905" s="265">
        <v>44</v>
      </c>
      <c r="P905" s="38">
        <f>O905*D905</f>
        <v>660704</v>
      </c>
      <c r="Q905" s="266" t="e">
        <f>$P$910*O905</f>
        <v>#REF!</v>
      </c>
      <c r="R905" s="267" t="e">
        <f>ROUND(E905+Q905,2)</f>
        <v>#REF!</v>
      </c>
      <c r="S905" s="141"/>
      <c r="T905" s="141"/>
      <c r="U905" s="144"/>
      <c r="V905" s="144"/>
      <c r="W905" s="148"/>
      <c r="X905" s="144"/>
    </row>
    <row r="906" spans="1:24">
      <c r="A906" s="3" t="s">
        <v>163</v>
      </c>
      <c r="C906" s="127">
        <f>17554</f>
        <v>17554</v>
      </c>
      <c r="D906" s="127">
        <f>ROUND(($D$909/$C$909)*C906,0)</f>
        <v>18075</v>
      </c>
      <c r="E906" s="128">
        <v>13.33</v>
      </c>
      <c r="G906" s="2">
        <f>ROUND(E906*$C906,0)</f>
        <v>233995</v>
      </c>
      <c r="H906" s="2">
        <f>ROUND(E906*$D906,0)</f>
        <v>240940</v>
      </c>
      <c r="I906" s="128">
        <v>13.33</v>
      </c>
      <c r="K906" s="2">
        <f>ROUND(I906*$D906,0)</f>
        <v>240940</v>
      </c>
      <c r="M906" s="42">
        <f>I906*D906</f>
        <v>240939.75</v>
      </c>
      <c r="O906" s="265">
        <v>85</v>
      </c>
      <c r="P906" s="38">
        <f>O906*D906</f>
        <v>1536375</v>
      </c>
      <c r="Q906" s="266" t="e">
        <f>$P$910*O906</f>
        <v>#REF!</v>
      </c>
      <c r="R906" s="267" t="e">
        <f>ROUND(E906+Q906,2)</f>
        <v>#REF!</v>
      </c>
      <c r="S906" s="141"/>
      <c r="T906" s="141"/>
      <c r="U906" s="144"/>
      <c r="V906" s="144"/>
      <c r="W906" s="148"/>
      <c r="X906" s="144"/>
    </row>
    <row r="907" spans="1:24">
      <c r="A907" s="3" t="s">
        <v>164</v>
      </c>
      <c r="C907" s="127">
        <f>1478</f>
        <v>1478</v>
      </c>
      <c r="D907" s="127">
        <f>ROUND(($D$909/$C$909)*C907,0)</f>
        <v>1522</v>
      </c>
      <c r="E907" s="128">
        <v>22.32</v>
      </c>
      <c r="G907" s="2">
        <f>ROUND(E907*$C907,0)</f>
        <v>32989</v>
      </c>
      <c r="H907" s="2">
        <f>ROUND(E907*$D907,0)</f>
        <v>33971</v>
      </c>
      <c r="I907" s="128">
        <v>22.32</v>
      </c>
      <c r="K907" s="2">
        <f>ROUND(I907*$D907,0)</f>
        <v>33971</v>
      </c>
      <c r="M907" s="42">
        <f>I907*D907</f>
        <v>33971.040000000001</v>
      </c>
      <c r="O907" s="265">
        <v>176</v>
      </c>
      <c r="P907" s="38">
        <f>O907*D907</f>
        <v>267872</v>
      </c>
      <c r="Q907" s="266" t="e">
        <f>$P$910*O907</f>
        <v>#REF!</v>
      </c>
      <c r="R907" s="267" t="e">
        <f>ROUND(E907+Q907,2)</f>
        <v>#REF!</v>
      </c>
      <c r="S907" s="141"/>
      <c r="T907" s="141"/>
      <c r="U907" s="144"/>
      <c r="V907" s="144"/>
      <c r="W907" s="148"/>
      <c r="X907" s="144"/>
    </row>
    <row r="908" spans="1:24">
      <c r="A908" s="3" t="s">
        <v>166</v>
      </c>
      <c r="C908" s="127">
        <f>178*12</f>
        <v>2136</v>
      </c>
      <c r="D908" s="127">
        <v>1874</v>
      </c>
      <c r="E908" s="128"/>
      <c r="G908" s="2"/>
      <c r="H908" s="2"/>
      <c r="I908" s="128"/>
      <c r="K908" s="2"/>
      <c r="O908" s="265"/>
      <c r="P908" s="38">
        <f>SUM(P904:P907)</f>
        <v>2951651</v>
      </c>
      <c r="Q908" s="266"/>
      <c r="R908" s="267"/>
      <c r="S908" s="141"/>
      <c r="T908" s="141"/>
      <c r="U908" s="144"/>
      <c r="V908" s="144"/>
      <c r="W908" s="144"/>
      <c r="X908" s="144"/>
    </row>
    <row r="909" spans="1:24">
      <c r="A909" s="3" t="s">
        <v>185</v>
      </c>
      <c r="C909" s="127">
        <v>2866398.1098855259</v>
      </c>
      <c r="D909" s="127">
        <v>2951534.6465794938</v>
      </c>
      <c r="E909" s="132"/>
      <c r="F909" s="11"/>
      <c r="G909" s="135">
        <f>SUM(G904:G907)</f>
        <v>516157</v>
      </c>
      <c r="H909" s="135">
        <f>SUM(H904:H907)</f>
        <v>531484</v>
      </c>
      <c r="I909" s="132"/>
      <c r="J909" s="11"/>
      <c r="K909" s="135">
        <f>SUM(K904:K907)</f>
        <v>531484</v>
      </c>
      <c r="M909" s="42">
        <f>SUM(M904:M908)</f>
        <v>531483.87</v>
      </c>
      <c r="O909" s="265"/>
      <c r="P909" s="268" t="e">
        <f>O911-H911</f>
        <v>#REF!</v>
      </c>
      <c r="Q909" s="11"/>
      <c r="R909" s="269"/>
      <c r="S909" s="141"/>
      <c r="T909" s="141"/>
      <c r="U909" s="151"/>
      <c r="V909" s="141"/>
      <c r="W909" s="141"/>
      <c r="X909" s="141"/>
    </row>
    <row r="910" spans="1:24">
      <c r="A910" s="3" t="s">
        <v>167</v>
      </c>
      <c r="C910" s="127">
        <v>35840.593415054755</v>
      </c>
      <c r="D910" s="127">
        <v>0</v>
      </c>
      <c r="E910" s="132"/>
      <c r="F910" s="11"/>
      <c r="G910" s="135">
        <v>6155.2420195719942</v>
      </c>
      <c r="H910" s="135">
        <v>0</v>
      </c>
      <c r="I910" s="132"/>
      <c r="J910" s="11"/>
      <c r="K910" s="135">
        <v>0</v>
      </c>
      <c r="M910" s="152"/>
      <c r="N910" s="152"/>
      <c r="O910" s="270"/>
      <c r="P910" s="271" t="e">
        <f>P909/P908</f>
        <v>#REF!</v>
      </c>
      <c r="Q910" s="50"/>
      <c r="R910" s="272"/>
      <c r="S910" s="144"/>
      <c r="T910" s="141"/>
      <c r="U910" s="11"/>
      <c r="V910" s="11"/>
      <c r="W910" s="11"/>
      <c r="X910" s="11"/>
    </row>
    <row r="911" spans="1:24" ht="16.5" thickBot="1">
      <c r="A911" s="3" t="s">
        <v>1</v>
      </c>
      <c r="C911" s="136">
        <f>C909+C910</f>
        <v>2902238.7033005808</v>
      </c>
      <c r="D911" s="136">
        <f>D909+D910</f>
        <v>2951534.6465794938</v>
      </c>
      <c r="E911" s="137"/>
      <c r="F911" s="137"/>
      <c r="G911" s="137">
        <f>G909+G910</f>
        <v>522312.242019572</v>
      </c>
      <c r="H911" s="137">
        <f>H909+H910</f>
        <v>531484</v>
      </c>
      <c r="I911" s="137"/>
      <c r="J911" s="137"/>
      <c r="K911" s="137">
        <f>K909+K910</f>
        <v>531484</v>
      </c>
      <c r="M911" s="154"/>
      <c r="N911" s="140" t="s">
        <v>213</v>
      </c>
      <c r="O911" s="273" t="e">
        <f>#REF!*1000</f>
        <v>#REF!</v>
      </c>
      <c r="P911" s="140"/>
      <c r="S911" s="141"/>
      <c r="T911" s="141"/>
      <c r="U911" s="11"/>
      <c r="V911" s="11"/>
      <c r="W911" s="11"/>
      <c r="X911" s="11"/>
    </row>
    <row r="912" spans="1:24" ht="16.5" thickTop="1">
      <c r="A912" s="1"/>
      <c r="B912" s="1"/>
      <c r="C912" s="12"/>
      <c r="D912" s="12"/>
      <c r="E912" s="12"/>
      <c r="F912" s="12"/>
      <c r="G912" s="2"/>
      <c r="H912" s="2"/>
      <c r="I912" s="12" t="s">
        <v>13</v>
      </c>
      <c r="J912" s="12"/>
      <c r="K912" s="2" t="s">
        <v>13</v>
      </c>
      <c r="M912" s="140"/>
      <c r="N912" s="140" t="s">
        <v>114</v>
      </c>
      <c r="O912" s="274" t="e">
        <f>O911-K911</f>
        <v>#REF!</v>
      </c>
      <c r="P912" s="8" t="e">
        <f>(O911-K911)/K911</f>
        <v>#REF!</v>
      </c>
      <c r="Q912" s="140"/>
      <c r="R912" s="140"/>
      <c r="S912" s="140"/>
      <c r="T912" s="140"/>
    </row>
    <row r="913" spans="1:24">
      <c r="A913" s="156" t="s">
        <v>290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140"/>
      <c r="N913" s="140"/>
      <c r="O913" s="153"/>
      <c r="P913" s="140"/>
      <c r="T913" s="140"/>
      <c r="U913" s="140"/>
      <c r="V913" s="140"/>
      <c r="W913" s="140"/>
      <c r="X913" s="140"/>
    </row>
    <row r="914" spans="1:24">
      <c r="A914" s="1" t="s">
        <v>291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140"/>
      <c r="U914" s="140"/>
      <c r="V914" s="140"/>
      <c r="W914" s="140"/>
      <c r="X914" s="140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140"/>
      <c r="U915" s="140"/>
      <c r="V915" s="140"/>
      <c r="W915" s="140"/>
      <c r="X915" s="140"/>
    </row>
    <row r="916" spans="1:24">
      <c r="A916" s="1" t="s">
        <v>292</v>
      </c>
      <c r="B916" s="1"/>
      <c r="C916" s="12"/>
      <c r="D916" s="12"/>
      <c r="E916" s="161"/>
      <c r="F916" s="1"/>
      <c r="G916" s="275">
        <v>30454.32</v>
      </c>
      <c r="H916" s="275">
        <v>30454.32</v>
      </c>
      <c r="I916" s="161"/>
      <c r="J916" s="1"/>
      <c r="K916" s="2">
        <f>G916</f>
        <v>30454.32</v>
      </c>
      <c r="M916" s="42">
        <f>K916</f>
        <v>30454.32</v>
      </c>
      <c r="N916" s="11"/>
      <c r="O916" s="38"/>
      <c r="P916" s="38"/>
      <c r="Q916" s="11"/>
      <c r="R916" s="11"/>
      <c r="S916" s="11"/>
      <c r="T916" s="11"/>
      <c r="U916" s="11"/>
      <c r="V916" s="11"/>
      <c r="W916" s="11"/>
      <c r="X916" s="11"/>
    </row>
    <row r="917" spans="1:24">
      <c r="A917" s="1" t="s">
        <v>293</v>
      </c>
      <c r="B917" s="1"/>
      <c r="C917" s="127">
        <f>460481</f>
        <v>460481</v>
      </c>
      <c r="D917" s="182">
        <f>ROUND(($D$920/$C$920)*C917,0)</f>
        <v>453966</v>
      </c>
      <c r="E917" s="276">
        <v>6.4050000000000002</v>
      </c>
      <c r="F917" s="1" t="s">
        <v>178</v>
      </c>
      <c r="G917" s="277">
        <f>ROUND(C917*E917/100,0)</f>
        <v>29494</v>
      </c>
      <c r="H917" s="277">
        <f>ROUND(D917*E917/100,0)</f>
        <v>29077</v>
      </c>
      <c r="I917" s="276">
        <v>6.4050000000000002</v>
      </c>
      <c r="J917" s="1" t="s">
        <v>178</v>
      </c>
      <c r="K917" s="2">
        <f>ROUND(I917*D917/100,0)</f>
        <v>29077</v>
      </c>
      <c r="M917" s="42">
        <f>(I917/100)*D917</f>
        <v>29076.522299999997</v>
      </c>
      <c r="N917" s="11"/>
      <c r="O917" s="38"/>
      <c r="P917" s="38"/>
      <c r="Q917" s="11"/>
      <c r="R917" s="11"/>
      <c r="S917" s="11"/>
      <c r="T917" s="11"/>
      <c r="U917" s="11"/>
      <c r="V917" s="11"/>
      <c r="W917" s="11"/>
      <c r="X917" s="11"/>
    </row>
    <row r="918" spans="1:24">
      <c r="A918" s="1" t="s">
        <v>294</v>
      </c>
      <c r="B918" s="1"/>
      <c r="C918" s="127">
        <v>0</v>
      </c>
      <c r="D918" s="182">
        <f>ROUND(($D$920/$C$920)*C918,0)</f>
        <v>0</v>
      </c>
      <c r="E918" s="276">
        <v>7.1669999999999998</v>
      </c>
      <c r="F918" s="1" t="s">
        <v>178</v>
      </c>
      <c r="G918" s="277">
        <f>ROUND(C918*E918/100,0)</f>
        <v>0</v>
      </c>
      <c r="H918" s="277">
        <f>ROUND(D918*E918/100,0)</f>
        <v>0</v>
      </c>
      <c r="I918" s="276">
        <v>7.1669999999999998</v>
      </c>
      <c r="J918" s="1" t="s">
        <v>178</v>
      </c>
      <c r="K918" s="2">
        <f>ROUND(I918*D918/100,0)</f>
        <v>0</v>
      </c>
      <c r="M918" s="42">
        <f>(I918/100)*D918</f>
        <v>0</v>
      </c>
      <c r="N918" s="11"/>
      <c r="O918" s="38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>
      <c r="A919" s="1" t="s">
        <v>166</v>
      </c>
      <c r="B919" s="1"/>
      <c r="C919" s="127">
        <f>30*12</f>
        <v>360</v>
      </c>
      <c r="D919" s="182">
        <v>241</v>
      </c>
      <c r="E919" s="278"/>
      <c r="F919" s="1"/>
      <c r="G919" s="2"/>
      <c r="H919" s="2"/>
      <c r="I919" s="278"/>
      <c r="J919" s="1"/>
      <c r="K919" s="2"/>
      <c r="M919" s="11"/>
      <c r="N919" s="11"/>
      <c r="O919" s="38"/>
      <c r="P919" s="38"/>
      <c r="Q919" s="11"/>
      <c r="R919" s="11"/>
      <c r="S919" s="11"/>
      <c r="T919" s="11"/>
      <c r="U919" s="11"/>
      <c r="V919" s="11"/>
      <c r="W919" s="11"/>
      <c r="X919" s="11"/>
    </row>
    <row r="920" spans="1:24">
      <c r="A920" s="3" t="s">
        <v>295</v>
      </c>
      <c r="C920" s="127">
        <f>SUM(C917:C918)</f>
        <v>460481</v>
      </c>
      <c r="D920" s="127">
        <v>453965.95876460936</v>
      </c>
      <c r="E920" s="132"/>
      <c r="F920" s="11"/>
      <c r="G920" s="135">
        <f>SUM(G916:G918)</f>
        <v>59948.32</v>
      </c>
      <c r="H920" s="135">
        <f>SUM(H916:H918)</f>
        <v>59531.32</v>
      </c>
      <c r="I920" s="132"/>
      <c r="J920" s="11"/>
      <c r="K920" s="135">
        <f>SUM(K916:K918)</f>
        <v>59531.32</v>
      </c>
      <c r="M920" s="279">
        <f>SUM(M916:M919)</f>
        <v>59530.842299999997</v>
      </c>
      <c r="N920" s="11"/>
      <c r="O920" s="38"/>
      <c r="P920" s="38"/>
      <c r="Q920" s="11"/>
      <c r="R920" s="11"/>
      <c r="S920" s="11"/>
      <c r="T920" s="11"/>
      <c r="U920" s="11"/>
      <c r="V920" s="11"/>
      <c r="W920" s="11"/>
      <c r="X920" s="11"/>
    </row>
    <row r="921" spans="1:24">
      <c r="A921" s="3" t="s">
        <v>296</v>
      </c>
      <c r="C921" s="127">
        <v>5757.7672357238089</v>
      </c>
      <c r="D921" s="127">
        <v>0</v>
      </c>
      <c r="E921" s="132"/>
      <c r="F921" s="11"/>
      <c r="G921" s="135">
        <v>721.95019570943907</v>
      </c>
      <c r="H921" s="135">
        <v>0</v>
      </c>
      <c r="I921" s="132"/>
      <c r="J921" s="11"/>
      <c r="K921" s="135">
        <v>0</v>
      </c>
      <c r="M921" s="152"/>
      <c r="N921" s="152"/>
      <c r="O921" s="153"/>
      <c r="P921" s="38"/>
      <c r="S921" s="11"/>
      <c r="T921" s="11"/>
      <c r="U921" s="11"/>
      <c r="V921" s="11"/>
      <c r="W921" s="11"/>
      <c r="X921" s="11"/>
    </row>
    <row r="922" spans="1:24" ht="16.5" thickBot="1">
      <c r="A922" s="1" t="s">
        <v>1</v>
      </c>
      <c r="B922" s="1"/>
      <c r="C922" s="256">
        <f>C920+C921</f>
        <v>466238.76723572379</v>
      </c>
      <c r="D922" s="256">
        <f>D920+D921</f>
        <v>453965.95876460936</v>
      </c>
      <c r="E922" s="280"/>
      <c r="F922" s="281"/>
      <c r="G922" s="137">
        <f>G920+G921</f>
        <v>60670.27019570944</v>
      </c>
      <c r="H922" s="137">
        <f>H920+H921</f>
        <v>59531.32</v>
      </c>
      <c r="I922" s="280"/>
      <c r="J922" s="281"/>
      <c r="K922" s="137">
        <f>K920+K921</f>
        <v>59531.32</v>
      </c>
      <c r="M922" s="154"/>
      <c r="N922" s="140" t="s">
        <v>213</v>
      </c>
      <c r="O922" s="279" t="e">
        <f>#REF!*1000</f>
        <v>#REF!</v>
      </c>
      <c r="P922" s="38"/>
      <c r="S922" s="11"/>
      <c r="T922" s="11"/>
      <c r="U922" s="11"/>
      <c r="V922" s="11"/>
      <c r="W922" s="11"/>
      <c r="X922" s="11"/>
    </row>
    <row r="923" spans="1:24" ht="16.5" thickTop="1">
      <c r="A923" s="1"/>
      <c r="B923" s="1"/>
      <c r="C923" s="1"/>
      <c r="D923" s="1"/>
      <c r="E923" s="282"/>
      <c r="F923" s="1"/>
      <c r="G923" s="1"/>
      <c r="H923" s="1"/>
      <c r="I923" s="282" t="s">
        <v>13</v>
      </c>
      <c r="J923" s="1"/>
      <c r="K923" s="2" t="s">
        <v>13</v>
      </c>
      <c r="M923" s="11"/>
      <c r="N923" s="140" t="s">
        <v>114</v>
      </c>
      <c r="O923" s="279" t="e">
        <f>O922-K922</f>
        <v>#REF!</v>
      </c>
      <c r="P923" s="8" t="e">
        <f>(O922-K922)/K922</f>
        <v>#REF!</v>
      </c>
      <c r="Q923" s="11"/>
      <c r="R923" s="11"/>
      <c r="S923" s="11"/>
      <c r="T923" s="11"/>
      <c r="U923" s="11"/>
      <c r="V923" s="11"/>
      <c r="W923" s="11"/>
      <c r="X923" s="11"/>
    </row>
    <row r="924" spans="1:24">
      <c r="A924" s="156" t="s">
        <v>297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11"/>
      <c r="N924" s="11"/>
      <c r="O924" s="38"/>
      <c r="P924" s="283"/>
      <c r="Q924" s="11"/>
      <c r="R924" s="11"/>
      <c r="S924" s="11"/>
      <c r="T924" s="11"/>
      <c r="U924" s="11"/>
      <c r="V924" s="11"/>
      <c r="W924" s="11"/>
      <c r="X924" s="11"/>
    </row>
    <row r="925" spans="1:24">
      <c r="A925" s="1" t="s">
        <v>298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11"/>
      <c r="N925" s="11"/>
      <c r="O925" s="38"/>
      <c r="P925" s="38"/>
      <c r="Q925" s="11"/>
      <c r="R925" s="11"/>
      <c r="S925" s="11"/>
      <c r="T925" s="11"/>
      <c r="U925" s="11"/>
      <c r="V925" s="11"/>
      <c r="W925" s="11"/>
      <c r="X925" s="11"/>
    </row>
    <row r="926" spans="1:24">
      <c r="A926" s="1"/>
      <c r="B926" s="1"/>
      <c r="C926" s="1"/>
      <c r="D926" s="1"/>
      <c r="E926" s="282"/>
      <c r="F926" s="1"/>
      <c r="G926" s="1"/>
      <c r="H926" s="1"/>
      <c r="I926" s="282"/>
      <c r="J926" s="1"/>
      <c r="K926" s="1"/>
      <c r="M926" s="11"/>
      <c r="N926" s="11"/>
      <c r="O926" s="38"/>
      <c r="P926" s="38"/>
      <c r="Q926" s="11"/>
      <c r="R926" s="11"/>
      <c r="S926" s="11"/>
      <c r="T926" s="11"/>
      <c r="U926" s="11"/>
      <c r="V926" s="11"/>
      <c r="W926" s="11"/>
      <c r="X926" s="11"/>
    </row>
    <row r="927" spans="1:24">
      <c r="A927" s="1" t="s">
        <v>292</v>
      </c>
      <c r="B927" s="1"/>
      <c r="C927" s="12"/>
      <c r="D927" s="12"/>
      <c r="E927" s="161"/>
      <c r="F927" s="1"/>
      <c r="G927" s="275">
        <f t="shared" ref="G927:H929" si="72">G938+G949</f>
        <v>2349.2199999999998</v>
      </c>
      <c r="H927" s="275">
        <f t="shared" si="72"/>
        <v>2349.2199999999998</v>
      </c>
      <c r="I927" s="161"/>
      <c r="J927" s="1"/>
      <c r="K927" s="2">
        <f>G927</f>
        <v>2349.2199999999998</v>
      </c>
      <c r="M927" s="279">
        <f>K927</f>
        <v>2349.2199999999998</v>
      </c>
      <c r="N927" s="11"/>
      <c r="O927" s="38"/>
      <c r="P927" s="38"/>
      <c r="Q927" s="11"/>
      <c r="R927" s="11"/>
      <c r="S927" s="11"/>
      <c r="T927" s="11"/>
      <c r="U927" s="11"/>
      <c r="V927" s="11"/>
      <c r="W927" s="11"/>
      <c r="X927" s="11"/>
    </row>
    <row r="928" spans="1:24">
      <c r="A928" s="1" t="s">
        <v>299</v>
      </c>
      <c r="B928" s="1"/>
      <c r="C928" s="127">
        <f t="shared" ref="C928:D932" si="73">C939+C950</f>
        <v>127219</v>
      </c>
      <c r="D928" s="127">
        <f t="shared" si="73"/>
        <v>128106</v>
      </c>
      <c r="E928" s="276">
        <v>6.1459999999999999</v>
      </c>
      <c r="F928" s="1" t="s">
        <v>178</v>
      </c>
      <c r="G928" s="277">
        <f t="shared" si="72"/>
        <v>7819</v>
      </c>
      <c r="H928" s="277">
        <f t="shared" si="72"/>
        <v>7873</v>
      </c>
      <c r="I928" s="276">
        <v>6.1459999999999999</v>
      </c>
      <c r="J928" s="1" t="s">
        <v>178</v>
      </c>
      <c r="K928" s="2">
        <f>K939+K950</f>
        <v>7873</v>
      </c>
      <c r="M928" s="42">
        <f>(I928/100)*D928</f>
        <v>7873.3947600000001</v>
      </c>
      <c r="N928" s="11"/>
      <c r="O928" s="38"/>
      <c r="P928" s="38"/>
      <c r="Q928" s="11"/>
      <c r="R928" s="11"/>
      <c r="S928" s="11"/>
      <c r="T928" s="11"/>
      <c r="U928" s="11"/>
      <c r="V928" s="11"/>
      <c r="W928" s="11"/>
      <c r="X928" s="11"/>
    </row>
    <row r="929" spans="1:24">
      <c r="A929" s="1" t="s">
        <v>300</v>
      </c>
      <c r="B929" s="1"/>
      <c r="C929" s="127">
        <f t="shared" si="73"/>
        <v>4317144</v>
      </c>
      <c r="D929" s="127">
        <f t="shared" si="73"/>
        <v>4311224</v>
      </c>
      <c r="E929" s="284">
        <f>E928</f>
        <v>6.1459999999999999</v>
      </c>
      <c r="F929" s="1" t="s">
        <v>178</v>
      </c>
      <c r="G929" s="277">
        <f t="shared" si="72"/>
        <v>265332</v>
      </c>
      <c r="H929" s="277">
        <f t="shared" si="72"/>
        <v>264968</v>
      </c>
      <c r="I929" s="284">
        <f>I928</f>
        <v>6.1459999999999999</v>
      </c>
      <c r="J929" s="1" t="s">
        <v>178</v>
      </c>
      <c r="K929" s="2">
        <f>K940+K951</f>
        <v>264968</v>
      </c>
      <c r="M929" s="42">
        <f>(I929/100)*D929</f>
        <v>264967.82704</v>
      </c>
      <c r="N929" s="11"/>
      <c r="O929" s="38"/>
      <c r="P929" s="38"/>
      <c r="Q929" s="11"/>
      <c r="R929" s="11"/>
      <c r="S929" s="11"/>
      <c r="T929" s="11"/>
      <c r="U929" s="11"/>
      <c r="V929" s="11"/>
      <c r="W929" s="11"/>
      <c r="X929" s="11"/>
    </row>
    <row r="930" spans="1:24">
      <c r="A930" s="1" t="s">
        <v>166</v>
      </c>
      <c r="B930" s="1"/>
      <c r="C930" s="127">
        <f t="shared" si="73"/>
        <v>3268</v>
      </c>
      <c r="D930" s="127">
        <f t="shared" si="73"/>
        <v>3401</v>
      </c>
      <c r="E930" s="278"/>
      <c r="F930" s="1"/>
      <c r="G930" s="2"/>
      <c r="H930" s="2"/>
      <c r="I930" s="278"/>
      <c r="J930" s="1"/>
      <c r="K930" s="2"/>
      <c r="M930" s="11"/>
      <c r="N930" s="11"/>
      <c r="O930" s="38"/>
      <c r="P930" s="38"/>
      <c r="Q930" s="11"/>
      <c r="R930" s="11"/>
      <c r="S930" s="11"/>
      <c r="T930" s="11"/>
      <c r="U930" s="11"/>
      <c r="V930" s="11"/>
      <c r="W930" s="11"/>
      <c r="X930" s="11"/>
    </row>
    <row r="931" spans="1:24">
      <c r="A931" s="3" t="s">
        <v>295</v>
      </c>
      <c r="C931" s="127">
        <f t="shared" si="73"/>
        <v>4444363</v>
      </c>
      <c r="D931" s="127">
        <f t="shared" si="73"/>
        <v>4439329.75109665</v>
      </c>
      <c r="E931" s="132"/>
      <c r="F931" s="11"/>
      <c r="G931" s="135">
        <f>G942+G953</f>
        <v>275500.21999999997</v>
      </c>
      <c r="H931" s="135">
        <f>H942+H953</f>
        <v>275190.21999999997</v>
      </c>
      <c r="I931" s="132"/>
      <c r="J931" s="11"/>
      <c r="K931" s="135">
        <f>K942+K953</f>
        <v>275190.21999999997</v>
      </c>
      <c r="M931" s="279">
        <f>SUM(M927:M930)</f>
        <v>275190.44180000003</v>
      </c>
      <c r="N931" s="11"/>
      <c r="O931" s="38"/>
      <c r="P931" s="38"/>
      <c r="Q931" s="11"/>
      <c r="R931" s="11"/>
      <c r="S931" s="11"/>
      <c r="T931" s="11"/>
      <c r="U931" s="11"/>
      <c r="V931" s="11"/>
      <c r="W931" s="11"/>
      <c r="X931" s="11"/>
    </row>
    <row r="932" spans="1:24">
      <c r="A932" s="3" t="s">
        <v>296</v>
      </c>
      <c r="C932" s="127">
        <f t="shared" si="73"/>
        <v>55568.648757006318</v>
      </c>
      <c r="D932" s="127">
        <f t="shared" si="73"/>
        <v>0</v>
      </c>
      <c r="E932" s="132"/>
      <c r="F932" s="11"/>
      <c r="G932" s="135">
        <f>G943+G954</f>
        <v>3332.8497590767615</v>
      </c>
      <c r="H932" s="135">
        <f>H943+H954</f>
        <v>0</v>
      </c>
      <c r="I932" s="132"/>
      <c r="J932" s="11"/>
      <c r="K932" s="135">
        <f>K943+K954</f>
        <v>0</v>
      </c>
      <c r="M932" s="152"/>
      <c r="N932" s="152"/>
      <c r="O932" s="153"/>
      <c r="P932" s="38"/>
      <c r="S932" s="11"/>
      <c r="T932" s="11"/>
      <c r="U932" s="11"/>
      <c r="V932" s="11"/>
      <c r="W932" s="11"/>
      <c r="X932" s="11"/>
    </row>
    <row r="933" spans="1:24" ht="16.5" thickBot="1">
      <c r="A933" s="1" t="s">
        <v>1</v>
      </c>
      <c r="B933" s="1"/>
      <c r="C933" s="256">
        <f>C931+C932</f>
        <v>4499931.648757006</v>
      </c>
      <c r="D933" s="256">
        <f>D931+D932</f>
        <v>4439329.75109665</v>
      </c>
      <c r="E933" s="280"/>
      <c r="F933" s="281"/>
      <c r="G933" s="137">
        <f>G931+G932</f>
        <v>278833.06975907675</v>
      </c>
      <c r="H933" s="137">
        <f>H931+H932</f>
        <v>275190.21999999997</v>
      </c>
      <c r="I933" s="280"/>
      <c r="J933" s="281"/>
      <c r="K933" s="137">
        <f>K931+K932</f>
        <v>275190.21999999997</v>
      </c>
      <c r="M933" s="154"/>
      <c r="N933" s="140" t="s">
        <v>213</v>
      </c>
      <c r="O933" s="279" t="e">
        <f>#REF!*1000</f>
        <v>#REF!</v>
      </c>
      <c r="P933" s="38"/>
      <c r="S933" s="11"/>
      <c r="T933" s="11"/>
      <c r="U933" s="11"/>
      <c r="V933" s="11"/>
      <c r="W933" s="11"/>
      <c r="X933" s="11"/>
    </row>
    <row r="934" spans="1:24" ht="16.5" thickTop="1">
      <c r="A934" s="1"/>
      <c r="B934" s="1"/>
      <c r="C934" s="16"/>
      <c r="D934" s="16"/>
      <c r="E934" s="285"/>
      <c r="F934" s="14"/>
      <c r="G934" s="20"/>
      <c r="H934" s="20"/>
      <c r="I934" s="285" t="s">
        <v>13</v>
      </c>
      <c r="J934" s="14"/>
      <c r="K934" s="20" t="s">
        <v>13</v>
      </c>
      <c r="M934" s="11"/>
      <c r="N934" s="140" t="s">
        <v>114</v>
      </c>
      <c r="O934" s="279" t="e">
        <f>O933-K933</f>
        <v>#REF!</v>
      </c>
      <c r="P934" s="8" t="e">
        <f>(O933-K933)/K933</f>
        <v>#REF!</v>
      </c>
      <c r="Q934" s="11"/>
      <c r="R934" s="11"/>
      <c r="S934" s="11"/>
      <c r="T934" s="11"/>
      <c r="U934" s="11"/>
      <c r="V934" s="11"/>
      <c r="W934" s="11"/>
      <c r="X934" s="11"/>
    </row>
    <row r="935" spans="1:24">
      <c r="A935" s="156" t="s">
        <v>301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279"/>
      <c r="N935" s="279"/>
      <c r="O935" s="38"/>
      <c r="P935" s="38"/>
      <c r="Q935" s="11"/>
      <c r="R935" s="11"/>
      <c r="S935" s="11"/>
      <c r="T935" s="11"/>
      <c r="U935" s="11"/>
      <c r="V935" s="11"/>
      <c r="W935" s="11"/>
      <c r="X935" s="11"/>
    </row>
    <row r="936" spans="1:24">
      <c r="A936" s="1" t="s">
        <v>302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11"/>
      <c r="N936" s="11"/>
      <c r="O936" s="286" t="e">
        <f>O934/(H933-H927)</f>
        <v>#REF!</v>
      </c>
      <c r="P936" s="38"/>
      <c r="Q936" s="11"/>
      <c r="R936" s="11"/>
      <c r="S936" s="11"/>
      <c r="T936" s="11"/>
      <c r="U936" s="11"/>
      <c r="V936" s="11"/>
      <c r="W936" s="11"/>
      <c r="X936" s="11"/>
    </row>
    <row r="937" spans="1:24">
      <c r="A937" s="1"/>
      <c r="B937" s="1"/>
      <c r="C937" s="1"/>
      <c r="D937" s="1"/>
      <c r="E937" s="282"/>
      <c r="F937" s="1"/>
      <c r="G937" s="1"/>
      <c r="H937" s="1"/>
      <c r="I937" s="282"/>
      <c r="J937" s="1"/>
      <c r="K937" s="1"/>
      <c r="M937" s="11"/>
      <c r="N937" s="11"/>
      <c r="O937" s="38"/>
      <c r="P937" s="38"/>
      <c r="Q937" s="11"/>
      <c r="R937" s="11"/>
      <c r="S937" s="11"/>
      <c r="T937" s="11"/>
      <c r="U937" s="11"/>
      <c r="V937" s="11"/>
      <c r="W937" s="11"/>
      <c r="X937" s="11"/>
    </row>
    <row r="938" spans="1:24">
      <c r="A938" s="1" t="s">
        <v>292</v>
      </c>
      <c r="B938" s="1"/>
      <c r="C938" s="12"/>
      <c r="D938" s="12"/>
      <c r="E938" s="161"/>
      <c r="F938" s="1"/>
      <c r="G938" s="275">
        <v>2349.2199999999998</v>
      </c>
      <c r="H938" s="275">
        <v>2349.2199999999998</v>
      </c>
      <c r="I938" s="161"/>
      <c r="J938" s="1"/>
      <c r="K938" s="2">
        <f>G938</f>
        <v>2349.2199999999998</v>
      </c>
      <c r="M938" s="11"/>
      <c r="N938" s="11"/>
      <c r="O938" s="38"/>
      <c r="P938" s="38"/>
      <c r="Q938" s="11"/>
      <c r="R938" s="11"/>
      <c r="S938" s="11"/>
      <c r="T938" s="11"/>
      <c r="U938" s="11"/>
      <c r="V938" s="11"/>
      <c r="W938" s="11"/>
      <c r="X938" s="11"/>
    </row>
    <row r="939" spans="1:24">
      <c r="A939" s="1" t="s">
        <v>299</v>
      </c>
      <c r="B939" s="1"/>
      <c r="C939" s="127">
        <f>127219</f>
        <v>127219</v>
      </c>
      <c r="D939" s="182">
        <f>ROUND(($D$942/$C$942)*C939,0)</f>
        <v>128106</v>
      </c>
      <c r="E939" s="276">
        <v>6.1459999999999999</v>
      </c>
      <c r="F939" s="1" t="s">
        <v>178</v>
      </c>
      <c r="G939" s="277">
        <f>ROUND(C939*E939/100,0)</f>
        <v>7819</v>
      </c>
      <c r="H939" s="277">
        <f>ROUND(D939*E939/100,0)</f>
        <v>7873</v>
      </c>
      <c r="I939" s="245">
        <f>I928</f>
        <v>6.1459999999999999</v>
      </c>
      <c r="J939" s="1" t="s">
        <v>178</v>
      </c>
      <c r="K939" s="2">
        <f>ROUND(I939*D939/100,0)</f>
        <v>7873</v>
      </c>
      <c r="M939" s="11"/>
      <c r="N939" s="11"/>
      <c r="O939" s="38"/>
      <c r="P939" s="38"/>
      <c r="Q939" s="11"/>
      <c r="R939" s="11"/>
      <c r="S939" s="11"/>
      <c r="T939" s="11"/>
      <c r="U939" s="11"/>
      <c r="V939" s="11"/>
      <c r="W939" s="11"/>
      <c r="X939" s="11"/>
    </row>
    <row r="940" spans="1:24">
      <c r="A940" s="1" t="s">
        <v>300</v>
      </c>
      <c r="B940" s="1"/>
      <c r="C940" s="127">
        <f>3303301</f>
        <v>3303301</v>
      </c>
      <c r="D940" s="182">
        <f>ROUND(($D$942/$C$942)*C940,0)</f>
        <v>3326331</v>
      </c>
      <c r="E940" s="284">
        <f>E939</f>
        <v>6.1459999999999999</v>
      </c>
      <c r="F940" s="1" t="s">
        <v>178</v>
      </c>
      <c r="G940" s="277">
        <f>ROUND(C940*E940/100,0)</f>
        <v>203021</v>
      </c>
      <c r="H940" s="277">
        <f>ROUND(D940*E940/100,0)</f>
        <v>204436</v>
      </c>
      <c r="I940" s="287">
        <f>I939</f>
        <v>6.1459999999999999</v>
      </c>
      <c r="J940" s="1" t="s">
        <v>178</v>
      </c>
      <c r="K940" s="2">
        <f>ROUND(I940*D940/100,0)</f>
        <v>204436</v>
      </c>
      <c r="M940" s="11"/>
      <c r="N940" s="11"/>
      <c r="O940" s="38"/>
      <c r="P940" s="38"/>
      <c r="Q940" s="11"/>
      <c r="R940" s="11"/>
      <c r="S940" s="11"/>
      <c r="T940" s="11"/>
      <c r="U940" s="11"/>
      <c r="V940" s="11"/>
      <c r="W940" s="11"/>
      <c r="X940" s="11"/>
    </row>
    <row r="941" spans="1:24">
      <c r="A941" s="1" t="s">
        <v>166</v>
      </c>
      <c r="B941" s="1"/>
      <c r="C941" s="127">
        <f>60+2185</f>
        <v>2245</v>
      </c>
      <c r="D941" s="182">
        <v>2369</v>
      </c>
      <c r="E941" s="278"/>
      <c r="F941" s="1"/>
      <c r="G941" s="2"/>
      <c r="H941" s="2"/>
      <c r="I941" s="278"/>
      <c r="J941" s="1"/>
      <c r="K941" s="2"/>
      <c r="M941" s="11"/>
      <c r="N941" s="11"/>
      <c r="O941" s="38"/>
      <c r="P941" s="38"/>
      <c r="Q941" s="11"/>
      <c r="R941" s="11"/>
      <c r="S941" s="11"/>
      <c r="T941" s="11"/>
      <c r="U941" s="11"/>
      <c r="V941" s="11"/>
      <c r="W941" s="11"/>
      <c r="X941" s="11"/>
    </row>
    <row r="942" spans="1:24">
      <c r="A942" s="3" t="s">
        <v>295</v>
      </c>
      <c r="C942" s="127">
        <f>C939+C940</f>
        <v>3430520</v>
      </c>
      <c r="D942" s="127">
        <v>3454436.4805654008</v>
      </c>
      <c r="E942" s="132"/>
      <c r="F942" s="11"/>
      <c r="G942" s="135">
        <f>SUM(G938:G940)</f>
        <v>213189.22</v>
      </c>
      <c r="H942" s="135">
        <f>SUM(H938:H940)</f>
        <v>214658.22</v>
      </c>
      <c r="I942" s="132"/>
      <c r="J942" s="11"/>
      <c r="K942" s="135">
        <f>SUM(K938:K940)</f>
        <v>214658.22</v>
      </c>
      <c r="M942" s="11"/>
      <c r="N942" s="11"/>
      <c r="O942" s="38"/>
      <c r="P942" s="38"/>
      <c r="Q942" s="11"/>
      <c r="R942" s="11"/>
      <c r="S942" s="11"/>
      <c r="T942" s="11"/>
      <c r="U942" s="11"/>
      <c r="V942" s="11"/>
      <c r="W942" s="11"/>
      <c r="X942" s="11"/>
    </row>
    <row r="943" spans="1:24">
      <c r="A943" s="3" t="s">
        <v>296</v>
      </c>
      <c r="C943" s="127">
        <v>42879.146799479597</v>
      </c>
      <c r="D943" s="127">
        <v>0</v>
      </c>
      <c r="E943" s="132"/>
      <c r="F943" s="11"/>
      <c r="G943" s="135">
        <v>2578.7840543150201</v>
      </c>
      <c r="H943" s="135">
        <v>0</v>
      </c>
      <c r="I943" s="132"/>
      <c r="J943" s="11"/>
      <c r="K943" s="135">
        <v>0</v>
      </c>
      <c r="M943" s="152"/>
      <c r="N943" s="152"/>
      <c r="O943" s="153"/>
      <c r="P943" s="38"/>
      <c r="Q943" s="11"/>
      <c r="R943" s="11"/>
      <c r="S943" s="11"/>
      <c r="T943" s="11"/>
      <c r="U943" s="11"/>
      <c r="V943" s="11"/>
      <c r="W943" s="11"/>
      <c r="X943" s="11"/>
    </row>
    <row r="944" spans="1:24" ht="16.5" thickBot="1">
      <c r="A944" s="1" t="s">
        <v>1</v>
      </c>
      <c r="B944" s="1"/>
      <c r="C944" s="256">
        <f>C942+C943</f>
        <v>3473399.1467994796</v>
      </c>
      <c r="D944" s="256">
        <f>D942+D943</f>
        <v>3454436.4805654008</v>
      </c>
      <c r="E944" s="280"/>
      <c r="F944" s="281"/>
      <c r="G944" s="137">
        <f>G942+G943</f>
        <v>215768.00405431501</v>
      </c>
      <c r="H944" s="137">
        <f>H942+H943</f>
        <v>214658.22</v>
      </c>
      <c r="I944" s="280"/>
      <c r="J944" s="281"/>
      <c r="K944" s="137">
        <f>K942+K943</f>
        <v>214658.22</v>
      </c>
      <c r="M944" s="154"/>
      <c r="N944" s="154"/>
      <c r="O944" s="155"/>
      <c r="P944" s="38"/>
      <c r="Q944" s="11"/>
      <c r="R944" s="11"/>
      <c r="S944" s="11"/>
      <c r="T944" s="11"/>
      <c r="U944" s="11"/>
      <c r="V944" s="11"/>
      <c r="W944" s="11"/>
      <c r="X944" s="11"/>
    </row>
    <row r="945" spans="1:24" ht="16.5" thickTop="1">
      <c r="A945" s="1"/>
      <c r="B945" s="1"/>
      <c r="C945" s="16"/>
      <c r="D945" s="16"/>
      <c r="E945" s="285"/>
      <c r="F945" s="14"/>
      <c r="G945" s="20"/>
      <c r="H945" s="20"/>
      <c r="I945" s="285" t="s">
        <v>13</v>
      </c>
      <c r="J945" s="14"/>
      <c r="K945" s="20" t="s">
        <v>13</v>
      </c>
      <c r="M945" s="11"/>
      <c r="N945" s="11"/>
      <c r="O945" s="38"/>
      <c r="P945" s="38"/>
      <c r="Q945" s="11"/>
      <c r="R945" s="11"/>
      <c r="S945" s="11"/>
      <c r="T945" s="11"/>
      <c r="U945" s="11"/>
      <c r="V945" s="11"/>
      <c r="W945" s="11"/>
      <c r="X945" s="11"/>
    </row>
    <row r="946" spans="1:24">
      <c r="A946" s="156" t="s">
        <v>303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11"/>
      <c r="N946" s="11"/>
      <c r="O946" s="38"/>
      <c r="P946" s="38"/>
      <c r="Q946" s="11"/>
      <c r="R946" s="11"/>
      <c r="S946" s="11"/>
      <c r="T946" s="11"/>
      <c r="U946" s="11"/>
      <c r="V946" s="11"/>
      <c r="W946" s="11"/>
      <c r="X946" s="11"/>
    </row>
    <row r="947" spans="1:24">
      <c r="A947" s="1" t="s">
        <v>304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11"/>
      <c r="N947" s="11"/>
      <c r="O947" s="38"/>
      <c r="P947" s="38"/>
      <c r="Q947" s="11"/>
      <c r="R947" s="11"/>
      <c r="S947" s="11"/>
      <c r="T947" s="11"/>
      <c r="U947" s="11"/>
      <c r="V947" s="11"/>
      <c r="W947" s="11"/>
      <c r="X947" s="11"/>
    </row>
    <row r="948" spans="1:24">
      <c r="A948" s="1"/>
      <c r="B948" s="1"/>
      <c r="C948" s="1"/>
      <c r="D948" s="1"/>
      <c r="E948" s="282"/>
      <c r="F948" s="1"/>
      <c r="G948" s="1"/>
      <c r="H948" s="1"/>
      <c r="I948" s="282"/>
      <c r="J948" s="1"/>
      <c r="K948" s="1"/>
      <c r="M948" s="11"/>
      <c r="N948" s="11"/>
      <c r="O948" s="38"/>
      <c r="P948" s="38"/>
      <c r="Q948" s="11"/>
      <c r="R948" s="11"/>
      <c r="S948" s="11"/>
      <c r="T948" s="11"/>
      <c r="U948" s="11"/>
      <c r="V948" s="11"/>
      <c r="W948" s="11"/>
      <c r="X948" s="11"/>
    </row>
    <row r="949" spans="1:24">
      <c r="A949" s="1" t="s">
        <v>292</v>
      </c>
      <c r="B949" s="1"/>
      <c r="C949" s="12"/>
      <c r="D949" s="12"/>
      <c r="E949" s="161"/>
      <c r="F949" s="1"/>
      <c r="G949" s="275">
        <v>0</v>
      </c>
      <c r="H949" s="275">
        <v>0</v>
      </c>
      <c r="I949" s="161"/>
      <c r="J949" s="1"/>
      <c r="K949" s="2">
        <f>G949</f>
        <v>0</v>
      </c>
      <c r="M949" s="11"/>
      <c r="N949" s="11"/>
      <c r="O949" s="38"/>
      <c r="P949" s="38"/>
      <c r="Q949" s="11"/>
      <c r="R949" s="11"/>
      <c r="S949" s="11"/>
      <c r="T949" s="11"/>
      <c r="U949" s="11"/>
      <c r="V949" s="11"/>
      <c r="W949" s="11"/>
      <c r="X949" s="11"/>
    </row>
    <row r="950" spans="1:24">
      <c r="A950" s="1" t="s">
        <v>299</v>
      </c>
      <c r="B950" s="1"/>
      <c r="C950" s="127">
        <v>0</v>
      </c>
      <c r="D950" s="182">
        <f>ROUND(($D$953/$C$953)*C950,0)</f>
        <v>0</v>
      </c>
      <c r="E950" s="276">
        <v>6.1459999999999999</v>
      </c>
      <c r="F950" s="1" t="s">
        <v>178</v>
      </c>
      <c r="G950" s="277">
        <f>ROUND(C950*E950/100,0)</f>
        <v>0</v>
      </c>
      <c r="H950" s="277">
        <f>ROUND(D950*E950/100,0)</f>
        <v>0</v>
      </c>
      <c r="I950" s="245">
        <f>I928</f>
        <v>6.1459999999999999</v>
      </c>
      <c r="J950" s="1" t="s">
        <v>178</v>
      </c>
      <c r="K950" s="2">
        <f>ROUND(I950*D950/100,0)</f>
        <v>0</v>
      </c>
      <c r="M950" s="11"/>
      <c r="N950" s="11"/>
      <c r="O950" s="38"/>
      <c r="P950" s="38"/>
      <c r="Q950" s="11"/>
      <c r="R950" s="11"/>
      <c r="S950" s="11"/>
      <c r="T950" s="11"/>
      <c r="U950" s="11"/>
      <c r="V950" s="11"/>
      <c r="W950" s="11"/>
      <c r="X950" s="11"/>
    </row>
    <row r="951" spans="1:24">
      <c r="A951" s="1" t="s">
        <v>300</v>
      </c>
      <c r="B951" s="1"/>
      <c r="C951" s="127">
        <f>1013843</f>
        <v>1013843</v>
      </c>
      <c r="D951" s="182">
        <f>ROUND(($D$953/$C$953)*C951,0)</f>
        <v>984893</v>
      </c>
      <c r="E951" s="284">
        <f>E950</f>
        <v>6.1459999999999999</v>
      </c>
      <c r="F951" s="1" t="s">
        <v>178</v>
      </c>
      <c r="G951" s="277">
        <f>ROUND(C951*E951/100,0)</f>
        <v>62311</v>
      </c>
      <c r="H951" s="277">
        <f>ROUND(D951*E951/100,0)</f>
        <v>60532</v>
      </c>
      <c r="I951" s="287">
        <f>I950</f>
        <v>6.1459999999999999</v>
      </c>
      <c r="J951" s="1" t="s">
        <v>178</v>
      </c>
      <c r="K951" s="2">
        <f>ROUND(I951*D951/100,0)</f>
        <v>60532</v>
      </c>
      <c r="M951" s="11"/>
      <c r="N951" s="11"/>
      <c r="O951" s="38"/>
      <c r="P951" s="38"/>
      <c r="Q951" s="11"/>
      <c r="R951" s="11"/>
      <c r="S951" s="11"/>
      <c r="T951" s="11"/>
      <c r="U951" s="11"/>
      <c r="V951" s="11"/>
      <c r="W951" s="11"/>
      <c r="X951" s="11"/>
    </row>
    <row r="952" spans="1:24">
      <c r="A952" s="1" t="s">
        <v>166</v>
      </c>
      <c r="B952" s="1"/>
      <c r="C952" s="127">
        <f>1023</f>
        <v>1023</v>
      </c>
      <c r="D952" s="182">
        <v>1032</v>
      </c>
      <c r="E952" s="278"/>
      <c r="F952" s="1"/>
      <c r="G952" s="2"/>
      <c r="H952" s="2"/>
      <c r="I952" s="278"/>
      <c r="J952" s="1"/>
      <c r="K952" s="2"/>
      <c r="M952" s="11"/>
      <c r="N952" s="11"/>
      <c r="O952" s="38"/>
      <c r="P952" s="38"/>
      <c r="Q952" s="11"/>
      <c r="R952" s="11"/>
      <c r="S952" s="11"/>
      <c r="T952" s="11"/>
      <c r="U952" s="11"/>
      <c r="V952" s="11"/>
      <c r="W952" s="11"/>
      <c r="X952" s="11"/>
    </row>
    <row r="953" spans="1:24">
      <c r="A953" s="3" t="s">
        <v>295</v>
      </c>
      <c r="C953" s="127">
        <f>C950+C951</f>
        <v>1013843</v>
      </c>
      <c r="D953" s="127">
        <v>984893.270531249</v>
      </c>
      <c r="E953" s="132"/>
      <c r="F953" s="11"/>
      <c r="G953" s="135">
        <f>SUM(G949:G951)</f>
        <v>62311</v>
      </c>
      <c r="H953" s="135">
        <f>SUM(H949:H951)</f>
        <v>60532</v>
      </c>
      <c r="I953" s="132"/>
      <c r="J953" s="11"/>
      <c r="K953" s="135">
        <f>SUM(K949:K951)</f>
        <v>60532</v>
      </c>
      <c r="M953" s="11"/>
      <c r="N953" s="11"/>
      <c r="O953" s="38"/>
      <c r="P953" s="38"/>
      <c r="Q953" s="11"/>
      <c r="R953" s="11"/>
      <c r="S953" s="11"/>
      <c r="T953" s="11"/>
      <c r="U953" s="11"/>
      <c r="V953" s="11"/>
      <c r="W953" s="11"/>
      <c r="X953" s="11"/>
    </row>
    <row r="954" spans="1:24">
      <c r="A954" s="3" t="s">
        <v>296</v>
      </c>
      <c r="C954" s="127">
        <v>12689.501957526723</v>
      </c>
      <c r="D954" s="127">
        <v>0</v>
      </c>
      <c r="E954" s="132"/>
      <c r="F954" s="11"/>
      <c r="G954" s="135">
        <v>754.06570476174147</v>
      </c>
      <c r="H954" s="135">
        <v>0</v>
      </c>
      <c r="I954" s="132"/>
      <c r="J954" s="11"/>
      <c r="K954" s="135">
        <v>0</v>
      </c>
      <c r="M954" s="152"/>
      <c r="N954" s="152"/>
      <c r="O954" s="153"/>
      <c r="P954" s="38"/>
      <c r="Q954" s="11"/>
      <c r="R954" s="11"/>
      <c r="S954" s="11"/>
      <c r="T954" s="11"/>
      <c r="U954" s="11"/>
      <c r="V954" s="11"/>
      <c r="W954" s="11"/>
      <c r="X954" s="11"/>
    </row>
    <row r="955" spans="1:24" ht="16.5" thickBot="1">
      <c r="A955" s="1" t="s">
        <v>1</v>
      </c>
      <c r="B955" s="1"/>
      <c r="C955" s="256">
        <f>C953+C954</f>
        <v>1026532.5019575268</v>
      </c>
      <c r="D955" s="256">
        <f>D953+D954</f>
        <v>984893.270531249</v>
      </c>
      <c r="E955" s="280"/>
      <c r="F955" s="281"/>
      <c r="G955" s="137">
        <f>G953+G954</f>
        <v>63065.065704761742</v>
      </c>
      <c r="H955" s="137">
        <f>H953+H954</f>
        <v>60532</v>
      </c>
      <c r="I955" s="280"/>
      <c r="J955" s="281"/>
      <c r="K955" s="137">
        <f>K953+K954</f>
        <v>60532</v>
      </c>
      <c r="M955" s="154"/>
      <c r="N955" s="154"/>
      <c r="O955" s="155"/>
      <c r="P955" s="38"/>
      <c r="Q955" s="11"/>
      <c r="R955" s="11"/>
      <c r="S955" s="11"/>
      <c r="T955" s="11"/>
      <c r="U955" s="11"/>
      <c r="V955" s="11"/>
      <c r="W955" s="11"/>
      <c r="X955" s="11"/>
    </row>
    <row r="956" spans="1:24" ht="16.5" thickTop="1">
      <c r="A956" s="1"/>
      <c r="B956" s="1"/>
      <c r="C956" s="16"/>
      <c r="D956" s="16"/>
      <c r="E956" s="285"/>
      <c r="F956" s="14"/>
      <c r="G956" s="20"/>
      <c r="H956" s="20"/>
      <c r="I956" s="285" t="s">
        <v>13</v>
      </c>
      <c r="J956" s="14"/>
      <c r="K956" s="20" t="s">
        <v>13</v>
      </c>
      <c r="M956" s="11"/>
      <c r="N956" s="11"/>
      <c r="O956" s="38"/>
      <c r="P956" s="38"/>
      <c r="Q956" s="11"/>
      <c r="R956" s="11"/>
      <c r="S956" s="11"/>
      <c r="T956" s="11"/>
      <c r="U956" s="11"/>
      <c r="V956" s="11"/>
      <c r="W956" s="11"/>
      <c r="X956" s="11"/>
    </row>
    <row r="957" spans="1:24">
      <c r="A957" s="156" t="s">
        <v>305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13</v>
      </c>
      <c r="M957" s="11"/>
      <c r="N957" s="11"/>
      <c r="O957" s="38"/>
      <c r="P957" s="38"/>
      <c r="Q957" s="11"/>
      <c r="R957" s="11"/>
      <c r="S957" s="11"/>
      <c r="T957" s="11"/>
      <c r="U957" s="11"/>
      <c r="V957" s="11"/>
      <c r="W957" s="11"/>
      <c r="X957" s="11"/>
    </row>
    <row r="958" spans="1:24">
      <c r="A958" s="1" t="s">
        <v>80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11"/>
      <c r="N958" s="11"/>
      <c r="O958" s="38"/>
      <c r="P958" s="38"/>
      <c r="Q958" s="11"/>
      <c r="R958" s="11"/>
      <c r="S958" s="11"/>
      <c r="T958" s="11"/>
      <c r="U958" s="11"/>
      <c r="V958" s="11"/>
      <c r="W958" s="11"/>
      <c r="X958" s="11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11"/>
      <c r="N959" s="11"/>
      <c r="O959" s="38"/>
      <c r="P959" s="38"/>
      <c r="Q959" s="11"/>
      <c r="R959" s="11"/>
      <c r="S959" s="11"/>
      <c r="T959" s="11"/>
      <c r="U959" s="11"/>
      <c r="V959" s="11"/>
      <c r="W959" s="11"/>
      <c r="X959" s="11"/>
    </row>
    <row r="960" spans="1:24">
      <c r="A960" s="1" t="s">
        <v>306</v>
      </c>
      <c r="B960" s="1"/>
      <c r="C960" s="12">
        <v>192</v>
      </c>
      <c r="D960" s="182">
        <v>191</v>
      </c>
      <c r="E960" s="161">
        <v>3.5</v>
      </c>
      <c r="F960" s="1"/>
      <c r="G960" s="2">
        <f>ROUND(E960*C960,0)</f>
        <v>672</v>
      </c>
      <c r="H960" s="2">
        <f>ROUND(E960*D960,0)</f>
        <v>669</v>
      </c>
      <c r="I960" s="161">
        <v>3.5</v>
      </c>
      <c r="J960" s="1"/>
      <c r="K960" s="2">
        <f>ROUND(I960*D960,0)</f>
        <v>669</v>
      </c>
      <c r="M960" s="42">
        <f>I960*D960</f>
        <v>668.5</v>
      </c>
      <c r="N960" s="11"/>
      <c r="O960" s="288"/>
      <c r="P960" s="288"/>
      <c r="Q960" s="11"/>
      <c r="R960" s="11"/>
      <c r="S960" s="11"/>
      <c r="T960" s="11"/>
      <c r="U960" s="11"/>
      <c r="V960" s="11"/>
      <c r="W960" s="11"/>
      <c r="X960" s="11"/>
    </row>
    <row r="961" spans="1:28">
      <c r="A961" s="1" t="s">
        <v>307</v>
      </c>
      <c r="B961" s="1"/>
      <c r="C961" s="12">
        <v>144</v>
      </c>
      <c r="D961" s="182">
        <v>144</v>
      </c>
      <c r="E961" s="161">
        <v>6.5</v>
      </c>
      <c r="F961" s="1"/>
      <c r="G961" s="2">
        <f>ROUND(E961*C961,0)</f>
        <v>936</v>
      </c>
      <c r="H961" s="2">
        <f>ROUND(E961*D961,0)</f>
        <v>936</v>
      </c>
      <c r="I961" s="161">
        <v>6.5</v>
      </c>
      <c r="J961" s="1"/>
      <c r="K961" s="2">
        <f>ROUND(I961*D961,0)</f>
        <v>936</v>
      </c>
      <c r="M961" s="42">
        <f>I961*D961</f>
        <v>936</v>
      </c>
      <c r="N961" s="11"/>
      <c r="O961" s="288"/>
      <c r="P961" s="288"/>
      <c r="Q961" s="11"/>
      <c r="R961" s="11"/>
      <c r="S961" s="11"/>
      <c r="T961" s="11"/>
      <c r="U961" s="11"/>
      <c r="V961" s="11"/>
      <c r="W961" s="11"/>
      <c r="X961" s="11"/>
    </row>
    <row r="962" spans="1:28">
      <c r="A962" s="1" t="s">
        <v>308</v>
      </c>
      <c r="B962" s="1"/>
      <c r="C962" s="12">
        <f>SUM(C960:C961)</f>
        <v>336</v>
      </c>
      <c r="D962" s="182">
        <v>335</v>
      </c>
      <c r="E962" s="237"/>
      <c r="F962" s="1"/>
      <c r="G962" s="277"/>
      <c r="H962" s="277"/>
      <c r="I962" s="237"/>
      <c r="J962" s="1"/>
      <c r="K962" s="2"/>
      <c r="M962" s="11"/>
      <c r="N962" s="11"/>
      <c r="O962" s="288"/>
      <c r="P962" s="288"/>
      <c r="Q962" s="11"/>
      <c r="R962" s="11"/>
      <c r="S962" s="11"/>
      <c r="T962" s="11"/>
      <c r="U962" s="11"/>
      <c r="V962" s="11"/>
      <c r="W962" s="11"/>
      <c r="X962" s="11"/>
    </row>
    <row r="963" spans="1:28">
      <c r="A963" s="1" t="s">
        <v>268</v>
      </c>
      <c r="B963" s="1"/>
      <c r="C963" s="12">
        <f>94703+138152</f>
        <v>232855</v>
      </c>
      <c r="D963" s="182">
        <v>235030</v>
      </c>
      <c r="E963" s="289">
        <v>7.2930000000000001</v>
      </c>
      <c r="F963" s="1" t="s">
        <v>178</v>
      </c>
      <c r="G963" s="277">
        <f>ROUND(C963*E963/100,0)</f>
        <v>16982</v>
      </c>
      <c r="H963" s="277">
        <f>ROUND(D963*E963/100,0)</f>
        <v>17141</v>
      </c>
      <c r="I963" s="289">
        <v>7.2930000000000001</v>
      </c>
      <c r="J963" s="2" t="s">
        <v>178</v>
      </c>
      <c r="K963" s="2">
        <f>ROUND(I963*D963/100,0)</f>
        <v>17141</v>
      </c>
      <c r="M963" s="42">
        <f>(I963/100)*D963</f>
        <v>17140.7379</v>
      </c>
      <c r="N963" s="11"/>
      <c r="O963" s="288"/>
      <c r="P963" s="288"/>
      <c r="Q963" s="11"/>
      <c r="R963" s="11"/>
      <c r="S963" s="11"/>
      <c r="T963" s="11"/>
      <c r="U963" s="11"/>
      <c r="V963" s="11"/>
      <c r="W963" s="11"/>
      <c r="X963" s="11"/>
    </row>
    <row r="964" spans="1:28">
      <c r="A964" s="1" t="s">
        <v>185</v>
      </c>
      <c r="B964" s="1"/>
      <c r="C964" s="182">
        <f>SUM(C963)</f>
        <v>232855</v>
      </c>
      <c r="D964" s="182">
        <f>SUM(D963)</f>
        <v>235030</v>
      </c>
      <c r="E964" s="12"/>
      <c r="F964" s="12"/>
      <c r="G964" s="277">
        <f>SUM(G960:G963)</f>
        <v>18590</v>
      </c>
      <c r="H964" s="277">
        <f>SUM(H960:H963)</f>
        <v>18746</v>
      </c>
      <c r="I964" s="12"/>
      <c r="J964" s="2"/>
      <c r="K964" s="277">
        <f>SUM(K960:K963)</f>
        <v>18746</v>
      </c>
      <c r="M964" s="279">
        <f>SUM(M960:M963)</f>
        <v>18745.2379</v>
      </c>
      <c r="N964" s="11"/>
      <c r="O964" s="38"/>
      <c r="P964" s="38"/>
      <c r="Q964" s="11"/>
      <c r="R964" s="11"/>
      <c r="S964" s="11"/>
      <c r="T964" s="11"/>
      <c r="U964" s="11"/>
      <c r="V964" s="11"/>
      <c r="W964" s="11"/>
      <c r="X964" s="11"/>
    </row>
    <row r="965" spans="1:28">
      <c r="A965" s="1" t="s">
        <v>167</v>
      </c>
      <c r="B965" s="1"/>
      <c r="C965" s="212">
        <v>1006.7724689934877</v>
      </c>
      <c r="D965" s="212">
        <v>0</v>
      </c>
      <c r="E965" s="290"/>
      <c r="F965" s="290"/>
      <c r="G965" s="291">
        <v>69.249899021408055</v>
      </c>
      <c r="H965" s="291">
        <v>0</v>
      </c>
      <c r="I965" s="290"/>
      <c r="J965" s="290"/>
      <c r="K965" s="291">
        <v>0</v>
      </c>
      <c r="M965" s="152"/>
      <c r="N965" s="152"/>
      <c r="O965" s="153"/>
      <c r="P965" s="38"/>
      <c r="S965" s="11"/>
      <c r="T965" s="11"/>
      <c r="U965" s="11"/>
      <c r="V965" s="11"/>
      <c r="W965" s="11"/>
      <c r="X965" s="11"/>
    </row>
    <row r="966" spans="1:28" ht="16.5" thickBot="1">
      <c r="A966" s="1" t="s">
        <v>186</v>
      </c>
      <c r="B966" s="1"/>
      <c r="C966" s="229">
        <f>C964+C965</f>
        <v>233861.7724689935</v>
      </c>
      <c r="D966" s="229">
        <f>D963+D965</f>
        <v>235030</v>
      </c>
      <c r="E966" s="208"/>
      <c r="F966" s="208"/>
      <c r="G966" s="175">
        <f>G964+G965</f>
        <v>18659.249899021408</v>
      </c>
      <c r="H966" s="175">
        <f>H964+H965</f>
        <v>18746</v>
      </c>
      <c r="I966" s="208"/>
      <c r="J966" s="208"/>
      <c r="K966" s="175">
        <f>K964+K965</f>
        <v>18746</v>
      </c>
      <c r="M966" s="154"/>
      <c r="N966" s="140" t="s">
        <v>213</v>
      </c>
      <c r="O966" s="292" t="e">
        <f>#REF!*1000</f>
        <v>#REF!</v>
      </c>
      <c r="P966" s="38"/>
      <c r="S966" s="11"/>
      <c r="T966" s="11"/>
      <c r="U966" s="11"/>
      <c r="V966" s="11"/>
      <c r="W966" s="11"/>
      <c r="X966" s="11"/>
    </row>
    <row r="967" spans="1:28" ht="16.5" thickTop="1">
      <c r="A967" s="1"/>
      <c r="B967" s="176"/>
      <c r="C967" s="1"/>
      <c r="D967" s="1"/>
      <c r="E967" s="1"/>
      <c r="F967" s="1"/>
      <c r="G967" s="1"/>
      <c r="H967" s="1"/>
      <c r="I967" s="1" t="s">
        <v>13</v>
      </c>
      <c r="J967" s="1"/>
      <c r="K967" s="2" t="s">
        <v>13</v>
      </c>
      <c r="M967" s="11"/>
      <c r="N967" s="140" t="s">
        <v>114</v>
      </c>
      <c r="O967" s="279" t="e">
        <f>O966-K966</f>
        <v>#REF!</v>
      </c>
      <c r="P967" s="139" t="e">
        <f>(O966-K966)/K966</f>
        <v>#REF!</v>
      </c>
      <c r="Q967" s="11"/>
      <c r="R967" s="11"/>
      <c r="S967" s="11"/>
      <c r="T967" s="11"/>
      <c r="U967" s="11"/>
      <c r="V967" s="11"/>
      <c r="W967" s="11"/>
      <c r="X967" s="11"/>
    </row>
    <row r="968" spans="1:28">
      <c r="A968" s="125" t="s">
        <v>309</v>
      </c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</row>
    <row r="969" spans="1:28">
      <c r="A969" s="166" t="s">
        <v>310</v>
      </c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</row>
    <row r="970" spans="1:28">
      <c r="A970" s="293" t="s">
        <v>311</v>
      </c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</row>
    <row r="971" spans="1:28">
      <c r="A971" s="3" t="s">
        <v>312</v>
      </c>
      <c r="G971" s="126"/>
      <c r="H971" s="126"/>
      <c r="M971" s="140"/>
      <c r="N971" s="143"/>
      <c r="O971" s="143"/>
      <c r="P971" s="38"/>
      <c r="Q971" s="142"/>
      <c r="R971" s="143"/>
      <c r="S971" s="294"/>
      <c r="T971" s="145"/>
      <c r="U971" s="141"/>
      <c r="V971" s="141"/>
      <c r="W971" s="141"/>
      <c r="X971" s="141"/>
      <c r="Y971" s="11"/>
      <c r="Z971" s="11"/>
      <c r="AA971" s="11"/>
      <c r="AB971" s="11"/>
    </row>
    <row r="972" spans="1:28">
      <c r="A972" s="3" t="s">
        <v>158</v>
      </c>
      <c r="C972" s="127">
        <f>10751</f>
        <v>10751</v>
      </c>
      <c r="D972" s="127">
        <f>ROUND(($D$1001/$C$1001)*C972,0)</f>
        <v>10394</v>
      </c>
      <c r="E972" s="128">
        <v>8.7799999999999994</v>
      </c>
      <c r="G972" s="2">
        <f>ROUND(E972*$C972,0)</f>
        <v>94394</v>
      </c>
      <c r="H972" s="2">
        <f>ROUND(E972*$D972,0)</f>
        <v>91259</v>
      </c>
      <c r="I972" s="128">
        <v>8.7799999999999994</v>
      </c>
      <c r="K972" s="2">
        <f>ROUND(I972*$D972,0)</f>
        <v>91259</v>
      </c>
      <c r="M972" s="42">
        <f>I972*D972</f>
        <v>91259.319999999992</v>
      </c>
      <c r="N972" s="11"/>
      <c r="O972" s="261">
        <v>76</v>
      </c>
      <c r="P972" s="262">
        <f>O972*D972</f>
        <v>789944</v>
      </c>
      <c r="Q972" s="263" t="e">
        <f>O972*$P$1001</f>
        <v>#REF!</v>
      </c>
      <c r="R972" s="264" t="e">
        <f>ROUND(E972+Q972,2)</f>
        <v>#REF!</v>
      </c>
      <c r="S972" s="147"/>
      <c r="T972" s="141"/>
      <c r="U972" s="144"/>
      <c r="V972" s="144"/>
      <c r="W972" s="295"/>
      <c r="X972" s="144"/>
      <c r="Y972" s="11"/>
      <c r="Z972" s="11"/>
      <c r="AA972" s="11"/>
      <c r="AB972" s="11"/>
    </row>
    <row r="973" spans="1:28">
      <c r="A973" s="3" t="s">
        <v>159</v>
      </c>
      <c r="C973" s="127">
        <f>1951</f>
        <v>1951</v>
      </c>
      <c r="D973" s="127">
        <f>ROUND(($D$1001/$C$1001)*C973,0)</f>
        <v>1886</v>
      </c>
      <c r="E973" s="128">
        <v>16.079999999999998</v>
      </c>
      <c r="G973" s="2">
        <f>ROUND(E973*$C973,0)</f>
        <v>31372</v>
      </c>
      <c r="H973" s="2">
        <f>ROUND(E973*$D973,0)</f>
        <v>30327</v>
      </c>
      <c r="I973" s="128">
        <v>16.079999999999998</v>
      </c>
      <c r="K973" s="2">
        <f>ROUND(I973*$D973,0)</f>
        <v>30327</v>
      </c>
      <c r="M973" s="42">
        <f>I973*D973</f>
        <v>30326.879999999997</v>
      </c>
      <c r="N973" s="11"/>
      <c r="O973" s="265">
        <v>172</v>
      </c>
      <c r="P973" s="38">
        <f>O973*D973</f>
        <v>324392</v>
      </c>
      <c r="Q973" s="266" t="e">
        <f>O973*$P$1001</f>
        <v>#REF!</v>
      </c>
      <c r="R973" s="267" t="e">
        <f>ROUND(E973+Q973,2)</f>
        <v>#REF!</v>
      </c>
      <c r="S973" s="141"/>
      <c r="T973" s="141"/>
      <c r="U973" s="144"/>
      <c r="V973" s="144"/>
      <c r="W973" s="295"/>
      <c r="X973" s="144"/>
      <c r="Y973" s="11"/>
      <c r="Z973" s="11"/>
      <c r="AA973" s="11"/>
      <c r="AB973" s="11"/>
    </row>
    <row r="974" spans="1:28">
      <c r="A974" s="3" t="s">
        <v>160</v>
      </c>
      <c r="C974" s="127">
        <f>12</f>
        <v>12</v>
      </c>
      <c r="D974" s="127">
        <f>ROUND(($D$1001/$C$1001)*C974,0)</f>
        <v>12</v>
      </c>
      <c r="E974" s="128">
        <v>32.53</v>
      </c>
      <c r="G974" s="2">
        <f>ROUND(E974*$C974,0)</f>
        <v>390</v>
      </c>
      <c r="H974" s="2">
        <f>ROUND(E974*$D974,0)</f>
        <v>390</v>
      </c>
      <c r="I974" s="128">
        <v>32.53</v>
      </c>
      <c r="K974" s="2">
        <f>ROUND(I974*$D974,0)</f>
        <v>390</v>
      </c>
      <c r="M974" s="42">
        <f>I974*D974</f>
        <v>390.36</v>
      </c>
      <c r="N974" s="11"/>
      <c r="O974" s="265">
        <v>412</v>
      </c>
      <c r="P974" s="38">
        <f>O974*D974</f>
        <v>4944</v>
      </c>
      <c r="Q974" s="266" t="e">
        <f>O974*$P$1001</f>
        <v>#REF!</v>
      </c>
      <c r="R974" s="267" t="e">
        <f>ROUND(E974+Q974,2)</f>
        <v>#REF!</v>
      </c>
      <c r="S974" s="141"/>
      <c r="T974" s="141"/>
      <c r="U974" s="144"/>
      <c r="V974" s="144"/>
      <c r="W974" s="295"/>
      <c r="X974" s="144"/>
      <c r="Y974" s="11"/>
      <c r="Z974" s="11"/>
      <c r="AA974" s="11"/>
      <c r="AB974" s="11"/>
    </row>
    <row r="975" spans="1:28">
      <c r="A975" s="3" t="s">
        <v>313</v>
      </c>
      <c r="C975" s="127"/>
      <c r="D975" s="127"/>
      <c r="E975" s="296"/>
      <c r="G975" s="126"/>
      <c r="H975" s="126"/>
      <c r="I975" s="296"/>
      <c r="N975" s="11"/>
      <c r="O975" s="265"/>
      <c r="P975" s="38"/>
      <c r="Q975" s="11"/>
      <c r="R975" s="269"/>
      <c r="S975" s="141"/>
      <c r="T975" s="141"/>
      <c r="U975" s="144"/>
      <c r="V975" s="144"/>
      <c r="W975" s="295"/>
      <c r="X975" s="144"/>
      <c r="Y975" s="11"/>
      <c r="Z975" s="11"/>
      <c r="AA975" s="11"/>
      <c r="AB975" s="11"/>
    </row>
    <row r="976" spans="1:28">
      <c r="A976" s="3" t="s">
        <v>158</v>
      </c>
      <c r="C976" s="127">
        <f>5858</f>
        <v>5858</v>
      </c>
      <c r="D976" s="127">
        <f>ROUND(($D$1001/$C$1001)*C976,0)</f>
        <v>5664</v>
      </c>
      <c r="E976" s="128">
        <v>8.23</v>
      </c>
      <c r="G976" s="2">
        <f>ROUND(E976*$C976,0)</f>
        <v>48211</v>
      </c>
      <c r="H976" s="2">
        <f>ROUND(E976*$D976,0)</f>
        <v>46615</v>
      </c>
      <c r="I976" s="128">
        <v>8.23</v>
      </c>
      <c r="K976" s="2">
        <f>ROUND(I976*$D976,0)</f>
        <v>46615</v>
      </c>
      <c r="M976" s="42">
        <f>I976*D976</f>
        <v>46614.720000000001</v>
      </c>
      <c r="N976" s="11"/>
      <c r="O976" s="265">
        <v>76</v>
      </c>
      <c r="P976" s="38">
        <f>O976*D976</f>
        <v>430464</v>
      </c>
      <c r="Q976" s="266" t="e">
        <f>O976*$P$1001</f>
        <v>#REF!</v>
      </c>
      <c r="R976" s="267" t="e">
        <f>ROUND(E976+Q976,2)</f>
        <v>#REF!</v>
      </c>
      <c r="S976" s="11"/>
      <c r="T976" s="11"/>
      <c r="U976" s="144"/>
      <c r="V976" s="144"/>
      <c r="W976" s="295"/>
      <c r="X976" s="144"/>
      <c r="Y976" s="11"/>
      <c r="Z976" s="11"/>
      <c r="AA976" s="11"/>
      <c r="AB976" s="11"/>
    </row>
    <row r="977" spans="1:28">
      <c r="A977" s="3" t="s">
        <v>159</v>
      </c>
      <c r="C977" s="127">
        <f>8</f>
        <v>8</v>
      </c>
      <c r="D977" s="127">
        <f>ROUND(($D$1001/$C$1001)*C977,0)</f>
        <v>8</v>
      </c>
      <c r="E977" s="128">
        <v>15</v>
      </c>
      <c r="G977" s="2">
        <f>ROUND(E977*$C977,0)</f>
        <v>120</v>
      </c>
      <c r="H977" s="2">
        <f>ROUND(E977*$D977,0)</f>
        <v>120</v>
      </c>
      <c r="I977" s="128">
        <v>15</v>
      </c>
      <c r="K977" s="2">
        <f>ROUND(I977*$D977,0)</f>
        <v>120</v>
      </c>
      <c r="M977" s="42">
        <f>I977*D977</f>
        <v>120</v>
      </c>
      <c r="N977" s="11"/>
      <c r="O977" s="265">
        <v>172</v>
      </c>
      <c r="P977" s="38">
        <f>O977*D977</f>
        <v>1376</v>
      </c>
      <c r="Q977" s="266" t="e">
        <f>O977*$P$1001</f>
        <v>#REF!</v>
      </c>
      <c r="R977" s="267" t="e">
        <f>ROUND(E977+Q977,2)</f>
        <v>#REF!</v>
      </c>
      <c r="S977" s="11"/>
      <c r="T977" s="11"/>
      <c r="U977" s="144"/>
      <c r="V977" s="144"/>
      <c r="W977" s="295"/>
      <c r="X977" s="144"/>
      <c r="Y977" s="11"/>
      <c r="Z977" s="11"/>
      <c r="AA977" s="11"/>
      <c r="AB977" s="11"/>
    </row>
    <row r="978" spans="1:28">
      <c r="A978" s="293" t="s">
        <v>314</v>
      </c>
      <c r="C978" s="127"/>
      <c r="D978" s="127"/>
      <c r="E978" s="128"/>
      <c r="G978" s="2"/>
      <c r="H978" s="2"/>
      <c r="I978" s="128"/>
      <c r="K978" s="2"/>
      <c r="N978" s="11"/>
      <c r="O978" s="265"/>
      <c r="P978" s="38"/>
      <c r="Q978" s="11"/>
      <c r="R978" s="39"/>
      <c r="S978" s="11"/>
      <c r="T978" s="11"/>
      <c r="U978" s="11"/>
      <c r="V978" s="11"/>
      <c r="W978" s="295"/>
      <c r="X978" s="11"/>
      <c r="Y978" s="11"/>
      <c r="Z978" s="11"/>
      <c r="AA978" s="11"/>
      <c r="AB978" s="11"/>
    </row>
    <row r="979" spans="1:28">
      <c r="A979" s="3" t="s">
        <v>312</v>
      </c>
      <c r="C979" s="127"/>
      <c r="D979" s="127"/>
      <c r="E979" s="296"/>
      <c r="G979" s="126"/>
      <c r="H979" s="126"/>
      <c r="I979" s="296"/>
      <c r="N979" s="11"/>
      <c r="O979" s="297"/>
      <c r="P979" s="38"/>
      <c r="Q979" s="11"/>
      <c r="R979" s="39"/>
      <c r="S979" s="11"/>
      <c r="T979" s="11"/>
      <c r="U979" s="11"/>
      <c r="V979" s="11"/>
      <c r="W979" s="295"/>
      <c r="X979" s="11"/>
      <c r="Y979" s="11"/>
      <c r="Z979" s="11"/>
      <c r="AA979" s="11"/>
      <c r="AB979" s="11"/>
    </row>
    <row r="980" spans="1:28">
      <c r="A980" s="3" t="s">
        <v>158</v>
      </c>
      <c r="C980" s="127">
        <f>91</f>
        <v>91</v>
      </c>
      <c r="D980" s="127">
        <f>ROUND(($D$1001/$C$1001)*C980,0)</f>
        <v>88</v>
      </c>
      <c r="E980" s="128">
        <v>11.47</v>
      </c>
      <c r="G980" s="2">
        <f>ROUND(E980*$C980,0)</f>
        <v>1044</v>
      </c>
      <c r="H980" s="2">
        <f>ROUND(E980*$D980,0)</f>
        <v>1009</v>
      </c>
      <c r="I980" s="128">
        <v>11.47</v>
      </c>
      <c r="K980" s="2">
        <f>ROUND(I980*$D980,0)</f>
        <v>1009</v>
      </c>
      <c r="M980" s="42">
        <f>I980*D980</f>
        <v>1009.36</v>
      </c>
      <c r="N980" s="11"/>
      <c r="O980" s="265">
        <v>76</v>
      </c>
      <c r="P980" s="38">
        <f>O980*D980</f>
        <v>6688</v>
      </c>
      <c r="Q980" s="266" t="e">
        <f>O980*$P$1001</f>
        <v>#REF!</v>
      </c>
      <c r="R980" s="267" t="e">
        <f>ROUND(E980+Q980,2)</f>
        <v>#REF!</v>
      </c>
      <c r="S980" s="11"/>
      <c r="T980" s="11"/>
      <c r="U980" s="144"/>
      <c r="V980" s="144"/>
      <c r="W980" s="295"/>
      <c r="X980" s="144"/>
      <c r="Y980" s="11"/>
      <c r="Z980" s="11"/>
      <c r="AA980" s="11"/>
      <c r="AB980" s="11"/>
    </row>
    <row r="981" spans="1:28">
      <c r="A981" s="3" t="s">
        <v>159</v>
      </c>
      <c r="C981" s="127">
        <f>324</f>
        <v>324</v>
      </c>
      <c r="D981" s="127">
        <f>ROUND(($D$1001/$C$1001)*C981,0)</f>
        <v>313</v>
      </c>
      <c r="E981" s="128">
        <v>19.260000000000002</v>
      </c>
      <c r="G981" s="2">
        <f>ROUND(E981*$C981,0)</f>
        <v>6240</v>
      </c>
      <c r="H981" s="2">
        <f>ROUND(E981*$D981,0)</f>
        <v>6028</v>
      </c>
      <c r="I981" s="128">
        <v>19.260000000000002</v>
      </c>
      <c r="K981" s="2">
        <f>ROUND(I981*$D981,0)</f>
        <v>6028</v>
      </c>
      <c r="M981" s="42">
        <f>I981*D981</f>
        <v>6028.38</v>
      </c>
      <c r="N981" s="11"/>
      <c r="O981" s="265">
        <v>172</v>
      </c>
      <c r="P981" s="38">
        <f>O981*D981</f>
        <v>53836</v>
      </c>
      <c r="Q981" s="266" t="e">
        <f>O981*$P$1001</f>
        <v>#REF!</v>
      </c>
      <c r="R981" s="267" t="e">
        <f>ROUND(E981+Q981,2)</f>
        <v>#REF!</v>
      </c>
      <c r="S981" s="292"/>
      <c r="T981" s="292"/>
      <c r="U981" s="144"/>
      <c r="V981" s="144"/>
      <c r="W981" s="295"/>
      <c r="X981" s="144"/>
      <c r="Y981" s="11"/>
      <c r="Z981" s="11"/>
      <c r="AA981" s="11"/>
      <c r="AB981" s="11"/>
    </row>
    <row r="982" spans="1:28">
      <c r="A982" s="3" t="s">
        <v>160</v>
      </c>
      <c r="C982" s="127">
        <v>0</v>
      </c>
      <c r="D982" s="127">
        <f>ROUND(($D$1001/$C$1001)*C982,0)</f>
        <v>0</v>
      </c>
      <c r="E982" s="128">
        <v>35.75</v>
      </c>
      <c r="G982" s="2">
        <f>ROUND(E982*$C982,0)</f>
        <v>0</v>
      </c>
      <c r="H982" s="2">
        <f>ROUND(E982*$D982,0)</f>
        <v>0</v>
      </c>
      <c r="I982" s="128">
        <v>35.75</v>
      </c>
      <c r="K982" s="2">
        <f>ROUND(I982*$D982,0)</f>
        <v>0</v>
      </c>
      <c r="M982" s="42">
        <f>I982*D982</f>
        <v>0</v>
      </c>
      <c r="N982" s="11"/>
      <c r="O982" s="265">
        <v>412</v>
      </c>
      <c r="P982" s="38">
        <f>O982*D982</f>
        <v>0</v>
      </c>
      <c r="Q982" s="266" t="e">
        <f>O982*$P$1001</f>
        <v>#REF!</v>
      </c>
      <c r="R982" s="267" t="e">
        <f>ROUND(E982+Q982,2)</f>
        <v>#REF!</v>
      </c>
      <c r="S982" s="292"/>
      <c r="T982" s="292"/>
      <c r="U982" s="144"/>
      <c r="V982" s="144"/>
      <c r="W982" s="295"/>
      <c r="X982" s="144"/>
      <c r="Y982" s="11"/>
      <c r="Z982" s="11"/>
      <c r="AA982" s="11"/>
      <c r="AB982" s="11"/>
    </row>
    <row r="983" spans="1:28">
      <c r="A983" s="3" t="s">
        <v>313</v>
      </c>
      <c r="C983" s="127"/>
      <c r="D983" s="127"/>
      <c r="E983" s="296"/>
      <c r="G983" s="126"/>
      <c r="H983" s="126"/>
      <c r="I983" s="296"/>
      <c r="M983" s="11"/>
      <c r="N983" s="11"/>
      <c r="O983" s="19"/>
      <c r="P983" s="298"/>
      <c r="Q983" s="298"/>
      <c r="R983" s="299"/>
      <c r="S983" s="292"/>
      <c r="T983" s="292"/>
      <c r="U983" s="300"/>
      <c r="V983" s="11"/>
      <c r="W983" s="295"/>
      <c r="X983" s="11"/>
      <c r="Y983" s="11"/>
      <c r="Z983" s="11"/>
      <c r="AA983" s="11"/>
      <c r="AB983" s="11"/>
    </row>
    <row r="984" spans="1:28">
      <c r="A984" s="3" t="s">
        <v>158</v>
      </c>
      <c r="C984" s="127">
        <v>0</v>
      </c>
      <c r="D984" s="127">
        <f>ROUND(($D$1001/$C$1001)*C984,0)</f>
        <v>0</v>
      </c>
      <c r="E984" s="128">
        <v>10.86</v>
      </c>
      <c r="G984" s="2">
        <f>ROUND(E984*$C984,0)</f>
        <v>0</v>
      </c>
      <c r="H984" s="2">
        <f>ROUND(E984*$D984,0)</f>
        <v>0</v>
      </c>
      <c r="I984" s="128">
        <v>10.86</v>
      </c>
      <c r="K984" s="2">
        <f>ROUND(I984*$D984,0)</f>
        <v>0</v>
      </c>
      <c r="M984" s="42">
        <f>I984*D984</f>
        <v>0</v>
      </c>
      <c r="N984" s="11"/>
      <c r="O984" s="265">
        <v>76</v>
      </c>
      <c r="P984" s="38">
        <f>O984*D984</f>
        <v>0</v>
      </c>
      <c r="Q984" s="266" t="e">
        <f>O984*$P$1001</f>
        <v>#REF!</v>
      </c>
      <c r="R984" s="267" t="e">
        <f>ROUND(E984+Q984,2)</f>
        <v>#REF!</v>
      </c>
      <c r="S984" s="292"/>
      <c r="T984" s="292"/>
      <c r="U984" s="144"/>
      <c r="V984" s="144"/>
      <c r="W984" s="295"/>
      <c r="X984" s="144"/>
      <c r="Y984" s="11"/>
      <c r="Z984" s="11"/>
      <c r="AA984" s="11"/>
      <c r="AB984" s="11"/>
    </row>
    <row r="985" spans="1:28">
      <c r="A985" s="3" t="s">
        <v>159</v>
      </c>
      <c r="C985" s="127">
        <v>0</v>
      </c>
      <c r="D985" s="127">
        <f>ROUND(($D$1001/$C$1001)*C985,0)</f>
        <v>0</v>
      </c>
      <c r="E985" s="128">
        <v>18.21</v>
      </c>
      <c r="G985" s="2">
        <f>ROUND(E985*$C985,0)</f>
        <v>0</v>
      </c>
      <c r="H985" s="2">
        <f>ROUND(E985*$D985,0)</f>
        <v>0</v>
      </c>
      <c r="I985" s="128">
        <v>18.21</v>
      </c>
      <c r="K985" s="2">
        <f>ROUND(I985*$D985,0)</f>
        <v>0</v>
      </c>
      <c r="M985" s="42">
        <f>I985*D985</f>
        <v>0</v>
      </c>
      <c r="N985" s="11"/>
      <c r="O985" s="265">
        <v>172</v>
      </c>
      <c r="P985" s="38">
        <f>O985*D985</f>
        <v>0</v>
      </c>
      <c r="Q985" s="266" t="e">
        <f>O985*$P$1001</f>
        <v>#REF!</v>
      </c>
      <c r="R985" s="267" t="e">
        <f>ROUND(E985+Q985,2)</f>
        <v>#REF!</v>
      </c>
      <c r="S985" s="292"/>
      <c r="T985" s="292"/>
      <c r="U985" s="144"/>
      <c r="V985" s="144"/>
      <c r="W985" s="295"/>
      <c r="X985" s="144"/>
      <c r="Y985" s="11"/>
      <c r="Z985" s="11"/>
      <c r="AA985" s="11"/>
      <c r="AB985" s="11"/>
    </row>
    <row r="986" spans="1:28">
      <c r="A986" s="293" t="s">
        <v>315</v>
      </c>
      <c r="B986" s="166"/>
      <c r="C986" s="127"/>
      <c r="D986" s="127"/>
      <c r="E986" s="296"/>
      <c r="F986" s="166"/>
      <c r="G986" s="166"/>
      <c r="H986" s="166"/>
      <c r="I986" s="296"/>
      <c r="J986" s="166"/>
      <c r="K986" s="166"/>
      <c r="M986" s="11"/>
      <c r="N986" s="11"/>
      <c r="O986" s="19"/>
      <c r="P986" s="298"/>
      <c r="Q986" s="298"/>
      <c r="R986" s="299"/>
      <c r="S986" s="292"/>
      <c r="T986" s="292"/>
      <c r="U986" s="300"/>
      <c r="V986" s="11"/>
      <c r="W986" s="295"/>
      <c r="X986" s="11"/>
      <c r="Y986" s="11"/>
      <c r="Z986" s="11"/>
      <c r="AA986" s="11"/>
      <c r="AB986" s="11"/>
    </row>
    <row r="987" spans="1:28">
      <c r="A987" s="3" t="s">
        <v>312</v>
      </c>
      <c r="C987" s="127"/>
      <c r="D987" s="127"/>
      <c r="E987" s="296"/>
      <c r="G987" s="126"/>
      <c r="H987" s="126"/>
      <c r="I987" s="296"/>
      <c r="M987" s="11"/>
      <c r="N987" s="11"/>
      <c r="O987" s="19"/>
      <c r="P987" s="298"/>
      <c r="Q987" s="298"/>
      <c r="R987" s="299"/>
      <c r="S987" s="292"/>
      <c r="T987" s="292"/>
      <c r="U987" s="300"/>
      <c r="V987" s="11"/>
      <c r="W987" s="295"/>
      <c r="X987" s="11"/>
      <c r="Y987" s="11"/>
      <c r="Z987" s="11"/>
      <c r="AA987" s="11"/>
      <c r="AB987" s="11"/>
    </row>
    <row r="988" spans="1:28">
      <c r="A988" s="3" t="s">
        <v>158</v>
      </c>
      <c r="C988" s="127">
        <v>0</v>
      </c>
      <c r="D988" s="127">
        <f>ROUND(($D$1001/$C$1001)*C988,0)</f>
        <v>0</v>
      </c>
      <c r="E988" s="128">
        <v>11.47</v>
      </c>
      <c r="G988" s="2">
        <f>ROUND(E988*$C988,0)</f>
        <v>0</v>
      </c>
      <c r="H988" s="2">
        <f>ROUND(E988*$D988,0)</f>
        <v>0</v>
      </c>
      <c r="I988" s="128">
        <v>11.47</v>
      </c>
      <c r="K988" s="2">
        <f>ROUND(I988*$D988,0)</f>
        <v>0</v>
      </c>
      <c r="M988" s="42">
        <f>I988*D988</f>
        <v>0</v>
      </c>
      <c r="N988" s="11"/>
      <c r="O988" s="265">
        <v>76</v>
      </c>
      <c r="P988" s="38">
        <f>O988*D988</f>
        <v>0</v>
      </c>
      <c r="Q988" s="266" t="e">
        <f>O988*$P$1001</f>
        <v>#REF!</v>
      </c>
      <c r="R988" s="267" t="e">
        <f>ROUND(E988+Q988,2)</f>
        <v>#REF!</v>
      </c>
      <c r="S988" s="292"/>
      <c r="T988" s="292"/>
      <c r="U988" s="144"/>
      <c r="V988" s="144"/>
      <c r="W988" s="295"/>
      <c r="X988" s="144"/>
      <c r="Y988" s="11"/>
      <c r="Z988" s="11"/>
      <c r="AA988" s="11"/>
      <c r="AB988" s="11"/>
    </row>
    <row r="989" spans="1:28">
      <c r="A989" s="3" t="s">
        <v>159</v>
      </c>
      <c r="C989" s="127">
        <v>0</v>
      </c>
      <c r="D989" s="127">
        <f>ROUND(($D$1001/$C$1001)*C989,0)</f>
        <v>0</v>
      </c>
      <c r="E989" s="128">
        <v>18.649999999999999</v>
      </c>
      <c r="G989" s="2">
        <f>ROUND(E989*$C989,0)</f>
        <v>0</v>
      </c>
      <c r="H989" s="2">
        <f>ROUND(E989*$D989,0)</f>
        <v>0</v>
      </c>
      <c r="I989" s="128">
        <v>18.649999999999999</v>
      </c>
      <c r="K989" s="2">
        <f>ROUND(I989*$D989,0)</f>
        <v>0</v>
      </c>
      <c r="M989" s="42">
        <f>I989*D989</f>
        <v>0</v>
      </c>
      <c r="N989" s="11"/>
      <c r="O989" s="265">
        <v>172</v>
      </c>
      <c r="P989" s="38">
        <f>O989*D989</f>
        <v>0</v>
      </c>
      <c r="Q989" s="266" t="e">
        <f>O989*$P$1001</f>
        <v>#REF!</v>
      </c>
      <c r="R989" s="267" t="e">
        <f>ROUND(E989+Q989,2)</f>
        <v>#REF!</v>
      </c>
      <c r="S989" s="292"/>
      <c r="T989" s="292"/>
      <c r="U989" s="144"/>
      <c r="V989" s="144"/>
      <c r="W989" s="295"/>
      <c r="X989" s="144"/>
      <c r="Y989" s="11"/>
      <c r="Z989" s="11"/>
      <c r="AA989" s="11"/>
      <c r="AB989" s="11"/>
    </row>
    <row r="990" spans="1:28">
      <c r="A990" s="3" t="s">
        <v>160</v>
      </c>
      <c r="C990" s="127">
        <v>0</v>
      </c>
      <c r="D990" s="127">
        <f>ROUND(($D$1001/$C$1001)*C990,0)</f>
        <v>0</v>
      </c>
      <c r="E990" s="128">
        <v>35.130000000000003</v>
      </c>
      <c r="G990" s="2">
        <f>ROUND(E990*$C990,0)</f>
        <v>0</v>
      </c>
      <c r="H990" s="2">
        <f>ROUND(E990*$D990,0)</f>
        <v>0</v>
      </c>
      <c r="I990" s="128">
        <v>35.130000000000003</v>
      </c>
      <c r="K990" s="2">
        <f>ROUND(I990*$D990,0)</f>
        <v>0</v>
      </c>
      <c r="M990" s="42">
        <f>I990*D990</f>
        <v>0</v>
      </c>
      <c r="N990" s="11"/>
      <c r="O990" s="265">
        <v>412</v>
      </c>
      <c r="P990" s="38">
        <f>O990*D990</f>
        <v>0</v>
      </c>
      <c r="Q990" s="266" t="e">
        <f>O990*$P$1001</f>
        <v>#REF!</v>
      </c>
      <c r="R990" s="267" t="e">
        <f>ROUND(E990+Q990,2)</f>
        <v>#REF!</v>
      </c>
      <c r="S990" s="292"/>
      <c r="T990" s="292"/>
      <c r="U990" s="144"/>
      <c r="V990" s="144"/>
      <c r="W990" s="295"/>
      <c r="X990" s="144"/>
      <c r="Y990" s="11"/>
      <c r="Z990" s="11"/>
      <c r="AA990" s="11"/>
      <c r="AB990" s="11"/>
    </row>
    <row r="991" spans="1:28">
      <c r="A991" s="3" t="s">
        <v>313</v>
      </c>
      <c r="C991" s="127"/>
      <c r="D991" s="127"/>
      <c r="E991" s="296"/>
      <c r="G991" s="126"/>
      <c r="H991" s="126"/>
      <c r="I991" s="296"/>
      <c r="M991" s="11"/>
      <c r="N991" s="11"/>
      <c r="O991" s="19"/>
      <c r="P991" s="298"/>
      <c r="Q991" s="298"/>
      <c r="R991" s="299"/>
      <c r="S991" s="292"/>
      <c r="T991" s="292"/>
      <c r="U991" s="300"/>
      <c r="V991" s="11"/>
      <c r="W991" s="295"/>
      <c r="X991" s="11"/>
      <c r="Y991" s="11"/>
      <c r="Z991" s="11"/>
      <c r="AA991" s="11"/>
      <c r="AB991" s="11"/>
    </row>
    <row r="992" spans="1:28">
      <c r="A992" s="3" t="s">
        <v>158</v>
      </c>
      <c r="C992" s="127">
        <v>0</v>
      </c>
      <c r="D992" s="127">
        <f>ROUND(($D$1001/$C$1001)*C992,0)</f>
        <v>0</v>
      </c>
      <c r="E992" s="128">
        <v>10.86</v>
      </c>
      <c r="G992" s="2">
        <f>ROUND(E992*$C992,0)</f>
        <v>0</v>
      </c>
      <c r="H992" s="2">
        <f>ROUND(E992*$D992,0)</f>
        <v>0</v>
      </c>
      <c r="I992" s="128">
        <v>10.86</v>
      </c>
      <c r="K992" s="2">
        <f>ROUND(I992*$D992,0)</f>
        <v>0</v>
      </c>
      <c r="M992" s="42">
        <f>I992*D992</f>
        <v>0</v>
      </c>
      <c r="N992" s="11"/>
      <c r="O992" s="265">
        <v>76</v>
      </c>
      <c r="P992" s="38">
        <f>O992*D992</f>
        <v>0</v>
      </c>
      <c r="Q992" s="266" t="e">
        <f>O992*$P$1001</f>
        <v>#REF!</v>
      </c>
      <c r="R992" s="267" t="e">
        <f>ROUND(E992+Q992,2)</f>
        <v>#REF!</v>
      </c>
      <c r="S992" s="292"/>
      <c r="T992" s="292"/>
      <c r="U992" s="144"/>
      <c r="V992" s="144"/>
      <c r="W992" s="295"/>
      <c r="X992" s="144"/>
      <c r="Y992" s="11"/>
      <c r="Z992" s="11"/>
      <c r="AA992" s="11"/>
      <c r="AB992" s="11"/>
    </row>
    <row r="993" spans="1:28">
      <c r="A993" s="3" t="s">
        <v>159</v>
      </c>
      <c r="C993" s="127">
        <v>0</v>
      </c>
      <c r="D993" s="127">
        <f>ROUND(($D$1001/$C$1001)*C993,0)</f>
        <v>0</v>
      </c>
      <c r="E993" s="128">
        <v>17.600000000000001</v>
      </c>
      <c r="G993" s="2">
        <f>ROUND(E993*$C993,0)</f>
        <v>0</v>
      </c>
      <c r="H993" s="2">
        <f>ROUND(E993*$D993,0)</f>
        <v>0</v>
      </c>
      <c r="I993" s="128">
        <v>17.600000000000001</v>
      </c>
      <c r="K993" s="2">
        <f>ROUND(I993*$D993,0)</f>
        <v>0</v>
      </c>
      <c r="M993" s="42">
        <f>I993*D993</f>
        <v>0</v>
      </c>
      <c r="N993" s="11"/>
      <c r="O993" s="265">
        <v>172</v>
      </c>
      <c r="P993" s="38">
        <f>O993*D993</f>
        <v>0</v>
      </c>
      <c r="Q993" s="266" t="e">
        <f>O993*$P$1001</f>
        <v>#REF!</v>
      </c>
      <c r="R993" s="267" t="e">
        <f>ROUND(E993+Q993,2)</f>
        <v>#REF!</v>
      </c>
      <c r="S993" s="292"/>
      <c r="T993" s="292"/>
      <c r="U993" s="144"/>
      <c r="V993" s="144"/>
      <c r="W993" s="295"/>
      <c r="X993" s="144"/>
      <c r="Y993" s="11"/>
      <c r="Z993" s="11"/>
      <c r="AA993" s="11"/>
      <c r="AB993" s="11"/>
    </row>
    <row r="994" spans="1:28">
      <c r="A994" s="293" t="s">
        <v>316</v>
      </c>
      <c r="B994" s="166"/>
      <c r="C994" s="127"/>
      <c r="D994" s="127"/>
      <c r="E994" s="296"/>
      <c r="F994" s="166"/>
      <c r="G994" s="166"/>
      <c r="H994" s="166"/>
      <c r="I994" s="296"/>
      <c r="J994" s="166"/>
      <c r="K994" s="166"/>
      <c r="M994" s="11"/>
      <c r="N994" s="11"/>
      <c r="O994" s="19"/>
      <c r="P994" s="298"/>
      <c r="Q994" s="298"/>
      <c r="R994" s="299"/>
      <c r="S994" s="292"/>
      <c r="T994" s="292"/>
      <c r="U994" s="300"/>
      <c r="V994" s="11"/>
      <c r="W994" s="295"/>
      <c r="X994" s="11"/>
      <c r="Y994" s="11"/>
      <c r="Z994" s="11"/>
      <c r="AA994" s="11"/>
      <c r="AB994" s="11"/>
    </row>
    <row r="995" spans="1:28">
      <c r="A995" s="3" t="s">
        <v>158</v>
      </c>
      <c r="C995" s="127">
        <f>2270</f>
        <v>2270</v>
      </c>
      <c r="D995" s="127">
        <f>ROUND(($D$1001/$C$1001)*C995,0)</f>
        <v>2195</v>
      </c>
      <c r="E995" s="128">
        <v>9.18</v>
      </c>
      <c r="G995" s="2">
        <f>ROUND(E995*$C995,0)</f>
        <v>20839</v>
      </c>
      <c r="H995" s="2">
        <f>ROUND(E995*$D995,0)</f>
        <v>20150</v>
      </c>
      <c r="I995" s="128">
        <v>9.18</v>
      </c>
      <c r="K995" s="2">
        <f>ROUND(I995*$D995,0)</f>
        <v>20150</v>
      </c>
      <c r="M995" s="42">
        <f>I995*D995</f>
        <v>20150.099999999999</v>
      </c>
      <c r="N995" s="11"/>
      <c r="O995" s="265">
        <v>76</v>
      </c>
      <c r="P995" s="38">
        <f>O995*D995</f>
        <v>166820</v>
      </c>
      <c r="Q995" s="266" t="e">
        <f>O995*$P$1001</f>
        <v>#REF!</v>
      </c>
      <c r="R995" s="267" t="e">
        <f>ROUND(E995+Q995,2)</f>
        <v>#REF!</v>
      </c>
      <c r="S995" s="292"/>
      <c r="T995" s="292"/>
      <c r="U995" s="144"/>
      <c r="V995" s="144"/>
      <c r="W995" s="295"/>
      <c r="X995" s="144"/>
      <c r="Y995" s="11"/>
      <c r="Z995" s="11"/>
      <c r="AA995" s="11"/>
      <c r="AB995" s="11"/>
    </row>
    <row r="996" spans="1:28">
      <c r="A996" s="3" t="s">
        <v>159</v>
      </c>
      <c r="C996" s="127">
        <f>1694</f>
        <v>1694</v>
      </c>
      <c r="D996" s="127">
        <f>ROUND(($D$1001/$C$1001)*C996,0)</f>
        <v>1638</v>
      </c>
      <c r="E996" s="128">
        <v>16.079999999999998</v>
      </c>
      <c r="G996" s="2">
        <f>ROUND(E996*$C996,0)</f>
        <v>27240</v>
      </c>
      <c r="H996" s="2">
        <f>ROUND(E996*$D996,0)</f>
        <v>26339</v>
      </c>
      <c r="I996" s="128">
        <v>16.079999999999998</v>
      </c>
      <c r="K996" s="2">
        <f>ROUND(I996*$D996,0)</f>
        <v>26339</v>
      </c>
      <c r="M996" s="42">
        <f>I996*D996</f>
        <v>26339.039999999997</v>
      </c>
      <c r="N996" s="11"/>
      <c r="O996" s="265">
        <v>172</v>
      </c>
      <c r="P996" s="38">
        <f>O996*D996</f>
        <v>281736</v>
      </c>
      <c r="Q996" s="266" t="e">
        <f>O996*$P$1001</f>
        <v>#REF!</v>
      </c>
      <c r="R996" s="267" t="e">
        <f>ROUND(E996+Q996,2)</f>
        <v>#REF!</v>
      </c>
      <c r="S996" s="292"/>
      <c r="T996" s="292"/>
      <c r="U996" s="144"/>
      <c r="V996" s="144"/>
      <c r="W996" s="295"/>
      <c r="X996" s="144"/>
      <c r="Y996" s="11"/>
      <c r="Z996" s="11"/>
      <c r="AA996" s="11"/>
      <c r="AB996" s="11"/>
    </row>
    <row r="997" spans="1:28">
      <c r="A997" s="3" t="s">
        <v>160</v>
      </c>
      <c r="C997" s="127">
        <v>0</v>
      </c>
      <c r="D997" s="127">
        <f>ROUND(($D$1001/$C$1001)*C997,0)</f>
        <v>0</v>
      </c>
      <c r="E997" s="128">
        <v>34.340000000000003</v>
      </c>
      <c r="G997" s="2">
        <f>ROUND(E997*$C997,0)</f>
        <v>0</v>
      </c>
      <c r="H997" s="2">
        <f>ROUND(E997*$D997,0)</f>
        <v>0</v>
      </c>
      <c r="I997" s="128">
        <v>34.340000000000003</v>
      </c>
      <c r="K997" s="2">
        <f>ROUND(I997*$D997,0)</f>
        <v>0</v>
      </c>
      <c r="M997" s="42">
        <f>I997*D997</f>
        <v>0</v>
      </c>
      <c r="N997" s="11"/>
      <c r="O997" s="265">
        <v>412</v>
      </c>
      <c r="P997" s="38">
        <f>O997*D997</f>
        <v>0</v>
      </c>
      <c r="Q997" s="266" t="e">
        <f>O997*$P$1001</f>
        <v>#REF!</v>
      </c>
      <c r="R997" s="267" t="e">
        <f>ROUND(E997+Q997,2)</f>
        <v>#REF!</v>
      </c>
      <c r="S997" s="292"/>
      <c r="T997" s="292"/>
      <c r="U997" s="144"/>
      <c r="V997" s="144"/>
      <c r="W997" s="295"/>
      <c r="X997" s="144"/>
      <c r="Y997" s="11"/>
      <c r="Z997" s="11"/>
      <c r="AA997" s="11"/>
      <c r="AB997" s="11"/>
    </row>
    <row r="998" spans="1:28">
      <c r="A998" s="5" t="s">
        <v>317</v>
      </c>
      <c r="C998" s="127"/>
      <c r="D998" s="127"/>
      <c r="E998" s="128"/>
      <c r="G998" s="2"/>
      <c r="H998" s="2"/>
      <c r="I998" s="128"/>
      <c r="K998" s="2"/>
      <c r="M998" s="11"/>
      <c r="N998" s="11"/>
      <c r="O998" s="19"/>
      <c r="P998" s="298"/>
      <c r="Q998" s="298"/>
      <c r="R998" s="301"/>
      <c r="S998" s="292"/>
      <c r="T998" s="292"/>
      <c r="U998" s="300"/>
      <c r="V998" s="11"/>
      <c r="W998" s="295"/>
      <c r="X998" s="11"/>
      <c r="Y998" s="11"/>
      <c r="Z998" s="11"/>
      <c r="AA998" s="11"/>
      <c r="AB998" s="11"/>
    </row>
    <row r="999" spans="1:28">
      <c r="A999" s="3" t="s">
        <v>318</v>
      </c>
      <c r="C999" s="127">
        <f>96</f>
        <v>96</v>
      </c>
      <c r="D999" s="127">
        <f>ROUND(($D$1001/$C$1001)*C999,0)</f>
        <v>93</v>
      </c>
      <c r="E999" s="128">
        <v>32.950000000000003</v>
      </c>
      <c r="G999" s="2">
        <f>ROUND(E999*$C999,0)</f>
        <v>3163</v>
      </c>
      <c r="H999" s="2">
        <f>ROUND(E999*$D999,0)</f>
        <v>3064</v>
      </c>
      <c r="I999" s="128">
        <v>32.950000000000003</v>
      </c>
      <c r="K999" s="2">
        <f>ROUND(I999*$D999,0)</f>
        <v>3064</v>
      </c>
      <c r="M999" s="42">
        <f>I999*D999</f>
        <v>3064.3500000000004</v>
      </c>
      <c r="N999" s="11"/>
      <c r="O999" s="265">
        <v>172</v>
      </c>
      <c r="P999" s="38">
        <f>O999*D999</f>
        <v>15996</v>
      </c>
      <c r="Q999" s="266" t="e">
        <f>O999*$P$1001</f>
        <v>#REF!</v>
      </c>
      <c r="R999" s="267" t="e">
        <f>ROUND(E999+Q999,2)</f>
        <v>#REF!</v>
      </c>
      <c r="S999" s="292"/>
      <c r="T999" s="292"/>
      <c r="U999" s="144"/>
      <c r="V999" s="144"/>
      <c r="W999" s="295"/>
      <c r="X999" s="144"/>
      <c r="Y999" s="11"/>
      <c r="Z999" s="11"/>
      <c r="AA999" s="11"/>
      <c r="AB999" s="11"/>
    </row>
    <row r="1000" spans="1:28">
      <c r="A1000" s="3" t="s">
        <v>166</v>
      </c>
      <c r="C1000" s="127">
        <f>608</f>
        <v>608</v>
      </c>
      <c r="D1000" s="127">
        <v>588</v>
      </c>
      <c r="E1000" s="302"/>
      <c r="G1000" s="2"/>
      <c r="H1000" s="2"/>
      <c r="I1000" s="302"/>
      <c r="K1000" s="2"/>
      <c r="N1000" s="11"/>
      <c r="O1000" s="265"/>
      <c r="P1000" s="303" t="e">
        <f>O1003-H1003</f>
        <v>#REF!</v>
      </c>
      <c r="Q1000" s="11"/>
      <c r="R1000" s="269"/>
      <c r="S1000" s="141"/>
      <c r="T1000" s="141"/>
      <c r="U1000" s="144"/>
      <c r="V1000" s="144"/>
      <c r="W1000" s="144"/>
      <c r="X1000" s="144"/>
      <c r="Y1000" s="11"/>
      <c r="Z1000" s="11"/>
      <c r="AA1000" s="11"/>
      <c r="AB1000" s="11"/>
    </row>
    <row r="1001" spans="1:28">
      <c r="A1001" s="3" t="s">
        <v>185</v>
      </c>
      <c r="C1001" s="127">
        <v>2147214</v>
      </c>
      <c r="D1001" s="127">
        <v>2075987.7990116791</v>
      </c>
      <c r="E1001" s="132"/>
      <c r="F1001" s="11"/>
      <c r="G1001" s="135">
        <f>SUM(G972:G999)</f>
        <v>233013</v>
      </c>
      <c r="H1001" s="135">
        <f>SUM(H972:H999)</f>
        <v>225301</v>
      </c>
      <c r="I1001" s="132"/>
      <c r="J1001" s="11"/>
      <c r="K1001" s="135">
        <f>SUM(K972:K999)</f>
        <v>225301</v>
      </c>
      <c r="M1001" s="42">
        <f>SUM(M972:M1000)</f>
        <v>225302.50999999998</v>
      </c>
      <c r="N1001" s="11"/>
      <c r="O1001" s="304"/>
      <c r="P1001" s="305" t="e">
        <f>P1000/SUM(P972:P999)</f>
        <v>#REF!</v>
      </c>
      <c r="Q1001" s="50"/>
      <c r="R1001" s="306"/>
      <c r="S1001" s="141"/>
      <c r="T1001" s="141"/>
      <c r="U1001" s="151"/>
      <c r="V1001" s="141"/>
      <c r="W1001" s="141"/>
      <c r="X1001" s="141"/>
      <c r="Y1001" s="11"/>
      <c r="Z1001" s="11"/>
      <c r="AA1001" s="11"/>
      <c r="AB1001" s="11"/>
    </row>
    <row r="1002" spans="1:28">
      <c r="A1002" s="3" t="s">
        <v>167</v>
      </c>
      <c r="C1002" s="127">
        <v>26832.990592215094</v>
      </c>
      <c r="D1002" s="127">
        <v>0</v>
      </c>
      <c r="E1002" s="132"/>
      <c r="F1002" s="11"/>
      <c r="G1002" s="135">
        <v>2789.9580256418058</v>
      </c>
      <c r="H1002" s="135">
        <v>0</v>
      </c>
      <c r="I1002" s="132"/>
      <c r="J1002" s="11"/>
      <c r="K1002" s="135">
        <v>0</v>
      </c>
      <c r="M1002" s="152"/>
      <c r="N1002" s="307"/>
      <c r="O1002" s="150"/>
      <c r="P1002" s="141"/>
      <c r="Q1002" s="141"/>
      <c r="R1002" s="146"/>
      <c r="S1002" s="144"/>
      <c r="T1002" s="141"/>
      <c r="U1002" s="11"/>
      <c r="V1002" s="11"/>
      <c r="W1002" s="11"/>
      <c r="X1002" s="11"/>
      <c r="Y1002" s="11"/>
      <c r="Z1002" s="11"/>
      <c r="AA1002" s="11"/>
      <c r="AB1002" s="11"/>
    </row>
    <row r="1003" spans="1:28" ht="16.5" thickBot="1">
      <c r="A1003" s="3" t="s">
        <v>1</v>
      </c>
      <c r="C1003" s="136">
        <f>C1001+C1002</f>
        <v>2174046.9905922152</v>
      </c>
      <c r="D1003" s="136">
        <f>D1001+D1002</f>
        <v>2075987.7990116791</v>
      </c>
      <c r="E1003" s="137"/>
      <c r="F1003" s="137"/>
      <c r="G1003" s="137">
        <f>G1001+G1002</f>
        <v>235802.9580256418</v>
      </c>
      <c r="H1003" s="137">
        <f>H1001+H1002</f>
        <v>225301</v>
      </c>
      <c r="I1003" s="137"/>
      <c r="J1003" s="137"/>
      <c r="K1003" s="137">
        <f>K1001+K1002</f>
        <v>225301</v>
      </c>
      <c r="M1003" s="154"/>
      <c r="N1003" s="140" t="s">
        <v>213</v>
      </c>
      <c r="O1003" s="292" t="e">
        <f>#REF!*1000</f>
        <v>#REF!</v>
      </c>
      <c r="P1003" s="38"/>
      <c r="Q1003" s="141"/>
      <c r="R1003" s="141"/>
      <c r="S1003" s="141"/>
      <c r="T1003" s="141"/>
      <c r="U1003" s="11"/>
      <c r="V1003" s="11"/>
      <c r="W1003" s="11"/>
      <c r="X1003" s="11"/>
      <c r="Y1003" s="11"/>
      <c r="Z1003" s="11"/>
      <c r="AA1003" s="11"/>
      <c r="AB1003" s="11"/>
    </row>
    <row r="1004" spans="1:28" ht="16.5" thickTop="1">
      <c r="C1004" s="138"/>
      <c r="D1004" s="138"/>
      <c r="E1004" s="138"/>
      <c r="F1004" s="138"/>
      <c r="G1004" s="126"/>
      <c r="H1004" s="126"/>
      <c r="I1004" s="138" t="s">
        <v>13</v>
      </c>
      <c r="J1004" s="138"/>
      <c r="K1004" s="2" t="s">
        <v>13</v>
      </c>
      <c r="M1004" s="140"/>
      <c r="N1004" s="140" t="s">
        <v>114</v>
      </c>
      <c r="O1004" s="279" t="e">
        <f>O1003-K1003</f>
        <v>#REF!</v>
      </c>
      <c r="P1004" s="157" t="e">
        <f>(O1003-K1003)/K1003</f>
        <v>#REF!</v>
      </c>
      <c r="Q1004" s="141"/>
      <c r="R1004" s="141"/>
      <c r="S1004" s="141"/>
      <c r="T1004" s="141"/>
      <c r="U1004" s="11"/>
      <c r="V1004" s="11"/>
      <c r="W1004" s="11"/>
      <c r="X1004" s="11"/>
      <c r="Y1004" s="11"/>
      <c r="Z1004" s="11"/>
      <c r="AA1004" s="11"/>
      <c r="AB1004" s="11"/>
    </row>
    <row r="1005" spans="1:28">
      <c r="A1005" s="166"/>
      <c r="B1005" s="176"/>
      <c r="C1005" s="308"/>
      <c r="D1005" s="308"/>
      <c r="E1005" s="309"/>
      <c r="F1005" s="2"/>
      <c r="G1005" s="2"/>
      <c r="H1005" s="2"/>
      <c r="I1005" s="309"/>
      <c r="J1005" s="166"/>
      <c r="K1005" s="2"/>
      <c r="M1005" s="11"/>
      <c r="N1005" s="11"/>
      <c r="O1005" s="38"/>
      <c r="P1005" s="38"/>
      <c r="Q1005" s="11"/>
      <c r="R1005" s="11"/>
      <c r="S1005" s="11"/>
      <c r="T1005" s="11"/>
      <c r="U1005" s="11"/>
      <c r="V1005" s="11"/>
      <c r="W1005" s="11"/>
      <c r="X1005" s="11"/>
    </row>
    <row r="1006" spans="1:28" s="4" customFormat="1" ht="19.899999999999999" customHeight="1" thickBot="1">
      <c r="A1006" s="310" t="s">
        <v>319</v>
      </c>
      <c r="B1006" s="311"/>
      <c r="C1006" s="312">
        <f>C27+C91+C176+C474+C508+C627+C760+C787+C911+C922+C933+C966+C1003</f>
        <v>4024330101.6098857</v>
      </c>
      <c r="D1006" s="312">
        <f>D27+D91+D176+D474+D508+D627+D760+D787+D911+D922+D933+D966+D1003</f>
        <v>4081125561.3610039</v>
      </c>
      <c r="E1006" s="313"/>
      <c r="F1006" s="314"/>
      <c r="G1006" s="314">
        <f>G27+G91+G176+G474+G508+G627+G760+G787+G911+G922+G933+G966+G1003</f>
        <v>236218228.53999999</v>
      </c>
      <c r="H1006" s="314">
        <f>H27+H91+H176+H474+H508+H627+H760+H787+H911+H922+H933+H966+H1003</f>
        <v>238933609.53999999</v>
      </c>
      <c r="I1006" s="313"/>
      <c r="J1006" s="314"/>
      <c r="K1006" s="314">
        <f>K27+K91+K176+K474+K508+K627+K760+K787+K911+K922+K933+K966+K1003</f>
        <v>257330671.53999999</v>
      </c>
      <c r="M1006" s="11"/>
      <c r="N1006" s="11"/>
      <c r="O1006" s="38"/>
      <c r="P1006" s="315"/>
      <c r="Q1006" s="6"/>
      <c r="R1006" s="6"/>
      <c r="S1006" s="6"/>
      <c r="T1006" s="6"/>
      <c r="U1006" s="6"/>
      <c r="V1006" s="6"/>
      <c r="W1006" s="6"/>
      <c r="X1006" s="6"/>
    </row>
    <row r="1007" spans="1:28" ht="16.5" thickTop="1">
      <c r="A1007" s="1"/>
      <c r="B1007" s="176"/>
      <c r="C1007" s="12"/>
      <c r="D1007" s="12"/>
      <c r="E1007" s="200"/>
      <c r="F1007" s="2"/>
      <c r="G1007" s="2"/>
      <c r="H1007" s="2"/>
      <c r="I1007" s="216" t="s">
        <v>13</v>
      </c>
      <c r="J1007" s="1"/>
      <c r="K1007" s="2" t="s">
        <v>13</v>
      </c>
      <c r="M1007" s="11"/>
      <c r="N1007" s="11"/>
      <c r="O1007" s="38"/>
      <c r="P1007" s="38"/>
      <c r="Q1007" s="11"/>
      <c r="R1007" s="11"/>
      <c r="S1007" s="11"/>
      <c r="T1007" s="11"/>
      <c r="U1007" s="11"/>
      <c r="V1007" s="11"/>
      <c r="W1007" s="11"/>
      <c r="X1007" s="11"/>
    </row>
    <row r="1008" spans="1:28">
      <c r="A1008" s="1" t="s">
        <v>14</v>
      </c>
      <c r="B1008" s="176"/>
      <c r="C1008" s="316"/>
      <c r="D1008" s="316"/>
      <c r="E1008" s="317"/>
      <c r="F1008" s="318"/>
      <c r="G1008" s="318">
        <v>311006.74</v>
      </c>
      <c r="H1008" s="318">
        <v>311006.74</v>
      </c>
      <c r="I1008" s="319"/>
      <c r="J1008" s="320"/>
      <c r="K1008" s="318">
        <f>G1008</f>
        <v>311006.74</v>
      </c>
      <c r="M1008" s="11"/>
      <c r="N1008" s="6" t="s">
        <v>213</v>
      </c>
      <c r="O1008" s="321" t="e">
        <f>#REF!*1000</f>
        <v>#REF!</v>
      </c>
      <c r="P1008" s="38"/>
      <c r="Q1008" s="11"/>
      <c r="R1008" s="11"/>
      <c r="S1008" s="11"/>
      <c r="T1008" s="11"/>
      <c r="U1008" s="11"/>
      <c r="V1008" s="11"/>
      <c r="W1008" s="11"/>
      <c r="X1008" s="11"/>
    </row>
    <row r="1009" spans="1:24" s="4" customFormat="1" ht="19.899999999999999" customHeight="1" thickBot="1">
      <c r="A1009" s="322" t="s">
        <v>320</v>
      </c>
      <c r="B1009" s="323"/>
      <c r="C1009" s="324">
        <f>C1006+C1008</f>
        <v>4024330101.6098857</v>
      </c>
      <c r="D1009" s="324">
        <f>D1006+D1008</f>
        <v>4081125561.3610039</v>
      </c>
      <c r="E1009" s="325"/>
      <c r="F1009" s="326"/>
      <c r="G1009" s="327">
        <f>G1006+G1008</f>
        <v>236529235.28</v>
      </c>
      <c r="H1009" s="327">
        <f>H1006+H1008</f>
        <v>239244616.28</v>
      </c>
      <c r="I1009" s="328"/>
      <c r="J1009" s="326"/>
      <c r="K1009" s="324">
        <f>K1006+K1008</f>
        <v>257641678.28</v>
      </c>
      <c r="M1009" s="6"/>
      <c r="N1009" s="11" t="s">
        <v>114</v>
      </c>
      <c r="O1009" s="38" t="e">
        <f>O1008-K1009</f>
        <v>#REF!</v>
      </c>
      <c r="P1009" s="177" t="e">
        <f>(O1008-K1009)/K1009</f>
        <v>#REF!</v>
      </c>
      <c r="Q1009" s="6"/>
      <c r="R1009" s="6"/>
      <c r="S1009" s="6"/>
      <c r="T1009" s="6"/>
      <c r="U1009" s="6"/>
      <c r="V1009" s="6"/>
      <c r="W1009" s="6"/>
      <c r="X1009" s="6"/>
    </row>
    <row r="1010" spans="1:24" ht="16.5" thickTop="1">
      <c r="A1010" s="1"/>
      <c r="B1010" s="176"/>
      <c r="C1010" s="12"/>
      <c r="D1010" s="12"/>
      <c r="E1010" s="329">
        <v>0</v>
      </c>
      <c r="F1010" s="2"/>
      <c r="G1010" s="2" t="s">
        <v>13</v>
      </c>
      <c r="H1010" s="2" t="s">
        <v>13</v>
      </c>
      <c r="I1010" s="200"/>
      <c r="J1010" s="1"/>
      <c r="K1010" s="2"/>
      <c r="M1010" s="11"/>
      <c r="P1010" s="38"/>
      <c r="Q1010" s="11"/>
      <c r="R1010" s="11"/>
      <c r="S1010" s="11"/>
      <c r="T1010" s="11"/>
      <c r="U1010" s="11"/>
      <c r="V1010" s="11"/>
      <c r="W1010" s="11"/>
      <c r="X1010" s="11"/>
    </row>
    <row r="1011" spans="1:24">
      <c r="C1011" s="330"/>
      <c r="D1011" s="330"/>
      <c r="E1011" s="133"/>
      <c r="H1011" s="331"/>
      <c r="M1011" s="11"/>
      <c r="N1011" s="11"/>
      <c r="O1011" s="38"/>
      <c r="P1011" s="38"/>
      <c r="Q1011" s="11"/>
      <c r="R1011" s="11"/>
      <c r="S1011" s="11"/>
      <c r="T1011" s="11"/>
      <c r="U1011" s="11"/>
      <c r="V1011" s="11"/>
      <c r="W1011" s="11"/>
      <c r="X1011" s="11"/>
    </row>
    <row r="1012" spans="1:24">
      <c r="A1012" s="332"/>
      <c r="K1012" s="127">
        <f>K1009-H1009</f>
        <v>18397062</v>
      </c>
      <c r="M1012" s="11"/>
      <c r="N1012" s="279"/>
      <c r="O1012" s="38"/>
      <c r="P1012" s="38"/>
      <c r="Q1012" s="11"/>
      <c r="R1012" s="11"/>
      <c r="S1012" s="11"/>
      <c r="T1012" s="11"/>
      <c r="U1012" s="11"/>
      <c r="V1012" s="11"/>
      <c r="W1012" s="11"/>
      <c r="X1012" s="11"/>
    </row>
    <row r="1013" spans="1:24">
      <c r="A1013" s="1" t="s">
        <v>71</v>
      </c>
      <c r="B1013" s="3" t="s">
        <v>321</v>
      </c>
      <c r="C1013" s="127">
        <v>4024330100</v>
      </c>
      <c r="D1013" s="127">
        <v>4081125563.3743143</v>
      </c>
      <c r="G1013" s="42">
        <v>236529235.27999997</v>
      </c>
      <c r="H1013" s="42">
        <v>239244616.27999997</v>
      </c>
      <c r="M1013" s="11"/>
      <c r="N1013" s="11"/>
      <c r="O1013" s="38"/>
      <c r="P1013" s="38"/>
      <c r="Q1013" s="11"/>
      <c r="R1013" s="11"/>
      <c r="S1013" s="11"/>
      <c r="T1013" s="11"/>
      <c r="U1013" s="11"/>
      <c r="V1013" s="11"/>
      <c r="W1013" s="11"/>
      <c r="X1013" s="11"/>
    </row>
    <row r="1014" spans="1:24">
      <c r="B1014" s="3" t="s">
        <v>322</v>
      </c>
      <c r="C1014" s="127">
        <v>4024330100</v>
      </c>
      <c r="D1014" s="127">
        <v>4081125563.3743143</v>
      </c>
      <c r="G1014" s="42">
        <v>236529235.27999997</v>
      </c>
      <c r="H1014" s="42">
        <v>239244616.27999997</v>
      </c>
      <c r="M1014" s="11"/>
      <c r="N1014" s="11"/>
      <c r="O1014" s="38"/>
      <c r="P1014" s="38"/>
      <c r="Q1014" s="11"/>
      <c r="R1014" s="11"/>
      <c r="S1014" s="11"/>
      <c r="T1014" s="11"/>
      <c r="U1014" s="11"/>
      <c r="V1014" s="11"/>
      <c r="W1014" s="11"/>
      <c r="X1014" s="11"/>
    </row>
    <row r="1015" spans="1:24">
      <c r="M1015" s="11"/>
      <c r="N1015" s="11"/>
      <c r="O1015" s="38"/>
      <c r="P1015" s="38"/>
      <c r="Q1015" s="11"/>
      <c r="R1015" s="11"/>
      <c r="S1015" s="11"/>
      <c r="T1015" s="11"/>
      <c r="U1015" s="11"/>
      <c r="V1015" s="11"/>
      <c r="W1015" s="11"/>
      <c r="X1015" s="11"/>
    </row>
    <row r="1016" spans="1:24">
      <c r="B1016" s="3" t="s">
        <v>111</v>
      </c>
      <c r="C1016" s="127">
        <f>C1009-C1014</f>
        <v>1.6098856925964355</v>
      </c>
      <c r="D1016" s="127">
        <f>D1009-D1014</f>
        <v>-2.013310432434082</v>
      </c>
      <c r="G1016" s="127">
        <f>G1009-G1014</f>
        <v>0</v>
      </c>
      <c r="H1016" s="127">
        <f>H1009-H1014</f>
        <v>0</v>
      </c>
      <c r="M1016" s="11"/>
      <c r="N1016" s="11"/>
      <c r="O1016" s="38"/>
      <c r="P1016" s="38"/>
      <c r="Q1016" s="11"/>
      <c r="R1016" s="11"/>
      <c r="S1016" s="11"/>
      <c r="T1016" s="11"/>
      <c r="U1016" s="11"/>
      <c r="V1016" s="11"/>
      <c r="W1016" s="11"/>
      <c r="X1016" s="11"/>
    </row>
    <row r="1017" spans="1:24">
      <c r="M1017" s="11"/>
      <c r="N1017" s="11"/>
      <c r="O1017" s="38"/>
      <c r="P1017" s="38"/>
      <c r="Q1017" s="11"/>
      <c r="R1017" s="11"/>
      <c r="S1017" s="11"/>
      <c r="T1017" s="11"/>
      <c r="U1017" s="11"/>
      <c r="V1017" s="11"/>
      <c r="W1017" s="11"/>
      <c r="X1017" s="11"/>
    </row>
    <row r="1019" spans="1:24">
      <c r="B1019" s="3" t="s">
        <v>323</v>
      </c>
      <c r="C1019" s="127">
        <f>C24+C83+C157+C483+C587+C737+C768+C908+C919+C930+C962+C1000</f>
        <v>1450753</v>
      </c>
      <c r="D1019" s="127">
        <f>D24+D83+D157+D483+D587+D737+D768+D908+D919+D930+D962+D1000</f>
        <v>1466661.75</v>
      </c>
    </row>
    <row r="1020" spans="1:24">
      <c r="B1020" s="3" t="s">
        <v>18</v>
      </c>
      <c r="C1020" s="127">
        <f>((C83+C186+C271+C483+C737+C768+C908+C919+C930+C962+C1000)/12)+C358+C587+C24</f>
        <v>128412.75</v>
      </c>
      <c r="D1020" s="127">
        <f>((D83+D186+D271+D483+D737+D768+D908+D919+D930+D962+D1000)/12)+D358+D587+D24</f>
        <v>129738.25</v>
      </c>
    </row>
    <row r="1022" spans="1:24">
      <c r="B1022" s="3" t="s">
        <v>111</v>
      </c>
      <c r="C1022" s="127">
        <v>0</v>
      </c>
      <c r="D1022" s="127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 codeName="Sheet44">
    <pageSetUpPr fitToPage="1"/>
  </sheetPr>
  <dimension ref="B1:Y59"/>
  <sheetViews>
    <sheetView topLeftCell="B1" zoomScale="70" zoomScaleNormal="70" workbookViewId="0">
      <selection activeCell="AB38" sqref="AB38"/>
    </sheetView>
  </sheetViews>
  <sheetFormatPr defaultColWidth="10.25" defaultRowHeight="15.75"/>
  <cols>
    <col min="1" max="1" width="0" style="53" hidden="1" customWidth="1"/>
    <col min="2" max="2" width="4.625" style="53" customWidth="1"/>
    <col min="3" max="3" width="2.125" style="53" customWidth="1"/>
    <col min="4" max="4" width="35.875" style="54" customWidth="1"/>
    <col min="5" max="5" width="2.125" style="54" customWidth="1"/>
    <col min="6" max="6" width="7.625" style="54" customWidth="1"/>
    <col min="7" max="7" width="8.875" style="53" bestFit="1" customWidth="1"/>
    <col min="8" max="8" width="2" style="53" customWidth="1"/>
    <col min="9" max="9" width="10.5" style="53" bestFit="1" customWidth="1"/>
    <col min="10" max="10" width="2.875" style="53" customWidth="1"/>
    <col min="11" max="11" width="12.25" style="53" customWidth="1"/>
    <col min="12" max="12" width="2.75" style="53" customWidth="1"/>
    <col min="13" max="13" width="15.375" style="53" bestFit="1" customWidth="1"/>
    <col min="14" max="14" width="2.5" style="53" customWidth="1"/>
    <col min="15" max="15" width="14" style="53" bestFit="1" customWidth="1"/>
    <col min="16" max="16" width="2.625" style="53" customWidth="1"/>
    <col min="17" max="17" width="11.25" style="53" customWidth="1"/>
    <col min="18" max="18" width="6.375" style="53" bestFit="1" customWidth="1"/>
    <col min="19" max="19" width="3.125" style="53" customWidth="1"/>
    <col min="20" max="20" width="10.75" style="53" customWidth="1"/>
    <col min="21" max="21" width="7.375" style="53" bestFit="1" customWidth="1"/>
    <col min="22" max="22" width="3.125" style="53" customWidth="1"/>
    <col min="23" max="23" width="11.375" style="53" customWidth="1"/>
    <col min="24" max="24" width="7.375" style="53" bestFit="1" customWidth="1"/>
    <col min="25" max="25" width="3.125" style="53" customWidth="1"/>
    <col min="26" max="16384" width="10.25" style="53"/>
  </cols>
  <sheetData>
    <row r="1" spans="2:25" ht="18.75">
      <c r="C1" s="540"/>
      <c r="D1" s="541"/>
      <c r="M1" s="55" t="s">
        <v>13</v>
      </c>
      <c r="N1" s="55"/>
      <c r="O1" s="55"/>
    </row>
    <row r="2" spans="2:25">
      <c r="B2" s="56" t="s">
        <v>115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760"/>
      <c r="T2" s="760"/>
      <c r="U2" s="760"/>
      <c r="V2" s="760"/>
      <c r="W2" s="760"/>
      <c r="X2" s="760"/>
    </row>
    <row r="3" spans="2:25">
      <c r="B3" s="57" t="s">
        <v>563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760"/>
      <c r="X3" s="760"/>
    </row>
    <row r="4" spans="2:25">
      <c r="B4" s="57" t="s">
        <v>535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760"/>
      <c r="X4" s="760"/>
    </row>
    <row r="5" spans="2:25">
      <c r="B5" s="57" t="s">
        <v>116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760"/>
      <c r="X5" s="760"/>
    </row>
    <row r="6" spans="2:25">
      <c r="B6" s="57" t="s">
        <v>117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760"/>
      <c r="X6" s="760"/>
    </row>
    <row r="7" spans="2:25">
      <c r="B7" s="56" t="s">
        <v>523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760"/>
      <c r="X7" s="760"/>
    </row>
    <row r="8" spans="2:25"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8"/>
      <c r="T8" s="58"/>
      <c r="U8" s="58"/>
      <c r="V8" s="58"/>
    </row>
    <row r="9" spans="2:25">
      <c r="B9" s="650"/>
      <c r="C9" s="650"/>
      <c r="D9" s="650"/>
      <c r="E9" s="650"/>
      <c r="F9" s="650"/>
      <c r="G9" s="650"/>
      <c r="H9" s="650"/>
      <c r="I9" s="650"/>
      <c r="J9" s="650"/>
      <c r="K9" s="650"/>
      <c r="L9" s="650"/>
      <c r="M9" s="649"/>
      <c r="N9" s="649"/>
      <c r="O9" s="649"/>
      <c r="P9" s="656"/>
      <c r="Q9" s="656"/>
      <c r="R9" s="656"/>
      <c r="S9" s="58"/>
      <c r="T9" s="58"/>
      <c r="U9" s="58"/>
      <c r="V9" s="58"/>
    </row>
    <row r="10" spans="2:25">
      <c r="J10" s="59"/>
      <c r="K10" s="60"/>
      <c r="L10" s="61"/>
      <c r="M10" s="621"/>
      <c r="N10" s="621"/>
      <c r="O10" s="621"/>
      <c r="P10" s="621"/>
      <c r="Q10" s="621"/>
      <c r="R10" s="621"/>
      <c r="S10" s="61"/>
      <c r="T10" s="61"/>
      <c r="U10" s="61"/>
      <c r="V10" s="61"/>
      <c r="W10" s="59"/>
      <c r="X10" s="59"/>
      <c r="Y10" s="59"/>
    </row>
    <row r="11" spans="2:25">
      <c r="K11" s="63" t="s">
        <v>85</v>
      </c>
      <c r="L11" s="64"/>
      <c r="M11" s="66" t="s">
        <v>526</v>
      </c>
      <c r="N11" s="66"/>
      <c r="O11" s="66" t="s">
        <v>526</v>
      </c>
      <c r="Q11" s="760" t="s">
        <v>1439</v>
      </c>
      <c r="R11" s="760"/>
      <c r="S11" s="64"/>
      <c r="T11" s="760" t="s">
        <v>1442</v>
      </c>
      <c r="U11" s="760"/>
      <c r="V11" s="64"/>
      <c r="W11" s="760" t="s">
        <v>568</v>
      </c>
      <c r="X11" s="760"/>
    </row>
    <row r="12" spans="2:25">
      <c r="F12" s="52"/>
      <c r="K12" s="62" t="s">
        <v>75</v>
      </c>
      <c r="L12" s="65"/>
      <c r="M12" s="532" t="s">
        <v>16</v>
      </c>
      <c r="N12" s="532"/>
      <c r="O12" s="532" t="s">
        <v>16</v>
      </c>
      <c r="P12" s="759"/>
      <c r="Q12" s="759" t="s">
        <v>1438</v>
      </c>
      <c r="R12" s="759"/>
      <c r="S12" s="66"/>
      <c r="T12" s="759" t="s">
        <v>1443</v>
      </c>
      <c r="U12" s="759"/>
      <c r="V12" s="66"/>
      <c r="W12" s="759" t="s">
        <v>1440</v>
      </c>
      <c r="X12" s="759"/>
    </row>
    <row r="13" spans="2:25">
      <c r="B13" s="66" t="s">
        <v>74</v>
      </c>
      <c r="F13" s="52" t="s">
        <v>123</v>
      </c>
      <c r="G13" s="63" t="s">
        <v>122</v>
      </c>
      <c r="K13" s="63" t="s">
        <v>16</v>
      </c>
      <c r="L13" s="66"/>
      <c r="M13" s="725" t="s">
        <v>564</v>
      </c>
      <c r="N13" s="725"/>
      <c r="O13" s="725" t="s">
        <v>567</v>
      </c>
      <c r="P13" s="62"/>
      <c r="Q13" s="761" t="s">
        <v>1441</v>
      </c>
      <c r="R13" s="761"/>
      <c r="S13" s="68"/>
      <c r="T13" s="761" t="s">
        <v>1444</v>
      </c>
      <c r="U13" s="761"/>
      <c r="V13" s="68"/>
      <c r="W13" s="761" t="s">
        <v>569</v>
      </c>
      <c r="X13" s="761"/>
    </row>
    <row r="14" spans="2:25">
      <c r="B14" s="69" t="s">
        <v>76</v>
      </c>
      <c r="D14" s="70" t="s">
        <v>90</v>
      </c>
      <c r="F14" s="70" t="s">
        <v>76</v>
      </c>
      <c r="G14" s="51" t="s">
        <v>124</v>
      </c>
      <c r="I14" s="51" t="s">
        <v>125</v>
      </c>
      <c r="K14" s="71" t="s">
        <v>86</v>
      </c>
      <c r="L14" s="62"/>
      <c r="M14" s="533" t="s">
        <v>86</v>
      </c>
      <c r="N14" s="725"/>
      <c r="O14" s="533" t="s">
        <v>86</v>
      </c>
      <c r="P14" s="72"/>
      <c r="Q14" s="73" t="s">
        <v>86</v>
      </c>
      <c r="R14" s="51" t="s">
        <v>126</v>
      </c>
      <c r="S14" s="68"/>
      <c r="T14" s="73" t="s">
        <v>86</v>
      </c>
      <c r="U14" s="51" t="s">
        <v>126</v>
      </c>
      <c r="V14" s="68"/>
      <c r="W14" s="73" t="s">
        <v>86</v>
      </c>
      <c r="X14" s="51" t="s">
        <v>126</v>
      </c>
    </row>
    <row r="15" spans="2:25">
      <c r="B15" s="74"/>
      <c r="D15" s="67" t="s">
        <v>127</v>
      </c>
      <c r="F15" s="67" t="s">
        <v>128</v>
      </c>
      <c r="G15" s="534" t="s">
        <v>129</v>
      </c>
      <c r="I15" s="534" t="s">
        <v>130</v>
      </c>
      <c r="K15" s="534" t="s">
        <v>131</v>
      </c>
      <c r="L15" s="67"/>
      <c r="M15" s="534" t="s">
        <v>132</v>
      </c>
      <c r="N15" s="534"/>
      <c r="O15" s="534" t="s">
        <v>133</v>
      </c>
      <c r="P15" s="67"/>
      <c r="Q15" s="534" t="s">
        <v>134</v>
      </c>
      <c r="R15" s="534" t="s">
        <v>530</v>
      </c>
      <c r="S15" s="65"/>
      <c r="T15" s="534" t="s">
        <v>1463</v>
      </c>
      <c r="U15" s="534" t="s">
        <v>1464</v>
      </c>
      <c r="V15" s="65"/>
      <c r="W15" s="534" t="s">
        <v>1465</v>
      </c>
      <c r="X15" s="534" t="s">
        <v>1466</v>
      </c>
    </row>
    <row r="16" spans="2:25">
      <c r="L16" s="67"/>
      <c r="M16" s="534" t="s">
        <v>13</v>
      </c>
      <c r="N16" s="534"/>
      <c r="O16" s="534" t="s">
        <v>13</v>
      </c>
      <c r="R16" s="534" t="s">
        <v>1467</v>
      </c>
      <c r="S16" s="59"/>
      <c r="U16" s="534" t="s">
        <v>1468</v>
      </c>
      <c r="V16" s="59"/>
      <c r="W16" s="854" t="s">
        <v>1470</v>
      </c>
      <c r="X16" s="534" t="s">
        <v>1469</v>
      </c>
    </row>
    <row r="17" spans="2:25">
      <c r="D17" s="75" t="s">
        <v>5</v>
      </c>
      <c r="S17" s="59"/>
      <c r="V17" s="59"/>
    </row>
    <row r="18" spans="2:25">
      <c r="B18" s="66">
        <v>1</v>
      </c>
      <c r="D18" s="54" t="s">
        <v>135</v>
      </c>
      <c r="F18" s="76" t="s">
        <v>448</v>
      </c>
      <c r="G18" s="77">
        <f>'Exhibit No.__(RMM-3)'!C65/12</f>
        <v>107789.70430107282</v>
      </c>
      <c r="H18" s="55"/>
      <c r="I18" s="77">
        <f>'Exhibit No.__(RMM-3)'!C77/1000</f>
        <v>1524718.2118738822</v>
      </c>
      <c r="K18" s="78">
        <f>'Exhibit No.__(RMM-3)'!F77/1000</f>
        <v>148455.83006268737</v>
      </c>
      <c r="L18" s="79"/>
      <c r="M18" s="78">
        <f>'Exhibit No.__(RMM-3)'!I77/1000</f>
        <v>153447.24206268738</v>
      </c>
      <c r="N18" s="78"/>
      <c r="O18" s="78">
        <f ca="1">'Exhibit No.__(RMM-3)'!L77/1000</f>
        <v>153184.53706268736</v>
      </c>
      <c r="P18" s="78"/>
      <c r="Q18" s="78">
        <f ca="1">O18-M18</f>
        <v>-262.7050000000163</v>
      </c>
      <c r="R18" s="855">
        <f ca="1">Q18/K18</f>
        <v>-1.7695835851585335E-3</v>
      </c>
      <c r="S18" s="81"/>
      <c r="T18" s="78">
        <f ca="1">'Exhibit No.__(RMM-2)pg1'!Q16</f>
        <v>-921.8779129264351</v>
      </c>
      <c r="U18" s="855">
        <f ca="1">T18/K18</f>
        <v>-6.2097791143477521E-3</v>
      </c>
      <c r="V18" s="81"/>
      <c r="W18" s="78">
        <f ca="1">O18+T18-K18</f>
        <v>3806.8290870735655</v>
      </c>
      <c r="X18" s="855">
        <f ca="1">W18/K18</f>
        <v>2.564283993067893E-2</v>
      </c>
    </row>
    <row r="19" spans="2:25">
      <c r="G19" s="82"/>
      <c r="I19" s="82"/>
      <c r="K19" s="718"/>
      <c r="L19" s="95"/>
      <c r="M19" s="718"/>
      <c r="N19" s="95"/>
      <c r="O19" s="718"/>
      <c r="P19" s="59"/>
      <c r="Q19" s="82"/>
      <c r="R19" s="856"/>
      <c r="S19" s="59"/>
      <c r="T19" s="82"/>
      <c r="U19" s="856"/>
      <c r="V19" s="59"/>
      <c r="W19" s="82"/>
      <c r="X19" s="856"/>
    </row>
    <row r="20" spans="2:25">
      <c r="K20" s="87"/>
      <c r="L20" s="87"/>
      <c r="M20" s="87"/>
      <c r="N20" s="87"/>
      <c r="O20" s="87"/>
      <c r="R20" s="83"/>
      <c r="S20" s="59"/>
      <c r="U20" s="83"/>
      <c r="V20" s="59"/>
      <c r="X20" s="83"/>
    </row>
    <row r="21" spans="2:25">
      <c r="B21" s="44">
        <f>MAX(B$15:B20)+1</f>
        <v>2</v>
      </c>
      <c r="D21" s="75" t="s">
        <v>136</v>
      </c>
      <c r="G21" s="84">
        <f>SUM(G18:G18)</f>
        <v>107789.70430107282</v>
      </c>
      <c r="I21" s="84">
        <f>SUM(I18:I18)</f>
        <v>1524718.2118738822</v>
      </c>
      <c r="J21" s="84"/>
      <c r="K21" s="85">
        <f>SUM(K18:K18)</f>
        <v>148455.83006268737</v>
      </c>
      <c r="L21" s="79"/>
      <c r="M21" s="85">
        <f>SUM(M18:M18)</f>
        <v>153447.24206268738</v>
      </c>
      <c r="N21" s="85"/>
      <c r="O21" s="85">
        <f ca="1">SUM(O18:O18)</f>
        <v>153184.53706268736</v>
      </c>
      <c r="P21" s="85"/>
      <c r="Q21" s="78">
        <f ca="1">SUM(Q18)</f>
        <v>-262.7050000000163</v>
      </c>
      <c r="R21" s="855">
        <f ca="1">Q21/K21</f>
        <v>-1.7695835851585335E-3</v>
      </c>
      <c r="S21" s="81"/>
      <c r="T21" s="78">
        <f ca="1">SUM(T18)</f>
        <v>-921.8779129264351</v>
      </c>
      <c r="U21" s="855">
        <f ca="1">T21/K21</f>
        <v>-6.2097791143477521E-3</v>
      </c>
      <c r="V21" s="81"/>
      <c r="W21" s="78">
        <f ca="1">SUM(W18)</f>
        <v>3806.8290870735655</v>
      </c>
      <c r="X21" s="855">
        <f ca="1">W21/K21</f>
        <v>2.564283993067893E-2</v>
      </c>
    </row>
    <row r="22" spans="2:25">
      <c r="I22" s="531" t="s">
        <v>13</v>
      </c>
      <c r="K22" s="87"/>
      <c r="L22" s="87"/>
      <c r="M22" s="87"/>
      <c r="N22" s="87"/>
      <c r="O22" s="87"/>
      <c r="R22" s="83"/>
      <c r="S22" s="59"/>
      <c r="U22" s="83"/>
      <c r="V22" s="59"/>
      <c r="X22" s="83"/>
    </row>
    <row r="23" spans="2:25">
      <c r="D23" s="75" t="s">
        <v>137</v>
      </c>
      <c r="G23" s="86"/>
      <c r="K23" s="87"/>
      <c r="L23" s="87"/>
      <c r="M23" s="87"/>
      <c r="N23" s="87"/>
      <c r="O23" s="87"/>
      <c r="R23" s="83"/>
      <c r="S23" s="59"/>
      <c r="U23" s="83"/>
      <c r="V23" s="59"/>
      <c r="X23" s="83"/>
    </row>
    <row r="24" spans="2:25">
      <c r="B24" s="44">
        <f>MAX(B$15:B23)+1</f>
        <v>3</v>
      </c>
      <c r="D24" s="54" t="s">
        <v>138</v>
      </c>
      <c r="F24" s="52">
        <v>24</v>
      </c>
      <c r="G24" s="77">
        <f>'Exhibit No.__(RMM-3)'!C179/12</f>
        <v>19928.640555555456</v>
      </c>
      <c r="I24" s="77">
        <f>'Exhibit No.__(RMM-3)'!C201/1000</f>
        <v>554739.13183022395</v>
      </c>
      <c r="K24" s="78">
        <f>'Exhibit No.__(RMM-3)'!F201/1000</f>
        <v>52559.234199139384</v>
      </c>
      <c r="L24" s="79"/>
      <c r="M24" s="78">
        <f>'Exhibit No.__(RMM-3)'!I201/1000</f>
        <v>54335.677199139383</v>
      </c>
      <c r="N24" s="78"/>
      <c r="O24" s="78">
        <f ca="1">'Exhibit No.__(RMM-3)'!L201/1000</f>
        <v>54253.182199139388</v>
      </c>
      <c r="P24" s="78"/>
      <c r="Q24" s="78">
        <f t="shared" ref="Q24:Q31" ca="1" si="0">O24-M24</f>
        <v>-82.494999999995343</v>
      </c>
      <c r="R24" s="855">
        <f ca="1">Q24/K24</f>
        <v>-1.5695624423946826E-3</v>
      </c>
      <c r="S24" s="81"/>
      <c r="T24" s="78">
        <f ca="1">'Exhibit No.__(RMM-2)pg1'!Q22</f>
        <v>-285.2186219785882</v>
      </c>
      <c r="U24" s="855">
        <f t="shared" ref="U24:U31" ca="1" si="1">T24/K24</f>
        <v>-5.4266129696246305E-3</v>
      </c>
      <c r="V24" s="81"/>
      <c r="W24" s="78">
        <f t="shared" ref="W24:W31" ca="1" si="2">O24+T24-K24</f>
        <v>1408.7293780214168</v>
      </c>
      <c r="X24" s="855">
        <f t="shared" ref="X24:X31" ca="1" si="3">W24/K24</f>
        <v>2.6802699839269795E-2</v>
      </c>
      <c r="Y24" s="8"/>
    </row>
    <row r="25" spans="2:25">
      <c r="B25" s="44">
        <f>MAX(B$15:B24)+1</f>
        <v>4</v>
      </c>
      <c r="D25" s="54" t="s">
        <v>139</v>
      </c>
      <c r="E25" s="21"/>
      <c r="F25" s="52">
        <v>33</v>
      </c>
      <c r="G25" s="77">
        <v>0</v>
      </c>
      <c r="I25" s="77">
        <v>0</v>
      </c>
      <c r="K25" s="78">
        <v>0</v>
      </c>
      <c r="L25" s="79"/>
      <c r="M25" s="78">
        <f>'Exhibit No.__(RMM-3)'!I541/100</f>
        <v>0</v>
      </c>
      <c r="N25" s="78"/>
      <c r="O25" s="78">
        <f ca="1">'Exhibit No.__(RMM-3)'!L541/100</f>
        <v>0</v>
      </c>
      <c r="P25" s="78"/>
      <c r="Q25" s="78">
        <f t="shared" ca="1" si="0"/>
        <v>0</v>
      </c>
      <c r="R25" s="855">
        <f ca="1">R26</f>
        <v>-1.7261073147052856E-3</v>
      </c>
      <c r="S25" s="81"/>
      <c r="T25" s="78">
        <f>'Exhibit No.__(RMM-2)pg1'!Q23</f>
        <v>0</v>
      </c>
      <c r="U25" s="855">
        <f ca="1">U26</f>
        <v>-6.1834068046469504E-3</v>
      </c>
      <c r="V25" s="81"/>
      <c r="W25" s="78">
        <f t="shared" ca="1" si="2"/>
        <v>0</v>
      </c>
      <c r="X25" s="855">
        <f ca="1">X26</f>
        <v>3.1913666336480184E-2</v>
      </c>
      <c r="Y25" s="8"/>
    </row>
    <row r="26" spans="2:25">
      <c r="B26" s="44">
        <f>MAX(B$15:B25)+1</f>
        <v>5</v>
      </c>
      <c r="D26" s="54" t="s">
        <v>140</v>
      </c>
      <c r="F26" s="52">
        <v>36</v>
      </c>
      <c r="G26" s="77">
        <f>'Exhibit No.__(RMM-3)'!C550/12</f>
        <v>1076.1138888888891</v>
      </c>
      <c r="I26" s="77">
        <f>'Exhibit No.__(RMM-3)'!C577/1000</f>
        <v>950741.26118410239</v>
      </c>
      <c r="K26" s="78">
        <f>'Exhibit No.__(RMM-3)'!F577/1000</f>
        <v>76324.918432145074</v>
      </c>
      <c r="L26" s="79"/>
      <c r="M26" s="78">
        <f>'Exhibit No.__(RMM-3)'!I577/1000</f>
        <v>79364.419432145078</v>
      </c>
      <c r="N26" s="78"/>
      <c r="O26" s="78">
        <f ca="1">'Exhibit No.__(RMM-3)'!L577/1000</f>
        <v>79232.674432145068</v>
      </c>
      <c r="P26" s="78"/>
      <c r="Q26" s="78">
        <f t="shared" ca="1" si="0"/>
        <v>-131.7450000000099</v>
      </c>
      <c r="R26" s="855">
        <f t="shared" ref="R26:R31" ca="1" si="4">Q26/K26</f>
        <v>-1.7261073147052856E-3</v>
      </c>
      <c r="S26" s="81"/>
      <c r="T26" s="78">
        <f ca="1">'Exhibit No.__(RMM-2)pg1'!Q24</f>
        <v>-471.94801999744931</v>
      </c>
      <c r="U26" s="855">
        <f t="shared" ca="1" si="1"/>
        <v>-6.1834068046469504E-3</v>
      </c>
      <c r="V26" s="81"/>
      <c r="W26" s="78">
        <f t="shared" ca="1" si="2"/>
        <v>2435.8079800025444</v>
      </c>
      <c r="X26" s="855">
        <f t="shared" ca="1" si="3"/>
        <v>3.1913666336480184E-2</v>
      </c>
      <c r="Y26" s="8"/>
    </row>
    <row r="27" spans="2:25">
      <c r="B27" s="44">
        <f>MAX(B$15:B26)+1</f>
        <v>6</v>
      </c>
      <c r="D27" s="54" t="s">
        <v>84</v>
      </c>
      <c r="F27" s="52" t="s">
        <v>141</v>
      </c>
      <c r="G27" s="77">
        <f>'Exhibit No.__(RMM-3)'!C659</f>
        <v>5135.6966195907062</v>
      </c>
      <c r="I27" s="77">
        <f>'Exhibit No.__(RMM-3)'!C703/1000</f>
        <v>164795.79784020002</v>
      </c>
      <c r="K27" s="78">
        <f>'Exhibit No.__(RMM-3)'!F703/1000</f>
        <v>15181.736999999999</v>
      </c>
      <c r="L27" s="79"/>
      <c r="M27" s="78">
        <f>'Exhibit No.__(RMM-3)'!I703/1000</f>
        <v>15685.781999999999</v>
      </c>
      <c r="N27" s="78"/>
      <c r="O27" s="78">
        <f ca="1">'Exhibit No.__(RMM-3)'!L703/1000</f>
        <v>15662.374</v>
      </c>
      <c r="P27" s="78"/>
      <c r="Q27" s="78">
        <f t="shared" ca="1" si="0"/>
        <v>-23.407999999999447</v>
      </c>
      <c r="R27" s="855">
        <f t="shared" ca="1" si="4"/>
        <v>-1.5418525561336921E-3</v>
      </c>
      <c r="S27" s="81"/>
      <c r="T27" s="78">
        <f ca="1">'Exhibit No.__(RMM-2)pg1'!Q25</f>
        <v>-82.470618272212931</v>
      </c>
      <c r="U27" s="855">
        <f t="shared" ca="1" si="1"/>
        <v>-5.4322254609082566E-3</v>
      </c>
      <c r="V27" s="81"/>
      <c r="W27" s="78">
        <f t="shared" ca="1" si="2"/>
        <v>398.16638172778767</v>
      </c>
      <c r="X27" s="855">
        <f t="shared" ca="1" si="3"/>
        <v>2.6226668379763639E-2</v>
      </c>
    </row>
    <row r="28" spans="2:25">
      <c r="B28" s="44">
        <f>MAX(B$15:B27)+1</f>
        <v>7</v>
      </c>
      <c r="D28" s="54" t="s">
        <v>142</v>
      </c>
      <c r="F28" s="52">
        <v>47</v>
      </c>
      <c r="G28" s="77">
        <f>'Exhibit No.__(RMM-3)'!C815/12</f>
        <v>1</v>
      </c>
      <c r="I28" s="77">
        <f>'Exhibit No.__(RMM-3)'!C830/1000</f>
        <v>2679.157633181796</v>
      </c>
      <c r="K28" s="78">
        <f>'Exhibit No.__(RMM-3)'!F830/1000</f>
        <v>395.65954424682394</v>
      </c>
      <c r="L28" s="79"/>
      <c r="M28" s="78">
        <f>'Exhibit No.__(RMM-3)'!I830/1000</f>
        <v>404.16254424682393</v>
      </c>
      <c r="N28" s="78"/>
      <c r="O28" s="78">
        <f ca="1">'Exhibit No.__(RMM-3)'!L830/1000</f>
        <v>400.71457844682391</v>
      </c>
      <c r="P28" s="78"/>
      <c r="Q28" s="78">
        <f t="shared" ca="1" si="0"/>
        <v>-3.44796580000002</v>
      </c>
      <c r="R28" s="855">
        <f t="shared" ca="1" si="4"/>
        <v>-8.7144764991415914E-3</v>
      </c>
      <c r="S28" s="81"/>
      <c r="T28" s="78">
        <f ca="1">'Exhibit No.__(RMM-2)pg1'!Q26</f>
        <v>-2.4112418698636162</v>
      </c>
      <c r="U28" s="855">
        <f t="shared" ca="1" si="1"/>
        <v>-6.0942340578530648E-3</v>
      </c>
      <c r="V28" s="81"/>
      <c r="W28" s="78">
        <f t="shared" ca="1" si="2"/>
        <v>2.6437923301363639</v>
      </c>
      <c r="X28" s="855">
        <f t="shared" ca="1" si="3"/>
        <v>6.6819880085771145E-3</v>
      </c>
    </row>
    <row r="29" spans="2:25">
      <c r="B29" s="44">
        <f>MAX(B$15:B28)+1</f>
        <v>8</v>
      </c>
      <c r="D29" s="54" t="s">
        <v>143</v>
      </c>
      <c r="F29" s="52">
        <v>48</v>
      </c>
      <c r="G29" s="77">
        <f>('Exhibit No.__(RMM-3)'!C858)/12</f>
        <v>64.477272727272748</v>
      </c>
      <c r="I29" s="77">
        <f>('Exhibit No.__(RMM-3)'!C869)/1000</f>
        <v>400185.56350036786</v>
      </c>
      <c r="K29" s="78">
        <f>('Exhibit No.__(RMM-3)'!F869)/1000</f>
        <v>29190.633713713039</v>
      </c>
      <c r="L29" s="79"/>
      <c r="M29" s="78">
        <f>'Exhibit No.__(RMM-3)'!I869/1000</f>
        <v>30465.257713713039</v>
      </c>
      <c r="N29" s="78"/>
      <c r="O29" s="78">
        <f ca="1">'Exhibit No.__(RMM-3)'!L869/1000</f>
        <v>30410.01071371304</v>
      </c>
      <c r="P29" s="78"/>
      <c r="Q29" s="78">
        <f t="shared" ca="1" si="0"/>
        <v>-55.246999999999389</v>
      </c>
      <c r="R29" s="855">
        <f t="shared" ca="1" si="4"/>
        <v>-1.8926276332961456E-3</v>
      </c>
      <c r="S29" s="81"/>
      <c r="T29" s="78">
        <f ca="1">'Exhibit No.__(RMM-2)pg1'!Q27</f>
        <v>-191.84074560746123</v>
      </c>
      <c r="U29" s="855">
        <f t="shared" ca="1" si="1"/>
        <v>-6.5719966030521352E-3</v>
      </c>
      <c r="V29" s="81"/>
      <c r="W29" s="78">
        <f t="shared" ca="1" si="2"/>
        <v>1027.5362543925403</v>
      </c>
      <c r="X29" s="855">
        <f t="shared" ca="1" si="3"/>
        <v>3.5200888903957887E-2</v>
      </c>
    </row>
    <row r="30" spans="2:25">
      <c r="B30" s="44">
        <f>MAX(B$15:B29)+1</f>
        <v>9</v>
      </c>
      <c r="D30" s="54" t="s">
        <v>421</v>
      </c>
      <c r="F30" s="76" t="s">
        <v>422</v>
      </c>
      <c r="G30" s="77">
        <f>('Exhibit No.__(RMM-3)'!C1034)/12</f>
        <v>1</v>
      </c>
      <c r="I30" s="77">
        <f>('Exhibit No.__(RMM-3)'!C1045)/1000</f>
        <v>471255.29337353742</v>
      </c>
      <c r="K30" s="78">
        <f>('Exhibit No.__(RMM-3)'!F1045)/1000</f>
        <v>27876.337040602797</v>
      </c>
      <c r="L30" s="79"/>
      <c r="M30" s="78">
        <f>'Exhibit No.__(RMM-3)'!I1045/1000</f>
        <v>29373.504040602795</v>
      </c>
      <c r="N30" s="78"/>
      <c r="O30" s="78">
        <f ca="1">'Exhibit No.__(RMM-3)'!L1045/1000</f>
        <v>29322.518040602798</v>
      </c>
      <c r="P30" s="78"/>
      <c r="Q30" s="78">
        <f t="shared" ca="1" si="0"/>
        <v>-50.985999999997148</v>
      </c>
      <c r="R30" s="855">
        <f t="shared" ca="1" si="4"/>
        <v>-1.8290064410447604E-3</v>
      </c>
      <c r="S30" s="81"/>
      <c r="T30" s="78">
        <f ca="1">'Exhibit No.__(RMM-2)pg1'!Q28</f>
        <v>-184.31970964388498</v>
      </c>
      <c r="U30" s="855">
        <f t="shared" ca="1" si="1"/>
        <v>-6.6120491144664121E-3</v>
      </c>
      <c r="V30" s="81"/>
      <c r="W30" s="78">
        <f t="shared" ca="1" si="2"/>
        <v>1261.8612903561152</v>
      </c>
      <c r="X30" s="855">
        <f t="shared" ca="1" si="3"/>
        <v>4.5266395241174366E-2</v>
      </c>
    </row>
    <row r="31" spans="2:25">
      <c r="B31" s="44">
        <f>MAX(B$15:B30)+1</f>
        <v>10</v>
      </c>
      <c r="D31" s="54" t="s">
        <v>80</v>
      </c>
      <c r="F31" s="52" t="s">
        <v>81</v>
      </c>
      <c r="G31" s="77">
        <f>'Exhibit No.__(RMM-3)'!C1119/12</f>
        <v>27</v>
      </c>
      <c r="I31" s="77">
        <f>'Exhibit No.__(RMM-3)'!C1123/1000</f>
        <v>285.28140758938906</v>
      </c>
      <c r="K31" s="78">
        <f>'Exhibit No.__(RMM-3)'!F1123/1000</f>
        <v>16.890895606556153</v>
      </c>
      <c r="L31" s="79"/>
      <c r="M31" s="78">
        <f>'Exhibit No.__(RMM-3)'!I1123/1000</f>
        <v>17.803895606556154</v>
      </c>
      <c r="N31" s="78"/>
      <c r="O31" s="78">
        <f ca="1">'Exhibit No.__(RMM-3)'!L1123/1000</f>
        <v>17.783895606556154</v>
      </c>
      <c r="P31" s="78"/>
      <c r="Q31" s="78">
        <f t="shared" ca="1" si="0"/>
        <v>-1.9999999999999574E-2</v>
      </c>
      <c r="R31" s="855">
        <f t="shared" ca="1" si="4"/>
        <v>-1.1840698365477216E-3</v>
      </c>
      <c r="S31" s="81"/>
      <c r="T31" s="78">
        <f ca="1">'Exhibit No.__(RMM-2)pg1'!Q29</f>
        <v>-6.901454661308902E-2</v>
      </c>
      <c r="U31" s="855">
        <f t="shared" ca="1" si="1"/>
        <v>-4.0859021463788585E-3</v>
      </c>
      <c r="V31" s="81"/>
      <c r="W31" s="78">
        <f t="shared" ca="1" si="2"/>
        <v>0.82398545338691065</v>
      </c>
      <c r="X31" s="855">
        <f t="shared" ca="1" si="3"/>
        <v>4.8782816055478018E-2</v>
      </c>
    </row>
    <row r="32" spans="2:25">
      <c r="B32" s="66"/>
      <c r="F32" s="52"/>
      <c r="G32" s="82"/>
      <c r="I32" s="82"/>
      <c r="K32" s="718"/>
      <c r="L32" s="95"/>
      <c r="M32" s="718"/>
      <c r="N32" s="95"/>
      <c r="O32" s="718"/>
      <c r="P32" s="59"/>
      <c r="Q32" s="82"/>
      <c r="R32" s="857"/>
      <c r="S32" s="59"/>
      <c r="T32" s="82"/>
      <c r="U32" s="857"/>
      <c r="V32" s="59"/>
      <c r="W32" s="82"/>
      <c r="X32" s="857"/>
    </row>
    <row r="33" spans="2:24">
      <c r="B33" s="66"/>
      <c r="K33" s="87"/>
      <c r="L33" s="87"/>
      <c r="M33" s="87"/>
      <c r="N33" s="87"/>
      <c r="O33" s="87"/>
      <c r="R33" s="83"/>
      <c r="S33" s="59"/>
      <c r="U33" s="83"/>
      <c r="V33" s="59"/>
      <c r="X33" s="83"/>
    </row>
    <row r="34" spans="2:24">
      <c r="B34" s="44">
        <f>MAX(B$15:B33)+1</f>
        <v>11</v>
      </c>
      <c r="D34" s="75" t="s">
        <v>144</v>
      </c>
      <c r="G34" s="84">
        <f>SUM(G24:G31)</f>
        <v>26233.928336762321</v>
      </c>
      <c r="I34" s="84">
        <f>SUM(I24:I31)</f>
        <v>2544681.4867692026</v>
      </c>
      <c r="J34" s="84"/>
      <c r="K34" s="78">
        <f>SUM(K24:K31)</f>
        <v>201545.41082545364</v>
      </c>
      <c r="L34" s="79"/>
      <c r="M34" s="78">
        <f>SUM(M24:M31)</f>
        <v>209646.60682545367</v>
      </c>
      <c r="N34" s="78"/>
      <c r="O34" s="78">
        <f ca="1">SUM(O24:O31)</f>
        <v>209299.25785965368</v>
      </c>
      <c r="P34" s="85"/>
      <c r="Q34" s="78">
        <f ca="1">SUM(Q24:Q31)</f>
        <v>-347.34896580000122</v>
      </c>
      <c r="R34" s="855">
        <f ca="1">Q34/K34</f>
        <v>-1.7234278090351523E-3</v>
      </c>
      <c r="S34" s="81"/>
      <c r="T34" s="78">
        <f ca="1">SUM(T24:T31)</f>
        <v>-1218.2779719160733</v>
      </c>
      <c r="U34" s="855">
        <f ca="1">T34/K34</f>
        <v>-6.0446822724787843E-3</v>
      </c>
      <c r="V34" s="81"/>
      <c r="W34" s="78">
        <f ca="1">SUM(W24:W31)</f>
        <v>6535.5690622839275</v>
      </c>
      <c r="X34" s="855">
        <f ca="1">W34/K34</f>
        <v>3.2427277979273819E-2</v>
      </c>
    </row>
    <row r="35" spans="2:24">
      <c r="B35" s="66"/>
      <c r="K35" s="87"/>
      <c r="L35" s="87"/>
      <c r="M35" s="87"/>
      <c r="N35" s="87"/>
      <c r="O35" s="87"/>
      <c r="R35" s="83"/>
      <c r="S35" s="59"/>
      <c r="U35" s="83"/>
      <c r="V35" s="59"/>
      <c r="X35" s="83"/>
    </row>
    <row r="36" spans="2:24">
      <c r="B36" s="66"/>
      <c r="D36" s="75" t="s">
        <v>82</v>
      </c>
      <c r="K36" s="87"/>
      <c r="L36" s="87"/>
      <c r="M36" s="87"/>
      <c r="N36" s="87"/>
      <c r="O36" s="87"/>
      <c r="R36" s="83"/>
      <c r="S36" s="59"/>
      <c r="U36" s="83"/>
      <c r="V36" s="59"/>
      <c r="X36" s="83"/>
    </row>
    <row r="37" spans="2:24">
      <c r="B37" s="44">
        <f>MAX(B$15:B36)+1</f>
        <v>12</v>
      </c>
      <c r="D37" s="54" t="s">
        <v>78</v>
      </c>
      <c r="F37" s="52" t="s">
        <v>79</v>
      </c>
      <c r="G37" s="77">
        <f>'Exhibit No.__(RMM-3)'!C18/12-0.3</f>
        <v>2323.5333333333333</v>
      </c>
      <c r="I37" s="77">
        <f>'Exhibit No.__(RMM-3)'!C21/1000</f>
        <v>3037.7085715346157</v>
      </c>
      <c r="K37" s="78">
        <f>'Exhibit No.__(RMM-3)'!F21/1000</f>
        <v>277.12832601818241</v>
      </c>
      <c r="L37" s="79"/>
      <c r="M37" s="78">
        <f>'Exhibit No.__(RMM-3)'!I21/1000</f>
        <v>287.00925480668451</v>
      </c>
      <c r="N37" s="78"/>
      <c r="O37" s="78">
        <f ca="1">'Exhibit No.__(RMM-3)'!L21/1000</f>
        <v>286.66535437218164</v>
      </c>
      <c r="P37" s="78"/>
      <c r="Q37" s="78">
        <f t="shared" ref="Q37:Q39" ca="1" si="5">O37-M37</f>
        <v>-0.34390043450287067</v>
      </c>
      <c r="R37" s="855">
        <f ca="1">Q37/K37</f>
        <v>-1.2409429214403271E-3</v>
      </c>
      <c r="S37" s="81"/>
      <c r="T37" s="78">
        <f ca="1">'Exhibit No.__(RMM-2)pg1'!Q35</f>
        <v>-0.73487466841478621</v>
      </c>
      <c r="U37" s="855">
        <f t="shared" ref="U37:U39" ca="1" si="6">T37/K37</f>
        <v>-2.6517486645034295E-3</v>
      </c>
      <c r="V37" s="81"/>
      <c r="W37" s="78">
        <f t="shared" ref="W37:W39" ca="1" si="7">O37+T37-K37</f>
        <v>8.8021536855844715</v>
      </c>
      <c r="X37" s="855">
        <f t="shared" ref="X37:X39" ca="1" si="8">W37/K37</f>
        <v>3.1762013692555421E-2</v>
      </c>
    </row>
    <row r="38" spans="2:24">
      <c r="B38" s="44">
        <f>MAX(B$15:B37)+1</f>
        <v>13</v>
      </c>
      <c r="D38" s="54" t="s">
        <v>145</v>
      </c>
      <c r="F38" s="52" t="s">
        <v>146</v>
      </c>
      <c r="G38" s="77">
        <f>'Exhibit No.__(RMM-3)'!C1068/12</f>
        <v>244</v>
      </c>
      <c r="I38" s="77">
        <f>'Exhibit No.__(RMM-3)'!C1071/1000</f>
        <v>5373.276656771407</v>
      </c>
      <c r="K38" s="78">
        <f>'Exhibit No.__(RMM-3)'!F1071/1000</f>
        <v>733.26276204534815</v>
      </c>
      <c r="L38" s="79"/>
      <c r="M38" s="78">
        <f>'Exhibit No.__(RMM-3)'!I1071/1000</f>
        <v>750.23576204534822</v>
      </c>
      <c r="N38" s="78"/>
      <c r="O38" s="78">
        <f ca="1">'Exhibit No.__(RMM-3)'!L1071/1000</f>
        <v>749.92876204534821</v>
      </c>
      <c r="P38" s="78"/>
      <c r="Q38" s="78">
        <f t="shared" ca="1" si="5"/>
        <v>-0.30700000000001637</v>
      </c>
      <c r="R38" s="855">
        <f ca="1">Q38/K38</f>
        <v>-4.1867665438740791E-4</v>
      </c>
      <c r="S38" s="81"/>
      <c r="T38" s="78">
        <f ca="1">'Exhibit No.__(RMM-2)pg1'!Q36</f>
        <v>-1.2998893107942111</v>
      </c>
      <c r="U38" s="855">
        <f t="shared" ca="1" si="6"/>
        <v>-1.7727469306750645E-3</v>
      </c>
      <c r="V38" s="81"/>
      <c r="W38" s="78">
        <f t="shared" ca="1" si="7"/>
        <v>15.366110689205811</v>
      </c>
      <c r="X38" s="855">
        <f t="shared" ca="1" si="8"/>
        <v>2.0955803955384145E-2</v>
      </c>
    </row>
    <row r="39" spans="2:24">
      <c r="B39" s="44">
        <f>MAX(B$15:B38)+1</f>
        <v>14</v>
      </c>
      <c r="D39" s="54" t="s">
        <v>145</v>
      </c>
      <c r="F39" s="52">
        <v>53</v>
      </c>
      <c r="G39" s="77">
        <f>'Exhibit No.__(RMM-3)'!C1079/12</f>
        <v>232.66666666666666</v>
      </c>
      <c r="I39" s="77">
        <f>'Exhibit No.__(RMM-3)'!C1082/1000</f>
        <v>3796.1347231696864</v>
      </c>
      <c r="K39" s="78">
        <f>'Exhibit No.__(RMM-3)'!F1082/1000</f>
        <v>168.23111480287815</v>
      </c>
      <c r="L39" s="79"/>
      <c r="M39" s="78">
        <f>'Exhibit No.__(RMM-3)'!I1082/1000</f>
        <v>180.16537571220798</v>
      </c>
      <c r="N39" s="78"/>
      <c r="O39" s="78">
        <f ca="1">'Exhibit No.__(RMM-3)'!L1082/1000</f>
        <v>179.83316671602614</v>
      </c>
      <c r="P39" s="78"/>
      <c r="Q39" s="78">
        <f t="shared" ca="1" si="5"/>
        <v>-0.33220899618183353</v>
      </c>
      <c r="R39" s="855">
        <f ca="1">Q39/K39</f>
        <v>-1.9747179145254644E-3</v>
      </c>
      <c r="S39" s="81"/>
      <c r="T39" s="78">
        <f ca="1">'Exhibit No.__(RMM-2)pg1'!Q37</f>
        <v>-0.91835117828234059</v>
      </c>
      <c r="U39" s="855">
        <f t="shared" ca="1" si="6"/>
        <v>-5.4588663895998217E-3</v>
      </c>
      <c r="V39" s="81"/>
      <c r="W39" s="78">
        <f t="shared" ca="1" si="7"/>
        <v>10.683700734865653</v>
      </c>
      <c r="X39" s="855">
        <f t="shared" ca="1" si="8"/>
        <v>6.3506092481073376E-2</v>
      </c>
    </row>
    <row r="40" spans="2:24">
      <c r="B40" s="66"/>
      <c r="G40" s="82"/>
      <c r="I40" s="82"/>
      <c r="K40" s="718"/>
      <c r="L40" s="95"/>
      <c r="M40" s="676"/>
      <c r="N40" s="95"/>
      <c r="O40" s="676"/>
      <c r="P40" s="59"/>
      <c r="Q40" s="82"/>
      <c r="R40" s="857"/>
      <c r="S40" s="59"/>
      <c r="T40" s="82"/>
      <c r="U40" s="857"/>
      <c r="V40" s="59"/>
      <c r="W40" s="82"/>
      <c r="X40" s="857"/>
    </row>
    <row r="41" spans="2:24">
      <c r="B41" s="66"/>
      <c r="K41" s="87"/>
      <c r="L41" s="87"/>
      <c r="M41" s="87"/>
      <c r="N41" s="87"/>
      <c r="O41" s="87"/>
      <c r="R41" s="83"/>
      <c r="S41" s="59"/>
      <c r="U41" s="83"/>
      <c r="V41" s="59"/>
      <c r="X41" s="83"/>
    </row>
    <row r="42" spans="2:24">
      <c r="B42" s="44">
        <f>MAX(B$15:B41)+1</f>
        <v>15</v>
      </c>
      <c r="D42" s="75" t="s">
        <v>147</v>
      </c>
      <c r="G42" s="88">
        <f>SUM(G37:G39)</f>
        <v>2800.2</v>
      </c>
      <c r="I42" s="88">
        <f>SUM(I37:I39)</f>
        <v>12207.11995147571</v>
      </c>
      <c r="J42" s="84"/>
      <c r="K42" s="89">
        <f>SUM(K37:K39)</f>
        <v>1178.6222028664088</v>
      </c>
      <c r="L42" s="677"/>
      <c r="M42" s="89">
        <f>SUM(M37:M39)</f>
        <v>1217.4103925642407</v>
      </c>
      <c r="N42" s="90"/>
      <c r="O42" s="89">
        <f ca="1">SUM(O37:O39)</f>
        <v>1216.4272831335561</v>
      </c>
      <c r="P42" s="90"/>
      <c r="Q42" s="89">
        <f ca="1">SUM(Q37:Q39)</f>
        <v>-0.98310943068472056</v>
      </c>
      <c r="R42" s="858">
        <f ca="1">Q42/K42</f>
        <v>-8.3411752153811358E-4</v>
      </c>
      <c r="S42" s="81"/>
      <c r="T42" s="89">
        <f ca="1">SUM(T37:T39)</f>
        <v>-2.9531151574913377</v>
      </c>
      <c r="U42" s="858">
        <f ca="1">T42/K42</f>
        <v>-2.5055655241428194E-3</v>
      </c>
      <c r="V42" s="81"/>
      <c r="W42" s="89">
        <f ca="1">SUM(W37:W39)</f>
        <v>34.851965109655936</v>
      </c>
      <c r="X42" s="858">
        <f ca="1">W42/K42</f>
        <v>2.9570090419895341E-2</v>
      </c>
    </row>
    <row r="43" spans="2:24">
      <c r="B43" s="66"/>
      <c r="D43" s="75"/>
      <c r="G43" s="91"/>
      <c r="I43" s="91"/>
      <c r="J43" s="84"/>
      <c r="K43" s="90"/>
      <c r="L43" s="90"/>
      <c r="M43" s="90"/>
      <c r="N43" s="90"/>
      <c r="O43" s="90"/>
      <c r="P43" s="90"/>
      <c r="Q43" s="90"/>
      <c r="R43" s="859"/>
      <c r="S43" s="90"/>
      <c r="T43" s="90"/>
      <c r="U43" s="859"/>
      <c r="V43" s="90"/>
      <c r="W43" s="90"/>
      <c r="X43" s="859"/>
    </row>
    <row r="44" spans="2:24" ht="16.5" thickBot="1">
      <c r="B44" s="44">
        <f>MAX(B$15:B43)+1</f>
        <v>16</v>
      </c>
      <c r="D44" s="92" t="s">
        <v>148</v>
      </c>
      <c r="G44" s="93">
        <f>G42+G34+G21</f>
        <v>136823.83263783515</v>
      </c>
      <c r="I44" s="93">
        <f>I42+I34+I21</f>
        <v>4081606.818594561</v>
      </c>
      <c r="K44" s="94">
        <f>K42+K34+K21</f>
        <v>351179.86309100746</v>
      </c>
      <c r="L44" s="677"/>
      <c r="M44" s="94">
        <f>M42+M34+M21</f>
        <v>364311.25928070524</v>
      </c>
      <c r="N44" s="95"/>
      <c r="O44" s="94">
        <f ca="1">O42+O34+O21</f>
        <v>363700.22220547462</v>
      </c>
      <c r="P44" s="95"/>
      <c r="Q44" s="94">
        <f ca="1">Q42+Q34+Q21</f>
        <v>-611.03707523070227</v>
      </c>
      <c r="R44" s="860">
        <f ca="1">Q44/K44</f>
        <v>-1.739954762361626E-3</v>
      </c>
      <c r="S44" s="81"/>
      <c r="T44" s="94">
        <f ca="1">T42+T34+T21</f>
        <v>-2143.1089999999995</v>
      </c>
      <c r="U44" s="860">
        <f ca="1">T44/K44</f>
        <v>-6.1025964904047412E-3</v>
      </c>
      <c r="V44" s="81"/>
      <c r="W44" s="94">
        <f ca="1">W42+W34+W21</f>
        <v>10377.250114467148</v>
      </c>
      <c r="X44" s="860">
        <f ca="1">W44/K44</f>
        <v>2.9549672988447823E-2</v>
      </c>
    </row>
    <row r="45" spans="2:24" ht="16.5" thickTop="1">
      <c r="B45" s="863" t="s">
        <v>13</v>
      </c>
      <c r="C45" s="864"/>
      <c r="D45" s="864"/>
      <c r="G45" s="96"/>
      <c r="I45" s="96"/>
      <c r="K45" s="95"/>
      <c r="L45" s="677"/>
      <c r="M45" s="95"/>
      <c r="N45" s="95"/>
      <c r="O45" s="95"/>
      <c r="P45" s="95"/>
      <c r="Q45" s="95"/>
      <c r="R45" s="83"/>
      <c r="S45" s="81"/>
      <c r="T45" s="95"/>
      <c r="U45" s="83"/>
      <c r="V45" s="81"/>
      <c r="W45" s="95"/>
      <c r="X45" s="83"/>
    </row>
    <row r="46" spans="2:24">
      <c r="B46" s="44">
        <f>MAX(B$15:B45)+1</f>
        <v>17</v>
      </c>
      <c r="D46" s="97" t="s">
        <v>149</v>
      </c>
      <c r="G46" s="96"/>
      <c r="I46" s="96"/>
      <c r="K46" s="79">
        <f>'Exhibit No.__(RMM-3)'!F1128/1000</f>
        <v>727.80209999999988</v>
      </c>
      <c r="L46" s="719"/>
      <c r="M46" s="79">
        <f>K46</f>
        <v>727.80209999999988</v>
      </c>
      <c r="N46" s="79"/>
      <c r="O46" s="79">
        <f>M46</f>
        <v>727.80209999999988</v>
      </c>
      <c r="P46" s="95"/>
      <c r="Q46" s="87"/>
      <c r="R46" s="855"/>
      <c r="S46" s="81"/>
      <c r="T46" s="87"/>
      <c r="U46" s="855"/>
      <c r="V46" s="81"/>
      <c r="W46" s="87"/>
      <c r="X46" s="855"/>
    </row>
    <row r="47" spans="2:24">
      <c r="B47" s="44"/>
      <c r="D47" s="97"/>
      <c r="G47" s="96"/>
      <c r="I47" s="96"/>
      <c r="K47" s="95"/>
      <c r="L47" s="719"/>
      <c r="M47" s="79"/>
      <c r="N47" s="79"/>
      <c r="O47" s="79"/>
      <c r="P47" s="95"/>
      <c r="Q47" s="87"/>
      <c r="R47" s="855"/>
      <c r="S47" s="81"/>
      <c r="T47" s="87"/>
      <c r="U47" s="855"/>
      <c r="V47" s="81"/>
      <c r="W47" s="87"/>
      <c r="X47" s="855"/>
    </row>
    <row r="48" spans="2:24" ht="16.5" thickBot="1">
      <c r="B48" s="44">
        <f>MAX(B$15:B47)+1</f>
        <v>18</v>
      </c>
      <c r="D48" s="45" t="s">
        <v>83</v>
      </c>
      <c r="G48" s="98">
        <f>SUM(G44:G46)</f>
        <v>136823.83263783515</v>
      </c>
      <c r="I48" s="98">
        <f>SUM(I44:I46)</f>
        <v>4081606.818594561</v>
      </c>
      <c r="K48" s="94">
        <f>SUM(K44:K46)</f>
        <v>351907.66519100743</v>
      </c>
      <c r="L48" s="87"/>
      <c r="M48" s="688">
        <f>SUM(M44:M46)</f>
        <v>365039.06138070521</v>
      </c>
      <c r="N48" s="677"/>
      <c r="O48" s="688">
        <f ca="1">SUM(O44:O46)</f>
        <v>364428.0243054746</v>
      </c>
      <c r="P48" s="95"/>
      <c r="Q48" s="94">
        <f ca="1">SUM(Q44:Q46)</f>
        <v>-611.03707523070227</v>
      </c>
      <c r="R48" s="860">
        <f ca="1">Q48/K48</f>
        <v>-1.7363562538458641E-3</v>
      </c>
      <c r="S48" s="59"/>
      <c r="T48" s="94">
        <f ca="1">SUM(T44:T46)</f>
        <v>-2143.1089999999995</v>
      </c>
      <c r="U48" s="860">
        <f ca="1">T48/K48</f>
        <v>-6.0899753315596834E-3</v>
      </c>
      <c r="V48" s="59"/>
      <c r="W48" s="94">
        <f ca="1">SUM(W44:W46)</f>
        <v>10377.250114467148</v>
      </c>
      <c r="X48" s="860">
        <f ca="1">W48/K48</f>
        <v>2.9488559474357041E-2</v>
      </c>
    </row>
    <row r="49" spans="8:22" ht="18.75" customHeight="1" thickTop="1">
      <c r="H49" s="531"/>
      <c r="Q49" s="78" t="s">
        <v>13</v>
      </c>
      <c r="R49" s="651" t="s">
        <v>13</v>
      </c>
    </row>
    <row r="50" spans="8:22" ht="18.75" customHeight="1">
      <c r="M50" s="196"/>
      <c r="N50" s="196"/>
      <c r="O50" s="196"/>
      <c r="Q50" s="626"/>
      <c r="R50" s="627"/>
    </row>
    <row r="51" spans="8:22">
      <c r="K51" s="99"/>
      <c r="L51" s="59"/>
      <c r="Q51" s="87"/>
      <c r="R51" s="100"/>
      <c r="S51" s="59"/>
      <c r="T51" s="59"/>
      <c r="U51" s="59"/>
      <c r="V51" s="59"/>
    </row>
    <row r="52" spans="8:22">
      <c r="L52" s="59"/>
      <c r="Q52" s="87"/>
      <c r="S52" s="59"/>
      <c r="T52" s="59"/>
      <c r="U52" s="59"/>
      <c r="V52" s="59"/>
    </row>
    <row r="53" spans="8:22">
      <c r="M53" s="80"/>
      <c r="N53" s="80"/>
      <c r="O53" s="80"/>
      <c r="R53" s="102"/>
    </row>
    <row r="54" spans="8:22">
      <c r="M54" s="59"/>
      <c r="N54" s="59"/>
      <c r="O54" s="59"/>
      <c r="Q54" s="103"/>
      <c r="R54" s="104"/>
    </row>
    <row r="55" spans="8:22">
      <c r="M55" s="74"/>
      <c r="N55" s="74"/>
      <c r="O55" s="74"/>
      <c r="Q55" s="105"/>
      <c r="R55" s="106"/>
    </row>
    <row r="56" spans="8:22">
      <c r="M56" s="107"/>
      <c r="N56" s="107"/>
      <c r="O56" s="107"/>
      <c r="R56" s="83"/>
    </row>
    <row r="57" spans="8:22">
      <c r="M57" s="55"/>
      <c r="N57" s="55"/>
      <c r="O57" s="55"/>
      <c r="R57" s="108"/>
    </row>
    <row r="59" spans="8:22">
      <c r="M59" s="74"/>
      <c r="N59" s="74"/>
      <c r="O59" s="74"/>
    </row>
  </sheetData>
  <mergeCells count="1">
    <mergeCell ref="B45:D45"/>
  </mergeCells>
  <phoneticPr fontId="0" type="noConversion"/>
  <printOptions horizontalCentered="1"/>
  <pageMargins left="0.25" right="0.25" top="0.5" bottom="0.5" header="0.5" footer="0.25"/>
  <pageSetup scale="6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/>
  <dimension ref="A1:AQ1135"/>
  <sheetViews>
    <sheetView tabSelected="1" view="pageBreakPreview" topLeftCell="A1093" zoomScale="60" zoomScaleNormal="85" workbookViewId="0">
      <selection activeCell="T1125" sqref="T1125"/>
    </sheetView>
  </sheetViews>
  <sheetFormatPr defaultColWidth="10.25" defaultRowHeight="15.75"/>
  <cols>
    <col min="1" max="1" width="23.5" style="3" customWidth="1"/>
    <col min="2" max="2" width="5.875" style="3" customWidth="1"/>
    <col min="3" max="3" width="19.125" style="3" bestFit="1" customWidth="1"/>
    <col min="4" max="4" width="12" style="3" bestFit="1" customWidth="1"/>
    <col min="5" max="5" width="2.625" style="3" customWidth="1"/>
    <col min="6" max="6" width="19.875" style="3" bestFit="1" customWidth="1"/>
    <col min="7" max="7" width="12" style="3" bestFit="1" customWidth="1"/>
    <col min="8" max="8" width="2.125" style="3" bestFit="1" customWidth="1"/>
    <col min="9" max="9" width="19.875" style="3" bestFit="1" customWidth="1"/>
    <col min="10" max="10" width="19.875" style="3" customWidth="1"/>
    <col min="11" max="11" width="2.375" style="3" customWidth="1"/>
    <col min="12" max="12" width="19.875" style="3" bestFit="1" customWidth="1"/>
    <col min="13" max="14" width="15.125" style="3" bestFit="1" customWidth="1"/>
    <col min="15" max="15" width="22.625" style="33" customWidth="1"/>
    <col min="16" max="16" width="17" style="33" bestFit="1" customWidth="1"/>
    <col min="17" max="17" width="3.375" style="33" customWidth="1"/>
    <col min="18" max="18" width="9.5" style="3" bestFit="1" customWidth="1"/>
    <col min="19" max="19" width="10" style="3" bestFit="1" customWidth="1"/>
    <col min="20" max="20" width="8.5" style="3" bestFit="1" customWidth="1"/>
    <col min="21" max="21" width="8.25" style="3" bestFit="1" customWidth="1"/>
    <col min="22" max="22" width="14.75" style="3" customWidth="1"/>
    <col min="23" max="23" width="13.25" style="3" bestFit="1" customWidth="1"/>
    <col min="24" max="24" width="14.75" style="3" bestFit="1" customWidth="1"/>
    <col min="25" max="25" width="12.25" style="3" bestFit="1" customWidth="1"/>
    <col min="26" max="26" width="5.5" style="3" bestFit="1" customWidth="1"/>
    <col min="27" max="27" width="18" style="3" customWidth="1"/>
    <col min="28" max="28" width="10.25" style="3" customWidth="1"/>
    <col min="29" max="29" width="12.125" style="3" customWidth="1"/>
    <col min="30" max="16384" width="10.25" style="3"/>
  </cols>
  <sheetData>
    <row r="1" spans="1:36" ht="18">
      <c r="A1" s="109" t="s">
        <v>563</v>
      </c>
      <c r="B1" s="109"/>
      <c r="C1" s="109"/>
      <c r="D1" s="109"/>
      <c r="E1" s="109"/>
      <c r="F1" s="109"/>
      <c r="G1" s="109"/>
      <c r="H1" s="109"/>
      <c r="I1" s="109"/>
      <c r="J1" s="109"/>
      <c r="K1" s="652"/>
      <c r="L1" s="652"/>
      <c r="M1" s="11"/>
      <c r="N1" s="11"/>
      <c r="O1" s="38"/>
      <c r="P1" s="38"/>
      <c r="Q1" s="38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spans="1:36" ht="18">
      <c r="A2" s="109" t="s">
        <v>150</v>
      </c>
      <c r="B2" s="109"/>
      <c r="C2" s="109"/>
      <c r="D2" s="109"/>
      <c r="E2" s="109"/>
      <c r="F2" s="109"/>
      <c r="G2" s="109"/>
      <c r="H2" s="109"/>
      <c r="I2" s="109"/>
      <c r="J2" s="109"/>
      <c r="K2" s="652"/>
      <c r="L2" s="652"/>
      <c r="M2" s="11"/>
      <c r="N2" s="11"/>
      <c r="O2" s="38"/>
      <c r="P2" s="38"/>
      <c r="Q2" s="38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pans="1:36">
      <c r="A3" s="112" t="s">
        <v>523</v>
      </c>
      <c r="B3" s="112"/>
      <c r="C3" s="112"/>
      <c r="D3" s="112"/>
      <c r="E3" s="112"/>
      <c r="F3" s="112"/>
      <c r="G3" s="112"/>
      <c r="H3" s="112"/>
      <c r="I3" s="112"/>
      <c r="J3" s="112"/>
      <c r="K3" s="653"/>
      <c r="L3" s="653"/>
      <c r="M3" s="11"/>
      <c r="N3" s="11"/>
      <c r="O3" s="38"/>
      <c r="P3" s="38"/>
      <c r="Q3" s="38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6">
      <c r="A4" s="115" t="s">
        <v>151</v>
      </c>
      <c r="B4" s="115"/>
      <c r="C4" s="115"/>
      <c r="D4" s="115"/>
      <c r="E4" s="115"/>
      <c r="F4" s="115"/>
      <c r="G4" s="115"/>
      <c r="H4" s="115"/>
      <c r="I4" s="115"/>
      <c r="J4" s="115"/>
      <c r="K4" s="654"/>
      <c r="L4" s="654"/>
      <c r="M4" s="11"/>
      <c r="N4" s="11"/>
      <c r="O4" s="38"/>
      <c r="P4" s="38"/>
      <c r="Q4" s="38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spans="1:36">
      <c r="A5" s="115"/>
      <c r="B5" s="113"/>
      <c r="C5" s="113"/>
      <c r="D5" s="114"/>
      <c r="E5" s="114"/>
      <c r="F5" s="113"/>
      <c r="G5" s="114"/>
      <c r="H5" s="113"/>
      <c r="I5" s="113"/>
      <c r="J5" s="113"/>
      <c r="K5" s="113"/>
      <c r="L5" s="114"/>
      <c r="M5" s="11"/>
      <c r="N5" s="11"/>
      <c r="O5" s="38"/>
      <c r="P5" s="38"/>
      <c r="Q5" s="38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spans="1:36" hidden="1">
      <c r="A6" s="115"/>
      <c r="B6" s="113"/>
      <c r="C6" s="113"/>
      <c r="D6" s="114"/>
      <c r="E6" s="114"/>
      <c r="F6" s="113"/>
      <c r="G6" s="114"/>
      <c r="H6" s="113"/>
      <c r="I6" s="113"/>
      <c r="J6" s="113"/>
      <c r="K6" s="113"/>
      <c r="L6" s="114"/>
      <c r="M6" s="11"/>
      <c r="N6" s="11"/>
      <c r="O6" s="38"/>
      <c r="P6" s="38"/>
      <c r="Q6" s="38"/>
      <c r="R6" s="38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spans="1:36" hidden="1">
      <c r="A7" s="113"/>
      <c r="B7" s="113"/>
      <c r="C7" s="113"/>
      <c r="D7" s="114"/>
      <c r="E7" s="114"/>
      <c r="F7" s="113"/>
      <c r="G7" s="114"/>
      <c r="H7" s="113"/>
      <c r="I7" s="113"/>
      <c r="J7" s="113"/>
      <c r="K7" s="113"/>
      <c r="L7" s="114"/>
      <c r="M7" s="11"/>
      <c r="N7" s="11"/>
      <c r="O7" s="38"/>
      <c r="P7" s="38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36">
      <c r="A8" s="116"/>
      <c r="B8" s="116"/>
      <c r="C8" s="117"/>
      <c r="D8" s="118"/>
      <c r="E8" s="118"/>
      <c r="G8" s="118"/>
      <c r="H8" s="119"/>
      <c r="I8" s="119"/>
      <c r="J8" s="119"/>
      <c r="K8" s="119"/>
      <c r="L8" s="118"/>
      <c r="M8" s="11"/>
      <c r="N8" s="659"/>
      <c r="O8" s="38"/>
      <c r="P8" s="38"/>
      <c r="Q8" s="38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6">
      <c r="A9" s="116"/>
      <c r="B9" s="116"/>
      <c r="C9" s="117" t="s">
        <v>152</v>
      </c>
      <c r="D9" s="865" t="s">
        <v>85</v>
      </c>
      <c r="E9" s="866"/>
      <c r="F9" s="867"/>
      <c r="G9" s="726" t="s">
        <v>565</v>
      </c>
      <c r="H9" s="727"/>
      <c r="I9" s="728"/>
      <c r="J9" s="726" t="s">
        <v>566</v>
      </c>
      <c r="K9" s="727"/>
      <c r="L9" s="728"/>
      <c r="M9" s="121"/>
      <c r="N9" s="121"/>
      <c r="O9" s="121"/>
      <c r="P9" s="38"/>
      <c r="Q9" s="38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spans="1:36">
      <c r="A10" s="116"/>
      <c r="B10" s="116"/>
      <c r="C10" s="122" t="s">
        <v>119</v>
      </c>
      <c r="D10" s="123" t="s">
        <v>4</v>
      </c>
      <c r="E10" s="121"/>
      <c r="F10" s="119" t="s">
        <v>153</v>
      </c>
      <c r="G10" s="123" t="s">
        <v>4</v>
      </c>
      <c r="H10" s="123"/>
      <c r="I10" s="123" t="s">
        <v>153</v>
      </c>
      <c r="J10" s="123" t="s">
        <v>4</v>
      </c>
      <c r="K10" s="123"/>
      <c r="L10" s="123" t="s">
        <v>153</v>
      </c>
      <c r="M10" s="121"/>
      <c r="N10" s="121"/>
      <c r="O10" s="121"/>
      <c r="P10" s="38"/>
      <c r="Q10" s="38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spans="1:36">
      <c r="A11" s="125" t="s">
        <v>155</v>
      </c>
      <c r="F11" s="126"/>
      <c r="M11" s="11"/>
      <c r="N11" s="11"/>
      <c r="O11" s="853" t="s">
        <v>1453</v>
      </c>
      <c r="P11" s="38"/>
      <c r="Q11" s="38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spans="1:36">
      <c r="A12" s="3" t="s">
        <v>156</v>
      </c>
      <c r="F12" s="126"/>
      <c r="M12" s="11"/>
      <c r="N12" s="11"/>
      <c r="O12" s="852">
        <f ca="1">'Exhibit No.__(RMM-2)pg1'!O35*1000</f>
        <v>-210.48636664624354</v>
      </c>
      <c r="P12" s="38"/>
      <c r="Q12" s="38"/>
      <c r="R12" s="38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6">
      <c r="F13" s="126"/>
      <c r="M13" s="11"/>
      <c r="N13" s="11"/>
      <c r="O13" s="38"/>
      <c r="P13" s="38"/>
      <c r="Q13" s="38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spans="1:36">
      <c r="A14" s="3" t="s">
        <v>536</v>
      </c>
      <c r="F14" s="126"/>
      <c r="M14" s="11"/>
      <c r="N14" t="s">
        <v>550</v>
      </c>
      <c r="O14" t="s">
        <v>551</v>
      </c>
      <c r="P14" s="38"/>
      <c r="Q14" s="38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spans="1:36">
      <c r="A15" s="3" t="s">
        <v>537</v>
      </c>
      <c r="C15" s="127">
        <f t="shared" ref="C15:C20" si="0">C30+C42+C54</f>
        <v>26655.009122588643</v>
      </c>
      <c r="D15" s="128">
        <v>7.9205056020145186</v>
      </c>
      <c r="F15" s="2">
        <f>F30+F42+F54</f>
        <v>211121.14907721145</v>
      </c>
      <c r="G15" s="729">
        <v>8.17</v>
      </c>
      <c r="I15" s="2">
        <f>I30+I42+I54</f>
        <v>217771.42453154924</v>
      </c>
      <c r="J15" s="128">
        <f ca="1">G15+ROUND($O$12*(O15/SUM($O$15:$O$17))/C15,2)</f>
        <v>8.16</v>
      </c>
      <c r="L15" s="2">
        <f ca="1">L30+L42+L54</f>
        <v>217504.87444032333</v>
      </c>
      <c r="N15">
        <v>19</v>
      </c>
      <c r="O15" s="720">
        <f>N15*C15</f>
        <v>506445.17332918418</v>
      </c>
      <c r="P15" s="129"/>
      <c r="Q15" s="129"/>
      <c r="R15" s="129"/>
      <c r="S15" s="129"/>
      <c r="T15" s="130"/>
      <c r="U15" s="130"/>
      <c r="V15" s="130"/>
      <c r="W15" s="130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J15" s="42"/>
    </row>
    <row r="16" spans="1:36">
      <c r="A16" s="3" t="s">
        <v>538</v>
      </c>
      <c r="C16" s="127">
        <f t="shared" si="0"/>
        <v>5709.8995291503243</v>
      </c>
      <c r="D16" s="128">
        <v>8.9144883768660446</v>
      </c>
      <c r="F16" s="2">
        <f>F31+F43+F55</f>
        <v>50900.832985683468</v>
      </c>
      <c r="G16" s="729">
        <v>9.35</v>
      </c>
      <c r="I16" s="2">
        <f>I31+I43+I55</f>
        <v>53387.560597555523</v>
      </c>
      <c r="J16" s="128">
        <f ca="1">G16+ROUND($O$12*(O16/SUM($O$15:$O$17))/C16,2)</f>
        <v>9.34</v>
      </c>
      <c r="L16" s="2">
        <f ca="1">L31+L43+L55</f>
        <v>53330.461602264033</v>
      </c>
      <c r="N16">
        <v>34</v>
      </c>
      <c r="O16" s="720">
        <f>N16*C16</f>
        <v>194136.58399111102</v>
      </c>
      <c r="P16" s="129"/>
      <c r="Q16" s="129"/>
      <c r="R16" s="129"/>
      <c r="S16" s="129"/>
      <c r="T16" s="130"/>
      <c r="U16" s="130"/>
      <c r="V16" s="130"/>
      <c r="W16" s="130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J16" s="42"/>
    </row>
    <row r="17" spans="1:36">
      <c r="A17" s="3" t="s">
        <v>541</v>
      </c>
      <c r="C17" s="127">
        <f t="shared" si="0"/>
        <v>1012.5673992761089</v>
      </c>
      <c r="D17" s="128">
        <v>10.475307452299823</v>
      </c>
      <c r="F17" s="2">
        <f>F32+F44+F56</f>
        <v>10606.954823592874</v>
      </c>
      <c r="G17" s="729">
        <v>11.21</v>
      </c>
      <c r="I17" s="2">
        <f>I32+I44+I56</f>
        <v>11350.88054588518</v>
      </c>
      <c r="J17" s="128">
        <f ca="1">G17+ROUND($O$12*(O17/SUM($O$15:$O$17))/C17,2)</f>
        <v>11.190000000000001</v>
      </c>
      <c r="L17" s="2">
        <f ca="1">L32+L44+L56</f>
        <v>11330.62919789966</v>
      </c>
      <c r="N17">
        <v>57</v>
      </c>
      <c r="O17" s="720">
        <f>N17*C17</f>
        <v>57716.341758738206</v>
      </c>
      <c r="P17" s="129"/>
      <c r="Q17" s="129"/>
      <c r="R17" s="129"/>
      <c r="S17" s="129"/>
      <c r="T17" s="130"/>
      <c r="U17" s="130"/>
      <c r="V17" s="130"/>
      <c r="W17" s="130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J17" s="42"/>
    </row>
    <row r="18" spans="1:36">
      <c r="A18" s="3" t="s">
        <v>166</v>
      </c>
      <c r="C18" s="127">
        <f t="shared" si="0"/>
        <v>27886</v>
      </c>
      <c r="D18" s="128"/>
      <c r="F18" s="2"/>
      <c r="G18" s="729"/>
      <c r="I18" s="2"/>
      <c r="J18" s="128"/>
      <c r="L18" s="2"/>
      <c r="O18" s="42"/>
      <c r="P18" s="3"/>
      <c r="Q18" s="3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J18" s="42"/>
    </row>
    <row r="19" spans="1:36">
      <c r="A19" s="3" t="s">
        <v>15</v>
      </c>
      <c r="C19" s="127">
        <f t="shared" si="0"/>
        <v>3029770.5</v>
      </c>
      <c r="D19" s="132"/>
      <c r="E19" s="11"/>
      <c r="F19" s="2">
        <f>F34+F46+F58</f>
        <v>272628.93688648776</v>
      </c>
      <c r="G19" s="717"/>
      <c r="H19" s="11"/>
      <c r="I19" s="2">
        <f>I34+I46+I58</f>
        <v>282509.86567498988</v>
      </c>
      <c r="J19" s="132"/>
      <c r="K19" s="11"/>
      <c r="L19" s="2">
        <f ca="1">L34+L46+L58</f>
        <v>282165.96524048701</v>
      </c>
      <c r="O19" s="134"/>
      <c r="P19" s="3"/>
      <c r="Q19" s="3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J19" s="42"/>
    </row>
    <row r="20" spans="1:36">
      <c r="A20" s="3" t="s">
        <v>167</v>
      </c>
      <c r="C20" s="127">
        <f t="shared" si="0"/>
        <v>7938.0715346155903</v>
      </c>
      <c r="D20" s="132"/>
      <c r="E20" s="11"/>
      <c r="F20" s="135">
        <f>F35+F47+F59</f>
        <v>4499.3891316946401</v>
      </c>
      <c r="G20" s="717"/>
      <c r="H20" s="11"/>
      <c r="I20" s="135">
        <f>F20</f>
        <v>4499.3891316946401</v>
      </c>
      <c r="J20" s="132"/>
      <c r="K20" s="11"/>
      <c r="L20" s="135">
        <f>I20</f>
        <v>4499.3891316946401</v>
      </c>
      <c r="P20" s="503"/>
      <c r="Q20" s="503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J20" s="42"/>
    </row>
    <row r="21" spans="1:36" ht="16.5" thickBot="1">
      <c r="A21" s="3" t="s">
        <v>1</v>
      </c>
      <c r="C21" s="136">
        <f>C19+C20</f>
        <v>3037708.5715346155</v>
      </c>
      <c r="D21" s="175"/>
      <c r="E21" s="137"/>
      <c r="F21" s="137">
        <f>F19+F20</f>
        <v>277128.32601818239</v>
      </c>
      <c r="G21" s="730"/>
      <c r="H21" s="137"/>
      <c r="I21" s="137">
        <f>I19+I20</f>
        <v>287009.2548066845</v>
      </c>
      <c r="J21" s="175"/>
      <c r="K21" s="137"/>
      <c r="L21" s="137">
        <f ca="1">L19+L20</f>
        <v>286665.35437218164</v>
      </c>
      <c r="M21" s="11"/>
      <c r="N21" s="11"/>
      <c r="O21" s="279"/>
      <c r="P21" s="500"/>
      <c r="Q21" s="500"/>
      <c r="R21" s="8"/>
      <c r="S21" s="8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J21" s="42"/>
    </row>
    <row r="22" spans="1:36" ht="16.5" thickTop="1">
      <c r="A22" s="629" t="s">
        <v>13</v>
      </c>
      <c r="C22" s="213"/>
      <c r="D22" s="20"/>
      <c r="E22" s="20"/>
      <c r="F22" s="20"/>
      <c r="G22" s="622"/>
      <c r="H22" s="20"/>
      <c r="I22" s="20" t="s">
        <v>13</v>
      </c>
      <c r="J22" s="20"/>
      <c r="K22" s="20"/>
      <c r="L22" s="20" t="s">
        <v>13</v>
      </c>
      <c r="M22" s="11"/>
      <c r="N22" s="279"/>
      <c r="O22" s="279"/>
      <c r="P22" s="6"/>
      <c r="Q22" s="500"/>
      <c r="R22" s="8"/>
      <c r="S22" s="8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J22" s="42"/>
    </row>
    <row r="23" spans="1:36" ht="18" hidden="1" customHeight="1">
      <c r="C23" s="138"/>
      <c r="D23" s="172" t="s">
        <v>13</v>
      </c>
      <c r="E23" s="138"/>
      <c r="F23" s="126"/>
      <c r="G23" s="284" t="s">
        <v>13</v>
      </c>
      <c r="H23" s="138"/>
      <c r="I23" s="2" t="s">
        <v>13</v>
      </c>
      <c r="J23" s="1" t="s">
        <v>13</v>
      </c>
      <c r="K23" s="138"/>
      <c r="L23" s="2" t="s">
        <v>13</v>
      </c>
      <c r="Q23" s="104"/>
      <c r="R23" s="8"/>
      <c r="S23" s="8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J23" s="42"/>
    </row>
    <row r="24" spans="1:36" hidden="1">
      <c r="C24" s="138"/>
      <c r="D24" s="172"/>
      <c r="E24" s="138"/>
      <c r="F24" s="126"/>
      <c r="G24" s="284"/>
      <c r="H24" s="138"/>
      <c r="I24" s="2"/>
      <c r="J24" s="1"/>
      <c r="K24" s="138"/>
      <c r="L24" s="2"/>
      <c r="M24" s="490"/>
      <c r="N24" s="490"/>
      <c r="O24" s="490"/>
      <c r="P24" s="490"/>
      <c r="Q24" s="104"/>
      <c r="R24" s="8"/>
      <c r="S24" s="8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J24" s="42"/>
    </row>
    <row r="25" spans="1:36" hidden="1">
      <c r="C25" s="138"/>
      <c r="D25" s="172"/>
      <c r="E25" s="138"/>
      <c r="F25" s="126"/>
      <c r="G25" s="284"/>
      <c r="H25" s="138"/>
      <c r="I25" s="2"/>
      <c r="J25" s="1"/>
      <c r="K25" s="138"/>
      <c r="L25" s="2"/>
      <c r="M25" s="279"/>
      <c r="N25" s="279"/>
      <c r="O25" s="279"/>
      <c r="P25" s="279"/>
      <c r="Q25" s="104"/>
      <c r="R25" s="8"/>
      <c r="S25" s="8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J25" s="42"/>
    </row>
    <row r="26" spans="1:36" hidden="1">
      <c r="A26" s="125" t="s">
        <v>155</v>
      </c>
      <c r="F26" s="126"/>
      <c r="G26" s="4"/>
      <c r="O26" s="139" t="s">
        <v>13</v>
      </c>
      <c r="P26" s="3"/>
      <c r="Q26" s="3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J26" s="42"/>
    </row>
    <row r="27" spans="1:36" hidden="1">
      <c r="A27" s="3" t="s">
        <v>169</v>
      </c>
      <c r="F27" s="126"/>
      <c r="G27" s="4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1"/>
      <c r="AE27" s="11"/>
      <c r="AF27" s="11"/>
      <c r="AG27" s="11"/>
      <c r="AH27" s="11"/>
      <c r="AJ27" s="42"/>
    </row>
    <row r="28" spans="1:36" hidden="1">
      <c r="F28" s="126"/>
      <c r="G28" s="4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1"/>
      <c r="AE28" s="11"/>
      <c r="AF28" s="11"/>
      <c r="AG28" s="11"/>
      <c r="AH28" s="11"/>
      <c r="AJ28" s="42"/>
    </row>
    <row r="29" spans="1:36" hidden="1">
      <c r="A29" s="3" t="s">
        <v>536</v>
      </c>
      <c r="F29" s="126"/>
      <c r="G29" s="4"/>
      <c r="M29" s="141"/>
      <c r="N29" s="141"/>
      <c r="O29" s="141"/>
      <c r="P29" s="38"/>
      <c r="Q29" s="38"/>
      <c r="R29" s="142"/>
      <c r="S29" s="142"/>
      <c r="T29" s="143"/>
      <c r="U29" s="143"/>
      <c r="V29" s="143"/>
      <c r="W29" s="143"/>
      <c r="X29" s="144"/>
      <c r="Y29" s="145"/>
      <c r="Z29" s="141"/>
      <c r="AA29" s="141"/>
      <c r="AB29" s="141"/>
      <c r="AC29" s="141"/>
      <c r="AD29" s="11"/>
      <c r="AE29" s="11"/>
      <c r="AF29" s="11"/>
      <c r="AG29" s="11"/>
      <c r="AH29" s="11"/>
      <c r="AJ29" s="42"/>
    </row>
    <row r="30" spans="1:36" hidden="1">
      <c r="A30" s="3" t="s">
        <v>537</v>
      </c>
      <c r="C30" s="127">
        <v>12155.470255994704</v>
      </c>
      <c r="D30" s="128">
        <f>$D$15</f>
        <v>7.9205056020145186</v>
      </c>
      <c r="F30" s="2">
        <f>D30*C30</f>
        <v>96277.470257726905</v>
      </c>
      <c r="G30" s="729">
        <v>8.17</v>
      </c>
      <c r="I30" s="2">
        <f>(G30*$C30)</f>
        <v>99310.191991476735</v>
      </c>
      <c r="J30" s="128">
        <f ca="1">$J$15</f>
        <v>8.16</v>
      </c>
      <c r="L30" s="2">
        <f ca="1">(J30*$C30)</f>
        <v>99188.637288916783</v>
      </c>
      <c r="M30" s="11"/>
      <c r="N30" s="11"/>
      <c r="O30" s="144"/>
      <c r="P30" s="38"/>
      <c r="Q30" s="38"/>
      <c r="R30" s="141"/>
      <c r="S30" s="141"/>
      <c r="T30" s="146"/>
      <c r="U30" s="146"/>
      <c r="V30" s="146"/>
      <c r="W30" s="146"/>
      <c r="X30" s="147"/>
      <c r="Y30" s="141"/>
      <c r="Z30" s="144"/>
      <c r="AA30" s="144"/>
      <c r="AB30" s="148"/>
      <c r="AC30" s="144"/>
      <c r="AD30" s="11"/>
      <c r="AE30" s="11"/>
      <c r="AF30" s="11"/>
      <c r="AG30" s="11"/>
      <c r="AH30" s="11"/>
      <c r="AJ30" s="42"/>
    </row>
    <row r="31" spans="1:36" hidden="1">
      <c r="A31" s="3" t="s">
        <v>538</v>
      </c>
      <c r="C31" s="127">
        <v>490.36572138705202</v>
      </c>
      <c r="D31" s="128">
        <f>$D$16</f>
        <v>8.9144883768660446</v>
      </c>
      <c r="F31" s="2">
        <f>D31*C31</f>
        <v>4371.3595237184081</v>
      </c>
      <c r="G31" s="729">
        <v>9.35</v>
      </c>
      <c r="I31" s="2">
        <f>(G31*$C31)</f>
        <v>4584.9194949689363</v>
      </c>
      <c r="J31" s="128">
        <f ca="1">$J$16</f>
        <v>9.34</v>
      </c>
      <c r="L31" s="2">
        <f ca="1">(J31*$C31)</f>
        <v>4580.0158377550661</v>
      </c>
      <c r="M31" s="11"/>
      <c r="N31" s="11"/>
      <c r="O31" s="144"/>
      <c r="P31" s="38"/>
      <c r="Q31" s="38"/>
      <c r="R31" s="11"/>
      <c r="S31" s="11"/>
      <c r="T31" s="150"/>
      <c r="U31" s="150"/>
      <c r="V31" s="150"/>
      <c r="W31" s="150"/>
      <c r="X31" s="141"/>
      <c r="Y31" s="141"/>
      <c r="Z31" s="144"/>
      <c r="AA31" s="144"/>
      <c r="AB31" s="148"/>
      <c r="AC31" s="144"/>
      <c r="AD31" s="11"/>
      <c r="AE31" s="11"/>
      <c r="AF31" s="11"/>
      <c r="AG31" s="11"/>
      <c r="AH31" s="11"/>
      <c r="AJ31" s="42"/>
    </row>
    <row r="32" spans="1:36" hidden="1">
      <c r="A32" s="3" t="s">
        <v>541</v>
      </c>
      <c r="C32" s="127">
        <v>16.000389808823499</v>
      </c>
      <c r="D32" s="128">
        <f>$D$17</f>
        <v>10.475307452299823</v>
      </c>
      <c r="F32" s="2">
        <f>D32*C32</f>
        <v>167.60900260407095</v>
      </c>
      <c r="G32" s="729">
        <v>11.21</v>
      </c>
      <c r="I32" s="2">
        <f>(G32*$C32)</f>
        <v>179.36436975691143</v>
      </c>
      <c r="J32" s="128">
        <f ca="1">$J$17</f>
        <v>11.190000000000001</v>
      </c>
      <c r="L32" s="2">
        <f ca="1">(J32*$C32)</f>
        <v>179.04436196073499</v>
      </c>
      <c r="M32" s="11"/>
      <c r="N32" s="11"/>
      <c r="O32" s="144"/>
      <c r="P32" s="38"/>
      <c r="Q32" s="38"/>
      <c r="R32" s="11"/>
      <c r="S32" s="11"/>
      <c r="T32" s="150"/>
      <c r="U32" s="150"/>
      <c r="V32" s="150"/>
      <c r="W32" s="150"/>
      <c r="X32" s="141"/>
      <c r="Y32" s="141"/>
      <c r="Z32" s="144"/>
      <c r="AA32" s="144"/>
      <c r="AB32" s="148"/>
      <c r="AC32" s="144"/>
      <c r="AD32" s="11"/>
      <c r="AE32" s="11"/>
      <c r="AF32" s="11"/>
      <c r="AG32" s="11"/>
      <c r="AH32" s="11"/>
      <c r="AJ32" s="42"/>
    </row>
    <row r="33" spans="1:36" hidden="1">
      <c r="A33" s="3" t="s">
        <v>166</v>
      </c>
      <c r="C33" s="127">
        <v>12430</v>
      </c>
      <c r="D33" s="128"/>
      <c r="F33" s="2"/>
      <c r="G33" s="729"/>
      <c r="I33" s="2"/>
      <c r="J33" s="128"/>
      <c r="L33" s="2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51"/>
      <c r="AA33" s="141"/>
      <c r="AB33" s="141"/>
      <c r="AC33" s="141"/>
      <c r="AD33" s="11"/>
      <c r="AE33" s="11"/>
      <c r="AF33" s="11"/>
      <c r="AG33" s="11"/>
      <c r="AH33" s="11"/>
      <c r="AJ33" s="42"/>
    </row>
    <row r="34" spans="1:36" hidden="1">
      <c r="A34" s="3" t="s">
        <v>15</v>
      </c>
      <c r="C34" s="127">
        <v>949541</v>
      </c>
      <c r="D34" s="132"/>
      <c r="E34" s="11"/>
      <c r="F34" s="135">
        <f>SUM(F30:F32)</f>
        <v>100816.43878404939</v>
      </c>
      <c r="G34" s="717"/>
      <c r="H34" s="11"/>
      <c r="I34" s="135">
        <f>SUM(I30:I32)</f>
        <v>104074.47585620258</v>
      </c>
      <c r="J34" s="132"/>
      <c r="K34" s="11"/>
      <c r="L34" s="135">
        <f ca="1">SUM(L30:L32)</f>
        <v>103947.69748863259</v>
      </c>
      <c r="M34" s="141"/>
      <c r="N34" s="141"/>
      <c r="O34" s="150"/>
      <c r="P34" s="141"/>
      <c r="Q34" s="141"/>
      <c r="R34" s="11"/>
      <c r="S34" s="11"/>
      <c r="T34" s="11"/>
      <c r="U34" s="11"/>
      <c r="V34" s="11"/>
      <c r="W34" s="11"/>
      <c r="X34" s="11"/>
      <c r="Y34" s="141"/>
      <c r="Z34" s="141"/>
      <c r="AA34" s="141"/>
      <c r="AB34" s="141"/>
      <c r="AC34" s="141"/>
      <c r="AD34" s="11"/>
      <c r="AE34" s="11"/>
      <c r="AF34" s="11"/>
      <c r="AG34" s="11"/>
      <c r="AH34" s="11"/>
      <c r="AJ34" s="42"/>
    </row>
    <row r="35" spans="1:36" hidden="1">
      <c r="A35" s="3" t="s">
        <v>167</v>
      </c>
      <c r="C35" s="127">
        <v>-12137.764177561308</v>
      </c>
      <c r="D35" s="132"/>
      <c r="E35" s="11"/>
      <c r="F35" s="135">
        <v>598.80194963053941</v>
      </c>
      <c r="G35" s="717"/>
      <c r="H35" s="11"/>
      <c r="I35" s="135">
        <f>F35</f>
        <v>598.80194963053941</v>
      </c>
      <c r="J35" s="132"/>
      <c r="K35" s="11"/>
      <c r="L35" s="135">
        <f>I35</f>
        <v>598.80194963053941</v>
      </c>
      <c r="M35" s="307"/>
      <c r="N35" s="307"/>
      <c r="O35" s="150"/>
      <c r="P35" s="141"/>
      <c r="Q35" s="141"/>
      <c r="R35" s="141"/>
      <c r="S35" s="141"/>
      <c r="T35" s="146"/>
      <c r="U35" s="146"/>
      <c r="V35" s="146"/>
      <c r="W35" s="146"/>
      <c r="X35" s="144"/>
      <c r="Y35" s="141"/>
      <c r="Z35" s="141"/>
      <c r="AA35" s="141"/>
      <c r="AB35" s="141"/>
      <c r="AC35" s="141"/>
      <c r="AD35" s="11"/>
      <c r="AE35" s="11"/>
      <c r="AF35" s="11"/>
      <c r="AG35" s="11"/>
      <c r="AH35" s="11"/>
      <c r="AJ35" s="42"/>
    </row>
    <row r="36" spans="1:36" ht="16.5" hidden="1" thickBot="1">
      <c r="A36" s="3" t="s">
        <v>1</v>
      </c>
      <c r="C36" s="136">
        <f>C34+C35</f>
        <v>937403.23582243873</v>
      </c>
      <c r="D36" s="175"/>
      <c r="E36" s="137"/>
      <c r="F36" s="137">
        <f>F34+F35</f>
        <v>101415.24073367992</v>
      </c>
      <c r="G36" s="730"/>
      <c r="H36" s="137"/>
      <c r="I36" s="137">
        <f>I34+I35</f>
        <v>104673.27780583312</v>
      </c>
      <c r="J36" s="175"/>
      <c r="K36" s="137"/>
      <c r="L36" s="137">
        <f ca="1">L34+L35</f>
        <v>104546.49943826313</v>
      </c>
      <c r="M36" s="274"/>
      <c r="N36" s="274"/>
      <c r="O36" s="333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1"/>
      <c r="AE36" s="11"/>
      <c r="AF36" s="11"/>
      <c r="AG36" s="11"/>
      <c r="AH36" s="11"/>
      <c r="AJ36" s="42"/>
    </row>
    <row r="37" spans="1:36" ht="16.5" hidden="1" thickTop="1">
      <c r="C37" s="138"/>
      <c r="D37" s="172" t="s">
        <v>13</v>
      </c>
      <c r="E37" s="138"/>
      <c r="F37" s="126"/>
      <c r="G37" s="284" t="s">
        <v>13</v>
      </c>
      <c r="H37" s="138"/>
      <c r="I37" s="2" t="s">
        <v>13</v>
      </c>
      <c r="J37" s="1" t="s">
        <v>13</v>
      </c>
      <c r="K37" s="138"/>
      <c r="L37" s="2" t="s">
        <v>13</v>
      </c>
      <c r="M37" s="11"/>
      <c r="N37" s="11"/>
      <c r="O37" s="38"/>
      <c r="P37" s="38"/>
      <c r="Q37" s="38"/>
      <c r="R37" s="11"/>
      <c r="S37" s="11"/>
      <c r="T37" s="11"/>
      <c r="U37" s="11"/>
      <c r="V37" s="11"/>
      <c r="W37" s="11"/>
      <c r="X37" s="11"/>
      <c r="Y37" s="141"/>
      <c r="Z37" s="141"/>
      <c r="AA37" s="141"/>
      <c r="AB37" s="141"/>
      <c r="AC37" s="141"/>
      <c r="AD37" s="11"/>
      <c r="AE37" s="11"/>
      <c r="AF37" s="11"/>
      <c r="AG37" s="11"/>
      <c r="AH37" s="11"/>
      <c r="AJ37" s="42"/>
    </row>
    <row r="38" spans="1:36" hidden="1">
      <c r="A38" s="125" t="s">
        <v>155</v>
      </c>
      <c r="F38" s="126"/>
      <c r="G38" s="4"/>
      <c r="M38" s="11"/>
      <c r="N38" s="11"/>
      <c r="O38" s="38"/>
      <c r="P38" s="38"/>
      <c r="Q38" s="38"/>
      <c r="R38" s="11"/>
      <c r="S38" s="11"/>
      <c r="T38" s="11"/>
      <c r="U38" s="11"/>
      <c r="V38" s="11"/>
      <c r="W38" s="11"/>
      <c r="X38" s="11"/>
      <c r="Y38" s="141"/>
      <c r="Z38" s="141"/>
      <c r="AA38" s="141"/>
      <c r="AB38" s="141"/>
      <c r="AC38" s="141"/>
      <c r="AD38" s="11"/>
      <c r="AE38" s="11"/>
      <c r="AF38" s="11"/>
      <c r="AG38" s="11"/>
      <c r="AH38" s="11"/>
      <c r="AJ38" s="42"/>
    </row>
    <row r="39" spans="1:36" hidden="1">
      <c r="A39" s="3" t="s">
        <v>170</v>
      </c>
      <c r="F39" s="126"/>
      <c r="G39" s="4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1"/>
      <c r="AE39" s="11"/>
      <c r="AF39" s="11"/>
      <c r="AG39" s="11"/>
      <c r="AH39" s="11"/>
      <c r="AJ39" s="42"/>
    </row>
    <row r="40" spans="1:36" hidden="1">
      <c r="F40" s="126"/>
      <c r="G40" s="4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1"/>
      <c r="AE40" s="11"/>
      <c r="AF40" s="11"/>
      <c r="AG40" s="11"/>
      <c r="AH40" s="11"/>
      <c r="AJ40" s="42"/>
    </row>
    <row r="41" spans="1:36" hidden="1">
      <c r="A41" s="3" t="s">
        <v>536</v>
      </c>
      <c r="F41" s="126"/>
      <c r="G41" s="4"/>
      <c r="M41" s="141"/>
      <c r="N41" s="141"/>
      <c r="O41" s="141"/>
      <c r="P41" s="38"/>
      <c r="Q41" s="38"/>
      <c r="R41" s="142"/>
      <c r="S41" s="142"/>
      <c r="T41" s="143"/>
      <c r="U41" s="143"/>
      <c r="V41" s="143"/>
      <c r="W41" s="143"/>
      <c r="X41" s="144"/>
      <c r="Y41" s="145"/>
      <c r="Z41" s="141"/>
      <c r="AA41" s="141"/>
      <c r="AB41" s="141"/>
      <c r="AC41" s="141"/>
      <c r="AD41" s="11"/>
      <c r="AE41" s="11"/>
      <c r="AF41" s="11"/>
      <c r="AG41" s="11"/>
      <c r="AH41" s="11"/>
      <c r="AJ41" s="42"/>
    </row>
    <row r="42" spans="1:36" hidden="1">
      <c r="A42" s="3" t="s">
        <v>537</v>
      </c>
      <c r="C42" s="127">
        <v>13935.539018522964</v>
      </c>
      <c r="D42" s="128">
        <f>$D$15</f>
        <v>7.9205056020145186</v>
      </c>
      <c r="F42" s="2">
        <f>D42*C42</f>
        <v>110376.51486330305</v>
      </c>
      <c r="G42" s="729">
        <v>8.17</v>
      </c>
      <c r="I42" s="2">
        <f>(G42*$C42)</f>
        <v>113853.35378133261</v>
      </c>
      <c r="J42" s="128">
        <f ca="1">$J$15</f>
        <v>8.16</v>
      </c>
      <c r="L42" s="2">
        <f ca="1">(J42*$C42)</f>
        <v>113713.9983911474</v>
      </c>
      <c r="M42" s="11"/>
      <c r="N42" s="11"/>
      <c r="O42" s="144"/>
      <c r="P42" s="38"/>
      <c r="Q42" s="38"/>
      <c r="R42" s="141"/>
      <c r="S42" s="141"/>
      <c r="T42" s="146"/>
      <c r="U42" s="146"/>
      <c r="V42" s="146"/>
      <c r="W42" s="146"/>
      <c r="X42" s="147"/>
      <c r="Y42" s="141"/>
      <c r="Z42" s="144"/>
      <c r="AA42" s="144"/>
      <c r="AB42" s="148"/>
      <c r="AC42" s="144"/>
      <c r="AD42" s="11"/>
      <c r="AE42" s="11"/>
      <c r="AF42" s="11"/>
      <c r="AG42" s="11"/>
      <c r="AH42" s="11"/>
      <c r="AJ42" s="42"/>
    </row>
    <row r="43" spans="1:36" hidden="1">
      <c r="A43" s="3" t="s">
        <v>538</v>
      </c>
      <c r="C43" s="127">
        <v>4787.5354778324163</v>
      </c>
      <c r="D43" s="128">
        <f>$D$16</f>
        <v>8.9144883768660446</v>
      </c>
      <c r="F43" s="2">
        <f>D43*C43</f>
        <v>42678.429370970902</v>
      </c>
      <c r="G43" s="729">
        <v>9.35</v>
      </c>
      <c r="I43" s="2">
        <f>(G43*$C43)</f>
        <v>44763.45671773309</v>
      </c>
      <c r="J43" s="128">
        <f ca="1">$J$16</f>
        <v>9.34</v>
      </c>
      <c r="L43" s="2">
        <f ca="1">(J43*$C43)</f>
        <v>44715.58136295477</v>
      </c>
      <c r="M43" s="11"/>
      <c r="N43" s="11"/>
      <c r="O43" s="144"/>
      <c r="P43" s="38"/>
      <c r="Q43" s="38"/>
      <c r="R43" s="11"/>
      <c r="S43" s="11"/>
      <c r="T43" s="150"/>
      <c r="U43" s="150"/>
      <c r="V43" s="150"/>
      <c r="W43" s="150"/>
      <c r="X43" s="141"/>
      <c r="Y43" s="141"/>
      <c r="Z43" s="144"/>
      <c r="AA43" s="144"/>
      <c r="AB43" s="148"/>
      <c r="AC43" s="144"/>
      <c r="AD43" s="11"/>
      <c r="AE43" s="11"/>
      <c r="AF43" s="11"/>
      <c r="AG43" s="11"/>
      <c r="AH43" s="11"/>
      <c r="AJ43" s="42"/>
    </row>
    <row r="44" spans="1:36" hidden="1">
      <c r="A44" s="3" t="s">
        <v>541</v>
      </c>
      <c r="C44" s="127">
        <v>960.56699455694206</v>
      </c>
      <c r="D44" s="128">
        <f>$D$17</f>
        <v>10.475307452299823</v>
      </c>
      <c r="F44" s="2">
        <f>D44*C44</f>
        <v>10062.234596515578</v>
      </c>
      <c r="G44" s="729">
        <v>11.21</v>
      </c>
      <c r="I44" s="2">
        <f>(G44*$C44)</f>
        <v>10767.956008983321</v>
      </c>
      <c r="J44" s="128">
        <f ca="1">$J$17</f>
        <v>11.190000000000001</v>
      </c>
      <c r="L44" s="2">
        <f ca="1">(J44*$C44)</f>
        <v>10748.744669092182</v>
      </c>
      <c r="M44" s="11"/>
      <c r="N44" s="11"/>
      <c r="O44" s="144"/>
      <c r="P44" s="38"/>
      <c r="Q44" s="38"/>
      <c r="R44" s="11"/>
      <c r="S44" s="11"/>
      <c r="T44" s="150"/>
      <c r="U44" s="150"/>
      <c r="V44" s="150"/>
      <c r="W44" s="150"/>
      <c r="X44" s="141"/>
      <c r="Y44" s="141"/>
      <c r="Z44" s="144"/>
      <c r="AA44" s="144"/>
      <c r="AB44" s="148"/>
      <c r="AC44" s="144"/>
      <c r="AD44" s="11"/>
      <c r="AE44" s="11"/>
      <c r="AF44" s="11"/>
      <c r="AG44" s="11"/>
      <c r="AH44" s="11"/>
      <c r="AJ44" s="42"/>
    </row>
    <row r="45" spans="1:36" hidden="1">
      <c r="A45" s="3" t="s">
        <v>166</v>
      </c>
      <c r="C45" s="127">
        <v>14844</v>
      </c>
      <c r="D45" s="128"/>
      <c r="F45" s="2"/>
      <c r="G45" s="729"/>
      <c r="I45" s="2"/>
      <c r="J45" s="128"/>
      <c r="L45" s="2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51"/>
      <c r="AA45" s="141"/>
      <c r="AB45" s="141"/>
      <c r="AC45" s="141"/>
      <c r="AD45" s="11"/>
      <c r="AE45" s="11"/>
      <c r="AF45" s="11"/>
      <c r="AG45" s="11"/>
      <c r="AH45" s="11"/>
      <c r="AJ45" s="42"/>
    </row>
    <row r="46" spans="1:36" hidden="1">
      <c r="A46" s="3" t="s">
        <v>15</v>
      </c>
      <c r="C46" s="127">
        <v>1957121.5</v>
      </c>
      <c r="D46" s="132"/>
      <c r="E46" s="11"/>
      <c r="F46" s="135">
        <f>SUM(F42:F44)</f>
        <v>163117.17883078952</v>
      </c>
      <c r="G46" s="717"/>
      <c r="H46" s="11"/>
      <c r="I46" s="135">
        <f>SUM(I42:I44)</f>
        <v>169384.76650804901</v>
      </c>
      <c r="J46" s="132"/>
      <c r="K46" s="11"/>
      <c r="L46" s="135">
        <f ca="1">SUM(L42:L44)</f>
        <v>169178.32442319434</v>
      </c>
      <c r="M46" s="141"/>
      <c r="N46" s="141"/>
      <c r="O46" s="150"/>
      <c r="P46" s="141"/>
      <c r="Q46" s="141"/>
      <c r="R46" s="11"/>
      <c r="S46" s="11"/>
      <c r="T46" s="11"/>
      <c r="U46" s="11"/>
      <c r="V46" s="11"/>
      <c r="W46" s="11"/>
      <c r="X46" s="11"/>
      <c r="Y46" s="141"/>
      <c r="Z46" s="141"/>
      <c r="AA46" s="141"/>
      <c r="AB46" s="141"/>
      <c r="AC46" s="141"/>
      <c r="AD46" s="11"/>
      <c r="AE46" s="11"/>
      <c r="AF46" s="11"/>
      <c r="AG46" s="11"/>
      <c r="AH46" s="11"/>
      <c r="AJ46" s="42"/>
    </row>
    <row r="47" spans="1:36" hidden="1">
      <c r="A47" s="3" t="s">
        <v>167</v>
      </c>
      <c r="C47" s="127">
        <v>17774.667566918739</v>
      </c>
      <c r="D47" s="132"/>
      <c r="E47" s="11"/>
      <c r="F47" s="135">
        <v>3798.4739986978907</v>
      </c>
      <c r="G47" s="717"/>
      <c r="H47" s="11"/>
      <c r="I47" s="135">
        <f>F47</f>
        <v>3798.4739986978907</v>
      </c>
      <c r="J47" s="132"/>
      <c r="K47" s="11"/>
      <c r="L47" s="135">
        <f>I47</f>
        <v>3798.4739986978907</v>
      </c>
      <c r="M47" s="307"/>
      <c r="N47" s="307"/>
      <c r="O47" s="150"/>
      <c r="P47" s="141"/>
      <c r="Q47" s="141"/>
      <c r="R47" s="141"/>
      <c r="S47" s="141"/>
      <c r="T47" s="146"/>
      <c r="U47" s="146"/>
      <c r="V47" s="146"/>
      <c r="W47" s="146"/>
      <c r="X47" s="144"/>
      <c r="Y47" s="141"/>
      <c r="Z47" s="141"/>
      <c r="AA47" s="141"/>
      <c r="AB47" s="141"/>
      <c r="AC47" s="141"/>
      <c r="AD47" s="11"/>
      <c r="AE47" s="11"/>
      <c r="AF47" s="11"/>
      <c r="AG47" s="11"/>
      <c r="AH47" s="11"/>
      <c r="AJ47" s="42"/>
    </row>
    <row r="48" spans="1:36" ht="16.5" hidden="1" thickBot="1">
      <c r="A48" s="3" t="s">
        <v>1</v>
      </c>
      <c r="C48" s="136">
        <f>C46+C47</f>
        <v>1974896.1675669188</v>
      </c>
      <c r="D48" s="175"/>
      <c r="E48" s="137"/>
      <c r="F48" s="137">
        <f>F46+F47</f>
        <v>166915.6528294874</v>
      </c>
      <c r="G48" s="730"/>
      <c r="H48" s="137"/>
      <c r="I48" s="137">
        <f>I46+I47</f>
        <v>173183.24050674689</v>
      </c>
      <c r="J48" s="175"/>
      <c r="K48" s="137"/>
      <c r="L48" s="137">
        <f ca="1">L46+L47</f>
        <v>172976.79842189222</v>
      </c>
      <c r="M48" s="274"/>
      <c r="N48" s="274"/>
      <c r="O48" s="333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1"/>
      <c r="AE48" s="11"/>
      <c r="AF48" s="11"/>
      <c r="AG48" s="11"/>
      <c r="AH48" s="11"/>
      <c r="AJ48" s="42"/>
    </row>
    <row r="49" spans="1:36" ht="16.5" hidden="1" thickTop="1">
      <c r="C49" s="138"/>
      <c r="D49" s="172" t="s">
        <v>13</v>
      </c>
      <c r="E49" s="138"/>
      <c r="F49" s="126"/>
      <c r="G49" s="284" t="s">
        <v>13</v>
      </c>
      <c r="H49" s="138"/>
      <c r="I49" s="2" t="s">
        <v>13</v>
      </c>
      <c r="J49" s="1" t="s">
        <v>13</v>
      </c>
      <c r="K49" s="138"/>
      <c r="L49" s="2" t="s">
        <v>13</v>
      </c>
      <c r="M49" s="11"/>
      <c r="N49" s="11"/>
      <c r="O49" s="38"/>
      <c r="P49" s="38"/>
      <c r="Q49" s="38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J49" s="42"/>
    </row>
    <row r="50" spans="1:36" hidden="1">
      <c r="A50" s="125" t="s">
        <v>155</v>
      </c>
      <c r="F50" s="126"/>
      <c r="G50" s="4"/>
      <c r="M50" s="11"/>
      <c r="N50" s="11"/>
      <c r="O50" s="38"/>
      <c r="P50" s="38"/>
      <c r="Q50" s="38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J50" s="42"/>
    </row>
    <row r="51" spans="1:36" hidden="1">
      <c r="A51" s="3" t="s">
        <v>171</v>
      </c>
      <c r="F51" s="126"/>
      <c r="G51" s="4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1"/>
      <c r="AE51" s="11"/>
      <c r="AF51" s="11"/>
      <c r="AG51" s="11"/>
      <c r="AH51" s="11"/>
      <c r="AJ51" s="42"/>
    </row>
    <row r="52" spans="1:36" hidden="1">
      <c r="F52" s="126"/>
      <c r="G52" s="4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1"/>
      <c r="AE52" s="11"/>
      <c r="AF52" s="11"/>
      <c r="AG52" s="11"/>
      <c r="AH52" s="11"/>
      <c r="AJ52" s="42"/>
    </row>
    <row r="53" spans="1:36" hidden="1">
      <c r="A53" s="3" t="s">
        <v>536</v>
      </c>
      <c r="F53" s="126"/>
      <c r="G53" s="4"/>
      <c r="M53" s="141"/>
      <c r="N53" s="141"/>
      <c r="O53" s="141"/>
      <c r="P53" s="38"/>
      <c r="Q53" s="38"/>
      <c r="R53" s="142"/>
      <c r="S53" s="142"/>
      <c r="T53" s="143"/>
      <c r="U53" s="143"/>
      <c r="V53" s="143"/>
      <c r="W53" s="143"/>
      <c r="X53" s="144"/>
      <c r="Y53" s="145"/>
      <c r="Z53" s="141"/>
      <c r="AA53" s="141"/>
      <c r="AB53" s="141"/>
      <c r="AC53" s="141"/>
      <c r="AD53" s="11"/>
      <c r="AE53" s="11"/>
      <c r="AF53" s="11"/>
      <c r="AG53" s="11"/>
      <c r="AH53" s="11"/>
      <c r="AJ53" s="42"/>
    </row>
    <row r="54" spans="1:36" hidden="1">
      <c r="A54" s="3" t="s">
        <v>537</v>
      </c>
      <c r="C54" s="127">
        <v>563.99984807097564</v>
      </c>
      <c r="D54" s="128">
        <f>$D$15</f>
        <v>7.9205056020145186</v>
      </c>
      <c r="F54" s="2">
        <f>D54*C54</f>
        <v>4467.1639561815</v>
      </c>
      <c r="G54" s="729">
        <v>8.17</v>
      </c>
      <c r="I54" s="2">
        <f>(G54*$C54)</f>
        <v>4607.878758739871</v>
      </c>
      <c r="J54" s="128">
        <f ca="1">$J$15</f>
        <v>8.16</v>
      </c>
      <c r="L54" s="2">
        <f ca="1">(J54*$C54)</f>
        <v>4602.2387602591616</v>
      </c>
      <c r="M54" s="11"/>
      <c r="N54" s="11"/>
      <c r="O54" s="144"/>
      <c r="P54" s="38"/>
      <c r="Q54" s="38"/>
      <c r="R54" s="141"/>
      <c r="S54" s="141"/>
      <c r="T54" s="146"/>
      <c r="U54" s="146"/>
      <c r="V54" s="146"/>
      <c r="W54" s="146"/>
      <c r="X54" s="147"/>
      <c r="Y54" s="141"/>
      <c r="Z54" s="144"/>
      <c r="AA54" s="144"/>
      <c r="AB54" s="148"/>
      <c r="AC54" s="144"/>
      <c r="AD54" s="11"/>
      <c r="AE54" s="11"/>
      <c r="AF54" s="11"/>
      <c r="AG54" s="11"/>
      <c r="AH54" s="11"/>
      <c r="AJ54" s="42"/>
    </row>
    <row r="55" spans="1:36" hidden="1">
      <c r="A55" s="3" t="s">
        <v>538</v>
      </c>
      <c r="C55" s="127">
        <v>431.9983299308559</v>
      </c>
      <c r="D55" s="128">
        <f>$D$16</f>
        <v>8.9144883768660446</v>
      </c>
      <c r="F55" s="2">
        <f>D55*C55</f>
        <v>3851.0440909941576</v>
      </c>
      <c r="G55" s="729">
        <v>9.35</v>
      </c>
      <c r="I55" s="2">
        <f>(G55*$C55)</f>
        <v>4039.1843848535027</v>
      </c>
      <c r="J55" s="128">
        <f ca="1">$J$16</f>
        <v>9.34</v>
      </c>
      <c r="L55" s="2">
        <f ca="1">(J55*$C55)</f>
        <v>4034.864401554194</v>
      </c>
      <c r="M55" s="11"/>
      <c r="N55" s="11"/>
      <c r="O55" s="144"/>
      <c r="P55" s="38"/>
      <c r="Q55" s="38"/>
      <c r="R55" s="11"/>
      <c r="S55" s="11"/>
      <c r="T55" s="150"/>
      <c r="U55" s="150"/>
      <c r="V55" s="150"/>
      <c r="W55" s="150"/>
      <c r="X55" s="141"/>
      <c r="Y55" s="141"/>
      <c r="Z55" s="144"/>
      <c r="AA55" s="144"/>
      <c r="AB55" s="148"/>
      <c r="AC55" s="144"/>
      <c r="AD55" s="11"/>
      <c r="AE55" s="11"/>
      <c r="AF55" s="11"/>
      <c r="AG55" s="11"/>
      <c r="AH55" s="11"/>
      <c r="AJ55" s="42"/>
    </row>
    <row r="56" spans="1:36" hidden="1">
      <c r="A56" s="3" t="s">
        <v>541</v>
      </c>
      <c r="C56" s="127">
        <v>36.000014910343303</v>
      </c>
      <c r="D56" s="128">
        <f>$D$17</f>
        <v>10.475307452299823</v>
      </c>
      <c r="F56" s="2">
        <f>D56*C56</f>
        <v>377.11122447322396</v>
      </c>
      <c r="G56" s="729">
        <v>11.21</v>
      </c>
      <c r="I56" s="2">
        <f>(G56*$C56)</f>
        <v>403.56016714494848</v>
      </c>
      <c r="J56" s="128">
        <f ca="1">$J$17</f>
        <v>11.190000000000001</v>
      </c>
      <c r="L56" s="2">
        <f ca="1">(J56*$C56)</f>
        <v>402.84016684674162</v>
      </c>
      <c r="M56" s="11"/>
      <c r="N56" s="11"/>
      <c r="O56" s="144"/>
      <c r="P56" s="38"/>
      <c r="Q56" s="38"/>
      <c r="R56" s="11"/>
      <c r="S56" s="11"/>
      <c r="T56" s="150"/>
      <c r="U56" s="150"/>
      <c r="V56" s="150"/>
      <c r="W56" s="150"/>
      <c r="X56" s="141"/>
      <c r="Y56" s="141"/>
      <c r="Z56" s="144"/>
      <c r="AA56" s="144"/>
      <c r="AB56" s="148"/>
      <c r="AC56" s="144"/>
      <c r="AD56" s="11"/>
      <c r="AE56" s="11"/>
      <c r="AF56" s="11"/>
      <c r="AG56" s="11"/>
      <c r="AH56" s="11"/>
      <c r="AJ56" s="42"/>
    </row>
    <row r="57" spans="1:36" hidden="1">
      <c r="A57" s="3" t="s">
        <v>166</v>
      </c>
      <c r="C57" s="127">
        <v>612</v>
      </c>
      <c r="D57" s="128"/>
      <c r="F57" s="2"/>
      <c r="G57" s="729"/>
      <c r="I57" s="2"/>
      <c r="J57" s="128"/>
      <c r="L57" s="2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51"/>
      <c r="AA57" s="141"/>
      <c r="AB57" s="141"/>
      <c r="AC57" s="141"/>
      <c r="AD57" s="11"/>
      <c r="AE57" s="11"/>
      <c r="AF57" s="11"/>
      <c r="AG57" s="11"/>
      <c r="AH57" s="11"/>
      <c r="AJ57" s="42"/>
    </row>
    <row r="58" spans="1:36" hidden="1">
      <c r="A58" s="3" t="s">
        <v>15</v>
      </c>
      <c r="C58" s="127">
        <v>123108</v>
      </c>
      <c r="D58" s="132"/>
      <c r="E58" s="11"/>
      <c r="F58" s="135">
        <f>SUM(F54:F56)</f>
        <v>8695.3192716488811</v>
      </c>
      <c r="G58" s="717"/>
      <c r="H58" s="11"/>
      <c r="I58" s="135">
        <f>SUM(I54:I56)</f>
        <v>9050.6233107383214</v>
      </c>
      <c r="J58" s="132"/>
      <c r="K58" s="11"/>
      <c r="L58" s="135">
        <f ca="1">SUM(L54:L56)</f>
        <v>9039.9433286600979</v>
      </c>
      <c r="M58" s="141"/>
      <c r="N58" s="141"/>
      <c r="O58" s="150"/>
      <c r="P58" s="141"/>
      <c r="Q58" s="141"/>
      <c r="R58" s="11"/>
      <c r="S58" s="11"/>
      <c r="T58" s="11"/>
      <c r="U58" s="11"/>
      <c r="V58" s="11"/>
      <c r="W58" s="11"/>
      <c r="X58" s="11"/>
      <c r="Y58" s="141"/>
      <c r="Z58" s="141"/>
      <c r="AA58" s="141"/>
      <c r="AB58" s="141"/>
      <c r="AC58" s="141"/>
      <c r="AD58" s="11"/>
      <c r="AE58" s="11"/>
      <c r="AF58" s="11"/>
      <c r="AG58" s="11"/>
      <c r="AH58" s="11"/>
      <c r="AJ58" s="42"/>
    </row>
    <row r="59" spans="1:36" hidden="1">
      <c r="A59" s="3" t="s">
        <v>167</v>
      </c>
      <c r="C59" s="127">
        <v>2301.1681452581602</v>
      </c>
      <c r="D59" s="132"/>
      <c r="E59" s="11"/>
      <c r="F59" s="135">
        <v>102.11318336621031</v>
      </c>
      <c r="G59" s="717"/>
      <c r="H59" s="11"/>
      <c r="I59" s="135">
        <f>F59</f>
        <v>102.11318336621031</v>
      </c>
      <c r="J59" s="132"/>
      <c r="K59" s="11"/>
      <c r="L59" s="135">
        <f>I59</f>
        <v>102.11318336621031</v>
      </c>
      <c r="M59" s="307"/>
      <c r="N59" s="307"/>
      <c r="O59" s="150"/>
      <c r="P59" s="141"/>
      <c r="Q59" s="141"/>
      <c r="R59" s="141"/>
      <c r="S59" s="141"/>
      <c r="T59" s="146"/>
      <c r="U59" s="146"/>
      <c r="V59" s="146"/>
      <c r="W59" s="146"/>
      <c r="X59" s="144"/>
      <c r="Y59" s="141"/>
      <c r="Z59" s="141"/>
      <c r="AA59" s="141"/>
      <c r="AB59" s="141"/>
      <c r="AC59" s="141"/>
      <c r="AD59" s="11"/>
      <c r="AE59" s="11"/>
      <c r="AF59" s="11"/>
      <c r="AG59" s="11"/>
      <c r="AH59" s="11"/>
      <c r="AJ59" s="42"/>
    </row>
    <row r="60" spans="1:36" ht="16.5" hidden="1" thickBot="1">
      <c r="A60" s="3" t="s">
        <v>1</v>
      </c>
      <c r="C60" s="136">
        <f>C58+C59</f>
        <v>125409.16814525815</v>
      </c>
      <c r="D60" s="175"/>
      <c r="E60" s="137"/>
      <c r="F60" s="137">
        <f>F58+F59</f>
        <v>8797.4324550150923</v>
      </c>
      <c r="G60" s="730"/>
      <c r="H60" s="137"/>
      <c r="I60" s="137">
        <f>I58+I59</f>
        <v>9152.7364941045325</v>
      </c>
      <c r="J60" s="175"/>
      <c r="K60" s="137"/>
      <c r="L60" s="137">
        <f ca="1">L58+L59</f>
        <v>9142.0565120263091</v>
      </c>
      <c r="M60" s="274"/>
      <c r="N60" s="274"/>
      <c r="O60" s="333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1"/>
      <c r="AE60" s="11"/>
      <c r="AF60" s="11"/>
      <c r="AG60" s="11"/>
      <c r="AH60" s="11"/>
      <c r="AJ60" s="42"/>
    </row>
    <row r="61" spans="1:36">
      <c r="C61" s="138"/>
      <c r="D61" s="172" t="s">
        <v>13</v>
      </c>
      <c r="E61" s="138"/>
      <c r="F61" s="126"/>
      <c r="G61" s="284" t="s">
        <v>13</v>
      </c>
      <c r="H61" s="138"/>
      <c r="I61" s="2" t="s">
        <v>13</v>
      </c>
      <c r="J61" s="1" t="s">
        <v>13</v>
      </c>
      <c r="K61" s="138"/>
      <c r="L61" s="2" t="s">
        <v>13</v>
      </c>
      <c r="M61" s="11"/>
      <c r="N61" s="11"/>
      <c r="O61" s="38"/>
      <c r="P61" s="38"/>
      <c r="Q61" s="38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J61" s="42"/>
    </row>
    <row r="62" spans="1:36">
      <c r="A62" s="156" t="s">
        <v>172</v>
      </c>
      <c r="B62" s="1"/>
      <c r="C62" s="1"/>
      <c r="D62" s="12"/>
      <c r="E62" s="1"/>
      <c r="F62" s="170"/>
      <c r="G62" s="28"/>
      <c r="H62" s="1"/>
      <c r="I62" s="1"/>
      <c r="J62" s="12"/>
      <c r="K62" s="1"/>
      <c r="L62" s="1"/>
      <c r="M62" s="11"/>
      <c r="N62" s="11"/>
      <c r="O62" s="853" t="s">
        <v>1454</v>
      </c>
      <c r="P62" s="38"/>
      <c r="Q62" s="38"/>
      <c r="R62" s="475"/>
      <c r="S62" s="18"/>
      <c r="T62" s="697"/>
      <c r="U62" s="698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J62" s="42"/>
    </row>
    <row r="63" spans="1:36">
      <c r="A63" s="1" t="s">
        <v>173</v>
      </c>
      <c r="B63" s="1"/>
      <c r="C63" s="1"/>
      <c r="D63" s="12"/>
      <c r="E63" s="1"/>
      <c r="F63" s="1"/>
      <c r="G63" s="731" t="s">
        <v>13</v>
      </c>
      <c r="H63" s="1"/>
      <c r="I63" s="1"/>
      <c r="J63" s="505" t="s">
        <v>13</v>
      </c>
      <c r="K63" s="1"/>
      <c r="L63" s="1"/>
      <c r="M63" s="334"/>
      <c r="N63" s="334"/>
      <c r="O63" s="852">
        <f ca="1">'Exhibit No.__(RMM-2)pg1'!O16*1000</f>
        <v>-264048.74289908656</v>
      </c>
      <c r="P63" s="38"/>
      <c r="Q63" s="38"/>
      <c r="R63" s="38"/>
      <c r="S63" s="661"/>
      <c r="T63" s="661"/>
      <c r="U63" s="66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J63" s="42"/>
    </row>
    <row r="64" spans="1:36">
      <c r="A64" s="160"/>
      <c r="B64" s="1"/>
      <c r="C64" s="1"/>
      <c r="D64" s="12"/>
      <c r="E64" s="1"/>
      <c r="F64" s="1"/>
      <c r="G64" s="28"/>
      <c r="H64" s="1"/>
      <c r="I64" s="1"/>
      <c r="J64" s="12"/>
      <c r="K64" s="1"/>
      <c r="L64" s="1"/>
      <c r="M64" s="11"/>
      <c r="N64" s="11"/>
      <c r="O64" s="38"/>
      <c r="P64" s="504"/>
      <c r="Q64" s="504"/>
      <c r="R64" s="699"/>
      <c r="S64" s="660"/>
      <c r="T64" s="662"/>
      <c r="U64" s="662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J64" s="42"/>
    </row>
    <row r="65" spans="1:36">
      <c r="A65" s="1" t="s">
        <v>174</v>
      </c>
      <c r="B65" s="1"/>
      <c r="C65" s="12">
        <f t="shared" ref="C65:C70" si="1">C84+C98+C111+C143+C156</f>
        <v>1293476.4516128739</v>
      </c>
      <c r="D65" s="161">
        <v>7.75</v>
      </c>
      <c r="E65" s="1"/>
      <c r="F65" s="2">
        <f t="shared" ref="F65:F70" si="2">F84+F98+F111+F143+F156</f>
        <v>10024443</v>
      </c>
      <c r="G65" s="506">
        <v>7.75</v>
      </c>
      <c r="H65" s="1"/>
      <c r="I65" s="2">
        <f t="shared" ref="I65:I70" si="3">I84+I98+I111+I143+I156</f>
        <v>10024443</v>
      </c>
      <c r="J65" s="164">
        <f t="shared" ref="J65" si="4">G65</f>
        <v>7.75</v>
      </c>
      <c r="K65" s="1"/>
      <c r="L65" s="2">
        <f t="shared" ref="L65:L70" si="5">L84+L98+L111+L143+L156</f>
        <v>10024443</v>
      </c>
      <c r="M65" s="279"/>
      <c r="N65" s="20"/>
      <c r="O65" s="38"/>
      <c r="P65" s="104"/>
      <c r="Q65" s="660"/>
      <c r="R65" s="11"/>
      <c r="S65" s="11"/>
      <c r="T65" s="11"/>
      <c r="U65" s="11"/>
      <c r="AC65" s="11"/>
      <c r="AD65" s="11"/>
      <c r="AE65" s="11"/>
      <c r="AF65" s="11"/>
      <c r="AG65" s="11"/>
      <c r="AH65" s="11"/>
      <c r="AJ65" s="42"/>
    </row>
    <row r="66" spans="1:36">
      <c r="A66" s="1" t="s">
        <v>177</v>
      </c>
      <c r="B66" s="1"/>
      <c r="C66" s="12">
        <f t="shared" si="1"/>
        <v>675973717.423473</v>
      </c>
      <c r="D66" s="162">
        <v>7.2759999999999998</v>
      </c>
      <c r="E66" s="1" t="s">
        <v>178</v>
      </c>
      <c r="F66" s="2">
        <f t="shared" si="2"/>
        <v>49183849</v>
      </c>
      <c r="G66" s="731">
        <v>7.5990000000000002</v>
      </c>
      <c r="H66" s="1" t="s">
        <v>178</v>
      </c>
      <c r="I66" s="2">
        <f t="shared" si="3"/>
        <v>51367242</v>
      </c>
      <c r="J66" s="162">
        <f ca="1">ROUND(G66+($O$63/$C$75)*100,3)</f>
        <v>7.5819999999999999</v>
      </c>
      <c r="K66" s="1" t="s">
        <v>178</v>
      </c>
      <c r="L66" s="2">
        <f t="shared" ca="1" si="5"/>
        <v>51252327</v>
      </c>
      <c r="M66" s="11"/>
      <c r="N66" s="11"/>
      <c r="O66" s="17"/>
      <c r="P66" s="104"/>
      <c r="Q66" s="510"/>
      <c r="R66" s="300"/>
      <c r="S66" s="11"/>
      <c r="T66" s="300"/>
      <c r="U66" s="11"/>
      <c r="V66" s="42"/>
      <c r="W66" s="42"/>
      <c r="X66" s="243"/>
      <c r="Y66" s="243"/>
      <c r="AA66" s="192"/>
      <c r="AC66" s="11"/>
      <c r="AD66" s="11"/>
      <c r="AE66" s="11"/>
      <c r="AF66" s="11"/>
      <c r="AG66" s="11"/>
      <c r="AH66" s="11"/>
      <c r="AJ66" s="42"/>
    </row>
    <row r="67" spans="1:36">
      <c r="A67" s="1" t="s">
        <v>179</v>
      </c>
      <c r="B67" s="1"/>
      <c r="C67" s="12">
        <f t="shared" si="1"/>
        <v>869356277.72312701</v>
      </c>
      <c r="D67" s="162">
        <v>10.198</v>
      </c>
      <c r="E67" s="1" t="s">
        <v>178</v>
      </c>
      <c r="F67" s="2">
        <f t="shared" si="2"/>
        <v>88656954</v>
      </c>
      <c r="G67" s="731">
        <v>10.521000000000001</v>
      </c>
      <c r="H67" s="1" t="s">
        <v>178</v>
      </c>
      <c r="I67" s="2">
        <f t="shared" si="3"/>
        <v>91464973</v>
      </c>
      <c r="J67" s="162">
        <f ca="1">ROUND(G67+($O$63/$C$75)*100,3)</f>
        <v>10.504</v>
      </c>
      <c r="K67" s="1" t="s">
        <v>178</v>
      </c>
      <c r="L67" s="2">
        <f t="shared" ca="1" si="5"/>
        <v>91317183</v>
      </c>
      <c r="M67" s="279"/>
      <c r="N67" s="20"/>
      <c r="O67" s="38"/>
      <c r="P67" s="104"/>
      <c r="Q67" s="510"/>
      <c r="R67" s="510"/>
      <c r="S67" s="662"/>
      <c r="T67" s="662"/>
      <c r="U67" s="11"/>
      <c r="V67" s="49"/>
      <c r="W67" s="49"/>
      <c r="X67" s="101"/>
      <c r="AC67" s="11"/>
      <c r="AD67" s="11"/>
      <c r="AE67" s="11"/>
      <c r="AF67" s="11"/>
      <c r="AG67" s="11"/>
      <c r="AH67" s="11"/>
      <c r="AJ67" s="42"/>
    </row>
    <row r="68" spans="1:36">
      <c r="A68" s="1" t="s">
        <v>181</v>
      </c>
      <c r="B68" s="1"/>
      <c r="C68" s="12">
        <f t="shared" si="1"/>
        <v>4989</v>
      </c>
      <c r="D68" s="164">
        <v>1.78</v>
      </c>
      <c r="E68" s="1"/>
      <c r="F68" s="2">
        <f t="shared" si="2"/>
        <v>8880</v>
      </c>
      <c r="G68" s="506">
        <v>1.78</v>
      </c>
      <c r="H68" s="1"/>
      <c r="I68" s="2">
        <f t="shared" si="3"/>
        <v>8880</v>
      </c>
      <c r="J68" s="161">
        <f t="shared" ref="J68:J69" si="6">G68</f>
        <v>1.78</v>
      </c>
      <c r="K68" s="1"/>
      <c r="L68" s="2">
        <f t="shared" si="5"/>
        <v>8880</v>
      </c>
      <c r="M68" s="11"/>
      <c r="N68" s="11"/>
      <c r="O68" s="38"/>
      <c r="P68" s="104"/>
      <c r="Q68" s="38"/>
      <c r="R68" s="11"/>
      <c r="S68" s="11"/>
      <c r="T68" s="11"/>
      <c r="U68" s="11"/>
      <c r="V68" s="42"/>
      <c r="W68" s="42"/>
      <c r="X68" s="101"/>
      <c r="AC68" s="11"/>
      <c r="AD68" s="11"/>
      <c r="AE68" s="11"/>
      <c r="AF68" s="11"/>
      <c r="AG68" s="11"/>
      <c r="AH68" s="11"/>
      <c r="AJ68" s="42"/>
    </row>
    <row r="69" spans="1:36">
      <c r="A69" s="166" t="s">
        <v>183</v>
      </c>
      <c r="B69" s="166"/>
      <c r="C69" s="12">
        <f t="shared" si="1"/>
        <v>696</v>
      </c>
      <c r="D69" s="164">
        <v>3.5</v>
      </c>
      <c r="E69" s="166"/>
      <c r="F69" s="2">
        <f t="shared" si="2"/>
        <v>2436</v>
      </c>
      <c r="G69" s="506">
        <v>3.5</v>
      </c>
      <c r="H69" s="166"/>
      <c r="I69" s="2">
        <f t="shared" si="3"/>
        <v>2436</v>
      </c>
      <c r="J69" s="161">
        <f t="shared" si="6"/>
        <v>3.5</v>
      </c>
      <c r="K69" s="166"/>
      <c r="L69" s="2">
        <f t="shared" si="5"/>
        <v>2436</v>
      </c>
      <c r="M69" s="11"/>
      <c r="N69" s="11"/>
      <c r="O69" s="38"/>
      <c r="P69" s="104"/>
      <c r="Q69" s="38"/>
      <c r="R69" s="11"/>
      <c r="S69" s="11"/>
      <c r="T69" s="11"/>
      <c r="U69" s="11"/>
      <c r="AC69" s="11"/>
      <c r="AD69" s="11"/>
      <c r="AE69" s="11"/>
      <c r="AF69" s="11"/>
      <c r="AG69" s="11"/>
      <c r="AH69" s="11"/>
      <c r="AJ69" s="42"/>
    </row>
    <row r="70" spans="1:36" hidden="1">
      <c r="A70" s="166" t="s">
        <v>184</v>
      </c>
      <c r="B70" s="166"/>
      <c r="C70" s="12">
        <f t="shared" si="1"/>
        <v>89</v>
      </c>
      <c r="D70" s="167">
        <v>-1.78</v>
      </c>
      <c r="E70" s="166"/>
      <c r="F70" s="2">
        <f t="shared" si="2"/>
        <v>-159</v>
      </c>
      <c r="G70" s="506">
        <v>-1.78</v>
      </c>
      <c r="H70" s="166"/>
      <c r="I70" s="2">
        <f t="shared" si="3"/>
        <v>-159</v>
      </c>
      <c r="J70" s="167">
        <f>-J68</f>
        <v>-1.78</v>
      </c>
      <c r="K70" s="166"/>
      <c r="L70" s="2">
        <f t="shared" si="5"/>
        <v>-159</v>
      </c>
      <c r="M70" s="11"/>
      <c r="N70" s="11"/>
      <c r="O70" s="38"/>
      <c r="P70" s="104"/>
      <c r="Q70" s="38"/>
      <c r="R70" s="11"/>
      <c r="S70" s="11"/>
      <c r="T70" s="11"/>
      <c r="U70" s="11"/>
      <c r="AC70" s="11"/>
      <c r="AD70" s="11"/>
      <c r="AE70" s="11"/>
      <c r="AF70" s="11"/>
      <c r="AG70" s="11"/>
      <c r="AH70" s="11"/>
      <c r="AJ70" s="42"/>
    </row>
    <row r="71" spans="1:36" s="545" customFormat="1" hidden="1">
      <c r="A71" s="524" t="s">
        <v>483</v>
      </c>
      <c r="C71" s="552">
        <f>C66</f>
        <v>675973717.423473</v>
      </c>
      <c r="D71" s="162">
        <v>0</v>
      </c>
      <c r="E71" s="1" t="s">
        <v>178</v>
      </c>
      <c r="F71" s="548"/>
      <c r="G71" s="731">
        <v>0</v>
      </c>
      <c r="H71" s="551" t="s">
        <v>178</v>
      </c>
      <c r="I71" s="548"/>
      <c r="J71" s="162">
        <v>0</v>
      </c>
      <c r="K71" s="551" t="s">
        <v>178</v>
      </c>
      <c r="L71" s="548"/>
      <c r="M71" s="555"/>
      <c r="N71" s="555"/>
      <c r="O71" s="315"/>
      <c r="P71" s="104"/>
      <c r="Q71" s="546"/>
      <c r="R71" s="700"/>
      <c r="S71" s="700"/>
      <c r="T71" s="546"/>
      <c r="U71" s="546"/>
      <c r="X71" s="546"/>
      <c r="Y71" s="546"/>
      <c r="Z71" s="546"/>
      <c r="AA71" s="546"/>
      <c r="AB71" s="546"/>
      <c r="AC71" s="546"/>
      <c r="AD71" s="546"/>
      <c r="AE71" s="546"/>
      <c r="AF71" s="546"/>
      <c r="AG71" s="546"/>
      <c r="AH71" s="546"/>
      <c r="AJ71" s="549"/>
    </row>
    <row r="72" spans="1:36" s="545" customFormat="1" hidden="1">
      <c r="A72" s="524" t="s">
        <v>484</v>
      </c>
      <c r="C72" s="552">
        <f>C67</f>
        <v>869356277.72312701</v>
      </c>
      <c r="D72" s="162">
        <v>0</v>
      </c>
      <c r="E72" s="1" t="s">
        <v>178</v>
      </c>
      <c r="F72" s="548"/>
      <c r="G72" s="731">
        <v>0</v>
      </c>
      <c r="H72" s="551" t="s">
        <v>178</v>
      </c>
      <c r="I72" s="548"/>
      <c r="J72" s="162">
        <v>0</v>
      </c>
      <c r="K72" s="551" t="s">
        <v>178</v>
      </c>
      <c r="L72" s="548"/>
      <c r="M72" s="555"/>
      <c r="N72" s="555"/>
      <c r="O72" s="315"/>
      <c r="P72" s="104"/>
      <c r="Q72" s="546"/>
      <c r="R72" s="510"/>
      <c r="S72" s="700"/>
      <c r="T72" s="546"/>
      <c r="U72" s="546"/>
      <c r="X72" s="546"/>
      <c r="Y72" s="546"/>
      <c r="Z72" s="546"/>
      <c r="AA72" s="546"/>
      <c r="AB72" s="546"/>
      <c r="AC72" s="546"/>
      <c r="AD72" s="546"/>
      <c r="AE72" s="546"/>
      <c r="AF72" s="546"/>
      <c r="AG72" s="546"/>
      <c r="AH72" s="546"/>
      <c r="AJ72" s="549"/>
    </row>
    <row r="73" spans="1:36" s="545" customFormat="1" hidden="1">
      <c r="A73" s="607" t="s">
        <v>479</v>
      </c>
      <c r="B73" s="608"/>
      <c r="C73" s="609"/>
      <c r="D73" s="611">
        <f>D66</f>
        <v>7.2759999999999998</v>
      </c>
      <c r="E73" s="612" t="s">
        <v>178</v>
      </c>
      <c r="F73" s="610"/>
      <c r="G73" s="732">
        <v>7.5990000000000002</v>
      </c>
      <c r="H73" s="612" t="s">
        <v>178</v>
      </c>
      <c r="I73" s="610"/>
      <c r="J73" s="611">
        <f ca="1">J66</f>
        <v>7.5819999999999999</v>
      </c>
      <c r="K73" s="612" t="s">
        <v>178</v>
      </c>
      <c r="L73" s="610"/>
      <c r="M73" s="555"/>
      <c r="N73" s="555"/>
      <c r="O73" s="315"/>
      <c r="P73" s="104"/>
      <c r="Q73" s="546"/>
      <c r="R73" s="700"/>
      <c r="S73" s="700"/>
      <c r="T73" s="546"/>
      <c r="U73" s="546"/>
      <c r="X73" s="546"/>
      <c r="Y73" s="546"/>
      <c r="Z73" s="546"/>
      <c r="AA73" s="546"/>
      <c r="AB73" s="546"/>
      <c r="AC73" s="546"/>
      <c r="AD73" s="546"/>
      <c r="AE73" s="546"/>
      <c r="AF73" s="546"/>
      <c r="AG73" s="546"/>
      <c r="AH73" s="546"/>
      <c r="AJ73" s="549"/>
    </row>
    <row r="74" spans="1:36" s="545" customFormat="1" hidden="1">
      <c r="A74" s="607" t="s">
        <v>480</v>
      </c>
      <c r="B74" s="608"/>
      <c r="C74" s="609"/>
      <c r="D74" s="611">
        <f>D67</f>
        <v>10.198</v>
      </c>
      <c r="E74" s="612" t="s">
        <v>178</v>
      </c>
      <c r="F74" s="610"/>
      <c r="G74" s="732">
        <v>10.521000000000001</v>
      </c>
      <c r="H74" s="612" t="s">
        <v>178</v>
      </c>
      <c r="I74" s="610"/>
      <c r="J74" s="611">
        <f ca="1">J67</f>
        <v>10.504</v>
      </c>
      <c r="K74" s="612" t="s">
        <v>178</v>
      </c>
      <c r="L74" s="610"/>
      <c r="M74" s="555"/>
      <c r="N74" s="555"/>
      <c r="O74" s="315"/>
      <c r="P74" s="104"/>
      <c r="Q74" s="546"/>
      <c r="R74" s="510"/>
      <c r="S74" s="700"/>
      <c r="T74" s="546"/>
      <c r="U74" s="546"/>
      <c r="X74" s="546"/>
      <c r="Y74" s="546"/>
      <c r="Z74" s="546"/>
      <c r="AA74" s="546"/>
      <c r="AB74" s="546"/>
      <c r="AC74" s="546"/>
      <c r="AD74" s="546"/>
      <c r="AE74" s="546"/>
      <c r="AF74" s="546"/>
      <c r="AG74" s="546"/>
      <c r="AH74" s="546"/>
      <c r="AJ74" s="549"/>
    </row>
    <row r="75" spans="1:36">
      <c r="A75" s="1" t="s">
        <v>185</v>
      </c>
      <c r="B75" s="168"/>
      <c r="C75" s="12">
        <f>C90+C104+C117+C149+C162</f>
        <v>1545329995.1466</v>
      </c>
      <c r="D75" s="518"/>
      <c r="E75" s="2"/>
      <c r="F75" s="2">
        <f>F90+F104+F117+F149+F162</f>
        <v>147876403</v>
      </c>
      <c r="G75" s="516"/>
      <c r="H75" s="2"/>
      <c r="I75" s="2">
        <f>I90+I104+I117+I149+I162</f>
        <v>152867815</v>
      </c>
      <c r="J75" s="2"/>
      <c r="K75" s="2"/>
      <c r="L75" s="2">
        <f ca="1">L90+L104+L117+L149+L162</f>
        <v>152605110</v>
      </c>
      <c r="M75" s="20"/>
      <c r="N75" s="20"/>
      <c r="O75" s="38"/>
      <c r="P75" s="104"/>
      <c r="Q75" s="38"/>
      <c r="R75" s="11"/>
      <c r="S75" s="11"/>
      <c r="T75" s="11"/>
      <c r="U75" s="11"/>
      <c r="AC75" s="11"/>
      <c r="AD75" s="11"/>
      <c r="AE75" s="11"/>
      <c r="AF75" s="11"/>
      <c r="AG75" s="11"/>
      <c r="AH75" s="11"/>
      <c r="AJ75" s="42"/>
    </row>
    <row r="76" spans="1:36">
      <c r="A76" s="1" t="s">
        <v>167</v>
      </c>
      <c r="B76" s="170"/>
      <c r="C76" s="171">
        <f>C91+C105+C118+C150+C163</f>
        <v>-20611783.272717644</v>
      </c>
      <c r="D76" s="172"/>
      <c r="E76" s="172"/>
      <c r="F76" s="173">
        <f>F91+F105+F118+F150+F163</f>
        <v>579427.06268736452</v>
      </c>
      <c r="G76" s="284"/>
      <c r="H76" s="172"/>
      <c r="I76" s="173">
        <f>I91+I105+I118+I150+I163</f>
        <v>579427.06268736452</v>
      </c>
      <c r="J76" s="172"/>
      <c r="K76" s="172"/>
      <c r="L76" s="173">
        <f>L91+L105+L118+L150+L163</f>
        <v>579427.06268736452</v>
      </c>
      <c r="M76" s="11"/>
      <c r="N76" s="11"/>
      <c r="O76" s="38"/>
      <c r="P76" s="38"/>
      <c r="Q76" s="38"/>
      <c r="R76" s="11"/>
      <c r="S76" s="11"/>
      <c r="T76" s="11"/>
      <c r="U76" s="11"/>
      <c r="AC76" s="11"/>
      <c r="AD76" s="11"/>
      <c r="AE76" s="11"/>
      <c r="AF76" s="11"/>
      <c r="AG76" s="11"/>
      <c r="AH76" s="11"/>
      <c r="AJ76" s="42"/>
    </row>
    <row r="77" spans="1:36" ht="16.5" thickBot="1">
      <c r="A77" s="1" t="s">
        <v>186</v>
      </c>
      <c r="B77" s="1"/>
      <c r="C77" s="174">
        <f>C75+C76</f>
        <v>1524718211.8738823</v>
      </c>
      <c r="D77" s="175"/>
      <c r="E77" s="175"/>
      <c r="F77" s="175">
        <f>F75+F76</f>
        <v>148455830.06268737</v>
      </c>
      <c r="G77" s="730"/>
      <c r="H77" s="175"/>
      <c r="I77" s="175">
        <f>I75+I76</f>
        <v>153447242.06268737</v>
      </c>
      <c r="J77" s="175"/>
      <c r="K77" s="175"/>
      <c r="L77" s="175">
        <f ca="1">L75+L76</f>
        <v>153184537.06268737</v>
      </c>
      <c r="M77" s="279"/>
      <c r="N77" s="11"/>
      <c r="O77" s="133"/>
      <c r="P77" s="500"/>
      <c r="Q77" s="500"/>
      <c r="R77" s="6"/>
      <c r="S77" s="6"/>
      <c r="T77" s="11"/>
      <c r="U77" s="11"/>
      <c r="AC77" s="11"/>
      <c r="AD77" s="11"/>
      <c r="AE77" s="11"/>
      <c r="AF77" s="11"/>
      <c r="AG77" s="11"/>
      <c r="AH77" s="11"/>
      <c r="AJ77" s="42"/>
    </row>
    <row r="78" spans="1:36" ht="16.5" thickTop="1">
      <c r="A78" s="1"/>
      <c r="B78" s="1"/>
      <c r="C78" s="685" t="s">
        <v>13</v>
      </c>
      <c r="D78" s="20"/>
      <c r="E78" s="20"/>
      <c r="F78" s="20"/>
      <c r="G78" s="622"/>
      <c r="H78" s="20"/>
      <c r="I78" s="20" t="s">
        <v>13</v>
      </c>
      <c r="J78" s="20"/>
      <c r="K78" s="20"/>
      <c r="L78" s="20" t="s">
        <v>13</v>
      </c>
      <c r="M78" s="11"/>
      <c r="N78" s="11"/>
      <c r="O78" s="279"/>
      <c r="P78" s="6"/>
      <c r="Q78" s="500"/>
      <c r="R78" s="6"/>
      <c r="S78" s="6"/>
      <c r="T78" s="11"/>
      <c r="U78" s="11"/>
      <c r="AC78" s="11"/>
      <c r="AD78" s="11"/>
      <c r="AE78" s="11"/>
      <c r="AF78" s="11"/>
      <c r="AG78" s="11"/>
      <c r="AH78" s="11"/>
      <c r="AJ78" s="42"/>
    </row>
    <row r="79" spans="1:36" hidden="1">
      <c r="A79" s="1"/>
      <c r="B79" s="1"/>
      <c r="C79" s="213"/>
      <c r="D79" s="20"/>
      <c r="E79" s="20"/>
      <c r="F79" s="20"/>
      <c r="G79" s="622"/>
      <c r="H79" s="20"/>
      <c r="I79" s="20"/>
      <c r="J79" s="20"/>
      <c r="K79" s="20"/>
      <c r="L79" s="20"/>
      <c r="M79" s="11"/>
      <c r="N79" s="11"/>
      <c r="O79" s="38"/>
      <c r="P79" s="38"/>
      <c r="Q79" s="500"/>
      <c r="R79" s="6"/>
      <c r="S79" s="6"/>
      <c r="T79" s="11"/>
      <c r="U79" s="11"/>
      <c r="AC79" s="11"/>
      <c r="AD79" s="11"/>
      <c r="AE79" s="11"/>
      <c r="AF79" s="11"/>
      <c r="AG79" s="11"/>
      <c r="AH79" s="11"/>
      <c r="AJ79" s="42"/>
    </row>
    <row r="80" spans="1:36" hidden="1">
      <c r="A80" s="1"/>
      <c r="B80" s="176"/>
      <c r="C80" s="12"/>
      <c r="D80" s="1" t="s">
        <v>13</v>
      </c>
      <c r="E80" s="1"/>
      <c r="G80" s="284" t="s">
        <v>13</v>
      </c>
      <c r="H80" s="1"/>
      <c r="I80" s="2"/>
      <c r="J80" s="1" t="s">
        <v>13</v>
      </c>
      <c r="K80" s="1"/>
      <c r="L80" s="2"/>
      <c r="M80" s="11"/>
      <c r="N80" s="11"/>
      <c r="O80" s="38"/>
      <c r="P80" s="38"/>
      <c r="Q80" s="509"/>
      <c r="R80" s="11"/>
      <c r="S80" s="11"/>
      <c r="T80" s="11"/>
      <c r="U80" s="11"/>
      <c r="AC80" s="11"/>
      <c r="AD80" s="11"/>
      <c r="AE80" s="11"/>
      <c r="AF80" s="11"/>
      <c r="AG80" s="11"/>
      <c r="AH80" s="11"/>
      <c r="AJ80" s="42"/>
    </row>
    <row r="81" spans="1:36" hidden="1">
      <c r="A81" s="156" t="s">
        <v>187</v>
      </c>
      <c r="B81" s="1"/>
      <c r="C81" s="1" t="s">
        <v>13</v>
      </c>
      <c r="D81" s="12"/>
      <c r="E81" s="1"/>
      <c r="F81" s="1"/>
      <c r="G81" s="28"/>
      <c r="H81" s="1"/>
      <c r="I81" s="628" t="s">
        <v>13</v>
      </c>
      <c r="J81" s="12"/>
      <c r="K81" s="1"/>
      <c r="L81" s="628" t="s">
        <v>13</v>
      </c>
      <c r="M81" s="20"/>
      <c r="N81" s="20"/>
      <c r="O81" s="20"/>
      <c r="P81" s="20"/>
      <c r="Q81" s="14"/>
      <c r="R81" s="11"/>
      <c r="S81" s="20"/>
      <c r="T81" s="14"/>
      <c r="U81" s="14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J81" s="42"/>
    </row>
    <row r="82" spans="1:36" hidden="1">
      <c r="A82" s="1" t="s">
        <v>135</v>
      </c>
      <c r="B82" s="1"/>
      <c r="C82" s="1" t="s">
        <v>13</v>
      </c>
      <c r="D82" s="12"/>
      <c r="E82" s="1"/>
      <c r="F82" s="1"/>
      <c r="G82" s="28"/>
      <c r="H82" s="1"/>
      <c r="I82" s="1"/>
      <c r="J82" s="12"/>
      <c r="K82" s="1"/>
      <c r="L82" s="1"/>
      <c r="M82" s="11"/>
      <c r="N82" s="11"/>
      <c r="O82" s="38"/>
      <c r="P82" s="38"/>
      <c r="Q82" s="38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J82" s="42"/>
    </row>
    <row r="83" spans="1:36" hidden="1">
      <c r="A83" s="211"/>
      <c r="B83" s="1"/>
      <c r="C83" s="1"/>
      <c r="D83" s="12"/>
      <c r="E83" s="1"/>
      <c r="F83" s="1"/>
      <c r="G83" s="28"/>
      <c r="H83" s="1"/>
      <c r="I83" s="1"/>
      <c r="J83" s="12"/>
      <c r="K83" s="1"/>
      <c r="L83" s="1"/>
      <c r="M83" s="11"/>
      <c r="N83" s="11"/>
      <c r="O83" s="38"/>
      <c r="P83" s="38"/>
      <c r="Q83" s="38"/>
      <c r="R83" s="6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J83" s="42"/>
    </row>
    <row r="84" spans="1:36" hidden="1">
      <c r="A84" s="1" t="s">
        <v>174</v>
      </c>
      <c r="B84" s="1"/>
      <c r="C84" s="12">
        <v>1217910.59483868</v>
      </c>
      <c r="D84" s="161">
        <f>$D$65</f>
        <v>7.75</v>
      </c>
      <c r="E84" s="1"/>
      <c r="F84" s="2">
        <f>ROUND(D84*C84,0)</f>
        <v>9438807</v>
      </c>
      <c r="G84" s="506">
        <v>7.75</v>
      </c>
      <c r="H84" s="1"/>
      <c r="I84" s="2">
        <f>ROUND(G84*$C84,0)</f>
        <v>9438807</v>
      </c>
      <c r="J84" s="161">
        <f t="shared" ref="J84" si="7">G84</f>
        <v>7.75</v>
      </c>
      <c r="K84" s="1"/>
      <c r="L84" s="2">
        <f>ROUND(J84*$C84,0)</f>
        <v>9438807</v>
      </c>
      <c r="M84" s="11"/>
      <c r="N84" s="11"/>
      <c r="O84" s="38"/>
      <c r="P84" s="38"/>
      <c r="Q84" s="38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J84" s="42"/>
    </row>
    <row r="85" spans="1:36" hidden="1">
      <c r="A85" s="1" t="s">
        <v>177</v>
      </c>
      <c r="B85" s="1"/>
      <c r="C85" s="12">
        <v>638778486.29178238</v>
      </c>
      <c r="D85" s="162">
        <f>$D$66</f>
        <v>7.2759999999999998</v>
      </c>
      <c r="E85" s="1" t="s">
        <v>178</v>
      </c>
      <c r="F85" s="2">
        <f>ROUND(C85*D85/100,0)</f>
        <v>46477523</v>
      </c>
      <c r="G85" s="731">
        <v>7.5990000000000002</v>
      </c>
      <c r="H85" s="1" t="s">
        <v>178</v>
      </c>
      <c r="I85" s="2">
        <f>ROUND(G85*$C85/100,0)</f>
        <v>48540777</v>
      </c>
      <c r="J85" s="162">
        <f ca="1">$J$66</f>
        <v>7.5819999999999999</v>
      </c>
      <c r="K85" s="1" t="s">
        <v>178</v>
      </c>
      <c r="L85" s="2">
        <f ca="1">ROUND(J85*$C85/100,0)</f>
        <v>48432185</v>
      </c>
      <c r="M85" s="11"/>
      <c r="N85" s="11"/>
      <c r="O85" s="38"/>
      <c r="P85" s="38"/>
      <c r="Q85" s="38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J85" s="42"/>
    </row>
    <row r="86" spans="1:36" hidden="1">
      <c r="A86" s="1" t="s">
        <v>179</v>
      </c>
      <c r="B86" s="12"/>
      <c r="C86" s="12">
        <v>815713648.78439105</v>
      </c>
      <c r="D86" s="162">
        <f>$D$67</f>
        <v>10.198</v>
      </c>
      <c r="E86" s="1" t="s">
        <v>178</v>
      </c>
      <c r="F86" s="2">
        <f>ROUND(C86*D86/100,0)</f>
        <v>83186478</v>
      </c>
      <c r="G86" s="731">
        <v>10.521000000000001</v>
      </c>
      <c r="H86" s="1" t="s">
        <v>178</v>
      </c>
      <c r="I86" s="2">
        <f>ROUND(G86*$C86/100,0)</f>
        <v>85821233</v>
      </c>
      <c r="J86" s="162">
        <f ca="1">$J$67</f>
        <v>10.504</v>
      </c>
      <c r="K86" s="1" t="s">
        <v>178</v>
      </c>
      <c r="L86" s="2">
        <f ca="1">ROUND(J86*$C86/100,0)</f>
        <v>85682562</v>
      </c>
      <c r="M86" s="11"/>
      <c r="N86" s="11"/>
      <c r="O86" s="38"/>
      <c r="P86" s="38"/>
      <c r="Q86" s="38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J86" s="42"/>
    </row>
    <row r="87" spans="1:36" hidden="1">
      <c r="A87" s="1" t="s">
        <v>181</v>
      </c>
      <c r="B87" s="1"/>
      <c r="C87" s="12">
        <v>0</v>
      </c>
      <c r="D87" s="164">
        <f>$D$68</f>
        <v>1.78</v>
      </c>
      <c r="E87" s="1"/>
      <c r="F87" s="2">
        <v>0</v>
      </c>
      <c r="G87" s="506">
        <v>1.78</v>
      </c>
      <c r="H87" s="1"/>
      <c r="I87" s="2">
        <f>ROUND(G87*$C87,0)</f>
        <v>0</v>
      </c>
      <c r="J87" s="164">
        <f t="shared" ref="J87:J88" si="8">G87</f>
        <v>1.78</v>
      </c>
      <c r="K87" s="1"/>
      <c r="L87" s="2">
        <f>ROUND(J87*$C87,0)</f>
        <v>0</v>
      </c>
      <c r="M87" s="11"/>
      <c r="N87" s="11"/>
      <c r="O87" s="38"/>
      <c r="P87" s="38"/>
      <c r="Q87" s="38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J87" s="42"/>
    </row>
    <row r="88" spans="1:36" hidden="1">
      <c r="A88" s="166" t="s">
        <v>183</v>
      </c>
      <c r="B88" s="166"/>
      <c r="C88" s="12">
        <v>0</v>
      </c>
      <c r="D88" s="164">
        <f>$D$69</f>
        <v>3.5</v>
      </c>
      <c r="E88" s="166"/>
      <c r="F88" s="2">
        <v>0</v>
      </c>
      <c r="G88" s="506">
        <v>3.5</v>
      </c>
      <c r="H88" s="166"/>
      <c r="I88" s="2">
        <f>ROUND(G88*$C88,0)</f>
        <v>0</v>
      </c>
      <c r="J88" s="164">
        <f t="shared" si="8"/>
        <v>3.5</v>
      </c>
      <c r="K88" s="166"/>
      <c r="L88" s="2">
        <f>ROUND(J88*$C88,0)</f>
        <v>0</v>
      </c>
      <c r="M88" s="11"/>
      <c r="N88" s="11"/>
      <c r="O88" s="38"/>
      <c r="P88" s="38"/>
      <c r="Q88" s="38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J88" s="42"/>
    </row>
    <row r="89" spans="1:36" hidden="1">
      <c r="A89" s="166" t="s">
        <v>184</v>
      </c>
      <c r="B89" s="166"/>
      <c r="C89" s="12">
        <v>0</v>
      </c>
      <c r="D89" s="167">
        <f>$D$70</f>
        <v>-1.78</v>
      </c>
      <c r="E89" s="166"/>
      <c r="F89" s="2">
        <v>0</v>
      </c>
      <c r="G89" s="506">
        <v>-1.78</v>
      </c>
      <c r="H89" s="166"/>
      <c r="I89" s="2">
        <f>ROUND(G89*$C89,0)</f>
        <v>0</v>
      </c>
      <c r="J89" s="167">
        <f>-J87</f>
        <v>-1.78</v>
      </c>
      <c r="K89" s="166"/>
      <c r="L89" s="2">
        <f>ROUND(J89*$C89,0)</f>
        <v>0</v>
      </c>
      <c r="M89" s="11"/>
      <c r="N89" s="11"/>
      <c r="O89" s="38"/>
      <c r="P89" s="38"/>
      <c r="Q89" s="38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J89" s="42"/>
    </row>
    <row r="90" spans="1:36" hidden="1">
      <c r="A90" s="1" t="s">
        <v>185</v>
      </c>
      <c r="B90" s="168"/>
      <c r="C90" s="12">
        <f>SUM(C85:C86)</f>
        <v>1454492135.0761733</v>
      </c>
      <c r="D90" s="518"/>
      <c r="E90" s="2"/>
      <c r="F90" s="2">
        <f>SUM(F84:F89)</f>
        <v>139102808</v>
      </c>
      <c r="G90" s="516"/>
      <c r="H90" s="2"/>
      <c r="I90" s="2">
        <f>SUM(I84:I89)</f>
        <v>143800817</v>
      </c>
      <c r="J90" s="2"/>
      <c r="K90" s="2"/>
      <c r="L90" s="2">
        <f ca="1">SUM(L84:L89)</f>
        <v>143553554</v>
      </c>
      <c r="M90" s="11"/>
      <c r="N90" s="11"/>
      <c r="O90" s="20"/>
      <c r="P90" s="38"/>
      <c r="Q90" s="38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J90" s="42"/>
    </row>
    <row r="91" spans="1:36" hidden="1">
      <c r="A91" s="1" t="s">
        <v>167</v>
      </c>
      <c r="B91" s="170"/>
      <c r="C91" s="180">
        <v>-19398896.755837858</v>
      </c>
      <c r="D91" s="172"/>
      <c r="E91" s="172"/>
      <c r="F91" s="173">
        <v>545022.73549619329</v>
      </c>
      <c r="G91" s="284"/>
      <c r="H91" s="172"/>
      <c r="I91" s="173">
        <f>F91</f>
        <v>545022.73549619329</v>
      </c>
      <c r="J91" s="172"/>
      <c r="K91" s="172"/>
      <c r="L91" s="173">
        <f>I91</f>
        <v>545022.73549619329</v>
      </c>
      <c r="M91" s="307"/>
      <c r="N91" s="307"/>
      <c r="O91" s="150"/>
      <c r="P91" s="38"/>
      <c r="Q91" s="38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J91" s="42"/>
    </row>
    <row r="92" spans="1:36" ht="16.5" hidden="1" thickBot="1">
      <c r="A92" s="1" t="s">
        <v>186</v>
      </c>
      <c r="B92" s="1"/>
      <c r="C92" s="174">
        <f>C90+C91</f>
        <v>1435093238.3203354</v>
      </c>
      <c r="D92" s="175"/>
      <c r="E92" s="175"/>
      <c r="F92" s="175">
        <f>SUM(F90:F91)</f>
        <v>139647830.73549619</v>
      </c>
      <c r="G92" s="730"/>
      <c r="H92" s="175"/>
      <c r="I92" s="175">
        <f>I90+I91</f>
        <v>144345839.73549619</v>
      </c>
      <c r="J92" s="175"/>
      <c r="K92" s="175"/>
      <c r="L92" s="175">
        <f ca="1">L90+L91</f>
        <v>144098576.73549619</v>
      </c>
      <c r="M92" s="274"/>
      <c r="N92" s="274"/>
      <c r="O92" s="333"/>
      <c r="P92" s="38"/>
      <c r="Q92" s="38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J92" s="42"/>
    </row>
    <row r="93" spans="1:36" ht="16.5" hidden="1" thickTop="1">
      <c r="A93" s="1"/>
      <c r="B93" s="176"/>
      <c r="C93" s="12" t="s">
        <v>13</v>
      </c>
      <c r="D93" s="1" t="s">
        <v>13</v>
      </c>
      <c r="E93" s="1"/>
      <c r="F93" s="42" t="s">
        <v>13</v>
      </c>
      <c r="G93" s="284" t="s">
        <v>13</v>
      </c>
      <c r="H93" s="1"/>
      <c r="I93" s="2" t="s">
        <v>13</v>
      </c>
      <c r="J93" s="1" t="s">
        <v>13</v>
      </c>
      <c r="K93" s="1"/>
      <c r="L93" s="2" t="s">
        <v>13</v>
      </c>
      <c r="M93" s="11"/>
      <c r="N93" s="11"/>
      <c r="O93" s="38"/>
      <c r="P93" s="38"/>
      <c r="Q93" s="38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J93" s="42"/>
    </row>
    <row r="94" spans="1:36" hidden="1">
      <c r="A94" s="1"/>
      <c r="B94" s="176"/>
      <c r="C94" s="12" t="s">
        <v>13</v>
      </c>
      <c r="D94" s="1" t="s">
        <v>13</v>
      </c>
      <c r="E94" s="1"/>
      <c r="G94" s="284" t="s">
        <v>13</v>
      </c>
      <c r="H94" s="1"/>
      <c r="I94" s="2"/>
      <c r="J94" s="1" t="s">
        <v>13</v>
      </c>
      <c r="K94" s="1"/>
      <c r="L94" s="2"/>
      <c r="M94" s="549"/>
      <c r="N94" s="549"/>
      <c r="O94" s="549"/>
      <c r="P94" s="549"/>
      <c r="Q94" s="509"/>
      <c r="AC94" s="11"/>
      <c r="AD94" s="11"/>
      <c r="AE94" s="11"/>
      <c r="AF94" s="11"/>
      <c r="AG94" s="11"/>
      <c r="AH94" s="11"/>
      <c r="AJ94" s="42"/>
    </row>
    <row r="95" spans="1:36" hidden="1">
      <c r="A95" s="156" t="s">
        <v>521</v>
      </c>
      <c r="B95" s="1"/>
      <c r="C95" s="1" t="s">
        <v>13</v>
      </c>
      <c r="D95" s="12"/>
      <c r="E95" s="1"/>
      <c r="F95" s="1"/>
      <c r="G95" s="28"/>
      <c r="H95" s="1"/>
      <c r="I95" s="628" t="s">
        <v>13</v>
      </c>
      <c r="J95" s="12"/>
      <c r="K95" s="1"/>
      <c r="L95" s="628" t="s">
        <v>13</v>
      </c>
      <c r="M95" s="2"/>
      <c r="N95" s="2"/>
      <c r="O95" s="2"/>
      <c r="P95" s="2"/>
      <c r="Q95" s="1"/>
      <c r="S95" s="2"/>
      <c r="T95" s="1" t="s">
        <v>13</v>
      </c>
      <c r="U95" s="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J95" s="42"/>
    </row>
    <row r="96" spans="1:36" hidden="1">
      <c r="A96" s="1" t="s">
        <v>135</v>
      </c>
      <c r="B96" s="1"/>
      <c r="C96" s="1" t="s">
        <v>13</v>
      </c>
      <c r="D96" s="12"/>
      <c r="E96" s="1"/>
      <c r="F96" s="1"/>
      <c r="G96" s="28"/>
      <c r="H96" s="1"/>
      <c r="I96" s="1"/>
      <c r="J96" s="12"/>
      <c r="K96" s="1"/>
      <c r="L96" s="1"/>
      <c r="M96" s="11"/>
      <c r="N96" s="11"/>
      <c r="O96" s="38"/>
      <c r="P96" s="38"/>
      <c r="Q96" s="38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J96" s="42"/>
    </row>
    <row r="97" spans="1:36" hidden="1">
      <c r="A97" s="211"/>
      <c r="B97" s="1"/>
      <c r="C97" s="1"/>
      <c r="D97" s="12"/>
      <c r="E97" s="1"/>
      <c r="F97" s="1"/>
      <c r="G97" s="28"/>
      <c r="H97" s="1"/>
      <c r="I97" s="1"/>
      <c r="J97" s="12"/>
      <c r="K97" s="1"/>
      <c r="L97" s="1"/>
      <c r="M97" s="11"/>
      <c r="N97" s="11"/>
      <c r="O97" s="38"/>
      <c r="P97" s="38"/>
      <c r="Q97" s="38"/>
      <c r="R97" s="6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J97" s="42"/>
    </row>
    <row r="98" spans="1:36" hidden="1">
      <c r="A98" s="1" t="s">
        <v>174</v>
      </c>
      <c r="B98" s="1"/>
      <c r="C98" s="12">
        <v>13729.1432258065</v>
      </c>
      <c r="D98" s="161">
        <f>$D$65</f>
        <v>7.75</v>
      </c>
      <c r="E98" s="1"/>
      <c r="F98" s="2">
        <f>ROUND(D98*C98,0)</f>
        <v>106401</v>
      </c>
      <c r="G98" s="506">
        <v>7.75</v>
      </c>
      <c r="H98" s="1"/>
      <c r="I98" s="2">
        <f>ROUND(G98*$C98,0)</f>
        <v>106401</v>
      </c>
      <c r="J98" s="161">
        <f>$G$65</f>
        <v>7.75</v>
      </c>
      <c r="K98" s="1"/>
      <c r="L98" s="2">
        <f>ROUND(J98*$C98,0)</f>
        <v>106401</v>
      </c>
      <c r="M98" s="11"/>
      <c r="N98" s="11"/>
      <c r="O98" s="38"/>
      <c r="P98" s="38"/>
      <c r="Q98" s="38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J98" s="42"/>
    </row>
    <row r="99" spans="1:36" hidden="1">
      <c r="A99" s="1" t="s">
        <v>177</v>
      </c>
      <c r="B99" s="1"/>
      <c r="C99" s="12">
        <v>4099624</v>
      </c>
      <c r="D99" s="162">
        <f>$D$66</f>
        <v>7.2759999999999998</v>
      </c>
      <c r="E99" s="1" t="s">
        <v>178</v>
      </c>
      <c r="F99" s="2">
        <f>ROUND(C99*D99/100,0)</f>
        <v>298289</v>
      </c>
      <c r="G99" s="731">
        <v>7.5990000000000002</v>
      </c>
      <c r="H99" s="1" t="s">
        <v>178</v>
      </c>
      <c r="I99" s="2">
        <f>ROUND(G99*$C99/100,0)</f>
        <v>311530</v>
      </c>
      <c r="J99" s="162">
        <f ca="1">$J$66</f>
        <v>7.5819999999999999</v>
      </c>
      <c r="K99" s="1" t="s">
        <v>178</v>
      </c>
      <c r="L99" s="2">
        <f ca="1">ROUND(J99*$C99/100,0)</f>
        <v>310833</v>
      </c>
      <c r="M99" s="11"/>
      <c r="N99" s="11"/>
      <c r="O99" s="38"/>
      <c r="P99" s="38"/>
      <c r="Q99" s="38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J99" s="42"/>
    </row>
    <row r="100" spans="1:36" hidden="1">
      <c r="A100" s="1" t="s">
        <v>179</v>
      </c>
      <c r="B100" s="12"/>
      <c r="C100" s="12">
        <v>8294016</v>
      </c>
      <c r="D100" s="162">
        <f>$D$67</f>
        <v>10.198</v>
      </c>
      <c r="E100" s="1" t="s">
        <v>178</v>
      </c>
      <c r="F100" s="2">
        <f>ROUND(C100*D100/100,0)</f>
        <v>845824</v>
      </c>
      <c r="G100" s="731">
        <v>10.521000000000001</v>
      </c>
      <c r="H100" s="1" t="s">
        <v>178</v>
      </c>
      <c r="I100" s="2">
        <f>ROUND(G100*$C100/100,0)</f>
        <v>872613</v>
      </c>
      <c r="J100" s="162">
        <f ca="1">$J$67</f>
        <v>10.504</v>
      </c>
      <c r="K100" s="1" t="s">
        <v>178</v>
      </c>
      <c r="L100" s="2">
        <f ca="1">ROUND(J100*$C100/100,0)</f>
        <v>871203</v>
      </c>
      <c r="M100" s="11"/>
      <c r="N100" s="11"/>
      <c r="O100" s="38"/>
      <c r="P100" s="38"/>
      <c r="Q100" s="38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J100" s="42"/>
    </row>
    <row r="101" spans="1:36" hidden="1">
      <c r="A101" s="1" t="s">
        <v>181</v>
      </c>
      <c r="B101" s="1"/>
      <c r="C101" s="12">
        <v>0</v>
      </c>
      <c r="D101" s="164">
        <f>$D$68</f>
        <v>1.78</v>
      </c>
      <c r="E101" s="1"/>
      <c r="F101" s="2">
        <v>0</v>
      </c>
      <c r="G101" s="506">
        <v>1.78</v>
      </c>
      <c r="H101" s="1"/>
      <c r="I101" s="2">
        <f>ROUND(G101*$C101,0)</f>
        <v>0</v>
      </c>
      <c r="J101" s="164">
        <f>$G$68</f>
        <v>1.78</v>
      </c>
      <c r="K101" s="1"/>
      <c r="L101" s="2">
        <f>ROUND(J101*$C101,0)</f>
        <v>0</v>
      </c>
      <c r="M101" s="11"/>
      <c r="N101" s="11"/>
      <c r="O101" s="38"/>
      <c r="P101" s="38"/>
      <c r="Q101" s="38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J101" s="42"/>
    </row>
    <row r="102" spans="1:36" hidden="1">
      <c r="A102" s="166" t="s">
        <v>183</v>
      </c>
      <c r="B102" s="166"/>
      <c r="C102" s="12">
        <v>0</v>
      </c>
      <c r="D102" s="164">
        <f>$D$69</f>
        <v>3.5</v>
      </c>
      <c r="E102" s="166"/>
      <c r="F102" s="2">
        <v>0</v>
      </c>
      <c r="G102" s="506">
        <v>3.5</v>
      </c>
      <c r="H102" s="166"/>
      <c r="I102" s="2">
        <f>ROUND(G102*$C102,0)</f>
        <v>0</v>
      </c>
      <c r="J102" s="164">
        <f>$G$69</f>
        <v>3.5</v>
      </c>
      <c r="K102" s="166"/>
      <c r="L102" s="2">
        <f>ROUND(J102*$C102,0)</f>
        <v>0</v>
      </c>
      <c r="M102" s="11"/>
      <c r="N102" s="11"/>
      <c r="O102" s="38"/>
      <c r="P102" s="38"/>
      <c r="Q102" s="38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J102" s="42"/>
    </row>
    <row r="103" spans="1:36" hidden="1">
      <c r="A103" s="166" t="s">
        <v>184</v>
      </c>
      <c r="B103" s="166"/>
      <c r="C103" s="12">
        <v>0</v>
      </c>
      <c r="D103" s="167">
        <f>$D$70</f>
        <v>-1.78</v>
      </c>
      <c r="E103" s="166"/>
      <c r="F103" s="2">
        <v>0</v>
      </c>
      <c r="G103" s="506">
        <v>-1.78</v>
      </c>
      <c r="H103" s="166"/>
      <c r="I103" s="2">
        <f>ROUND(G103*$C103,0)</f>
        <v>0</v>
      </c>
      <c r="J103" s="167">
        <f>-J101</f>
        <v>-1.78</v>
      </c>
      <c r="K103" s="166"/>
      <c r="L103" s="2">
        <f>ROUND(J103*$C103,0)</f>
        <v>0</v>
      </c>
      <c r="M103" s="11"/>
      <c r="N103" s="11"/>
      <c r="O103" s="38"/>
      <c r="P103" s="38"/>
      <c r="Q103" s="38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J103" s="42"/>
    </row>
    <row r="104" spans="1:36" hidden="1">
      <c r="A104" s="1" t="s">
        <v>185</v>
      </c>
      <c r="B104" s="168"/>
      <c r="C104" s="12">
        <f>SUM(C99:C100)</f>
        <v>12393640</v>
      </c>
      <c r="D104" s="518"/>
      <c r="E104" s="2"/>
      <c r="F104" s="2">
        <f>SUM(F98:F103)</f>
        <v>1250514</v>
      </c>
      <c r="G104" s="516"/>
      <c r="H104" s="2"/>
      <c r="I104" s="2">
        <f>SUM(I98:I103)</f>
        <v>1290544</v>
      </c>
      <c r="J104" s="2"/>
      <c r="K104" s="2"/>
      <c r="L104" s="2">
        <f ca="1">SUM(L98:L103)</f>
        <v>1288437</v>
      </c>
      <c r="M104" s="11"/>
      <c r="N104" s="11"/>
      <c r="O104" s="20"/>
      <c r="P104" s="38"/>
      <c r="Q104" s="38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J104" s="42"/>
    </row>
    <row r="105" spans="1:36" hidden="1">
      <c r="A105" s="1" t="s">
        <v>167</v>
      </c>
      <c r="B105" s="170"/>
      <c r="C105" s="180">
        <v>-159066.50768614683</v>
      </c>
      <c r="D105" s="172"/>
      <c r="E105" s="172"/>
      <c r="F105" s="173">
        <v>4772.6604979275762</v>
      </c>
      <c r="G105" s="284"/>
      <c r="H105" s="172"/>
      <c r="I105" s="173">
        <f>F105</f>
        <v>4772.6604979275762</v>
      </c>
      <c r="J105" s="172"/>
      <c r="K105" s="172"/>
      <c r="L105" s="173">
        <f>I105</f>
        <v>4772.6604979275762</v>
      </c>
      <c r="M105" s="307"/>
      <c r="N105" s="307"/>
      <c r="O105" s="150"/>
      <c r="P105" s="38"/>
      <c r="Q105" s="38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J105" s="42"/>
    </row>
    <row r="106" spans="1:36" ht="16.5" hidden="1" thickBot="1">
      <c r="A106" s="1" t="s">
        <v>186</v>
      </c>
      <c r="B106" s="1"/>
      <c r="C106" s="174">
        <f>C104+C105</f>
        <v>12234573.492313853</v>
      </c>
      <c r="D106" s="175"/>
      <c r="E106" s="175"/>
      <c r="F106" s="175">
        <f>SUM(F104:F105)</f>
        <v>1255286.6604979276</v>
      </c>
      <c r="G106" s="730"/>
      <c r="H106" s="175"/>
      <c r="I106" s="175">
        <f>I104+I105</f>
        <v>1295316.6604979276</v>
      </c>
      <c r="J106" s="175"/>
      <c r="K106" s="175"/>
      <c r="L106" s="175">
        <f ca="1">L104+L105</f>
        <v>1293209.6604979276</v>
      </c>
      <c r="M106" s="274"/>
      <c r="N106" s="274"/>
      <c r="O106" s="333"/>
      <c r="P106" s="38"/>
      <c r="Q106" s="38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J106" s="42"/>
    </row>
    <row r="107" spans="1:36" ht="16.5" hidden="1" thickTop="1">
      <c r="A107" s="1"/>
      <c r="B107" s="176"/>
      <c r="C107" s="12" t="s">
        <v>13</v>
      </c>
      <c r="D107" s="1" t="s">
        <v>13</v>
      </c>
      <c r="E107" s="1"/>
      <c r="F107" s="42" t="s">
        <v>13</v>
      </c>
      <c r="G107" s="284" t="s">
        <v>13</v>
      </c>
      <c r="H107" s="1"/>
      <c r="I107" s="2" t="s">
        <v>13</v>
      </c>
      <c r="J107" s="1" t="s">
        <v>13</v>
      </c>
      <c r="K107" s="1"/>
      <c r="L107" s="2" t="s">
        <v>13</v>
      </c>
      <c r="M107" s="11"/>
      <c r="N107" s="11"/>
      <c r="O107" s="38"/>
      <c r="P107" s="38"/>
      <c r="Q107" s="38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J107" s="42"/>
    </row>
    <row r="108" spans="1:36" hidden="1">
      <c r="A108" s="156" t="s">
        <v>188</v>
      </c>
      <c r="B108" s="1"/>
      <c r="C108" s="1" t="s">
        <v>13</v>
      </c>
      <c r="D108" s="12"/>
      <c r="E108" s="1"/>
      <c r="F108" s="1"/>
      <c r="G108" s="28"/>
      <c r="H108" s="1"/>
      <c r="I108" s="1"/>
      <c r="J108" s="12"/>
      <c r="K108" s="1"/>
      <c r="L108" s="1"/>
      <c r="M108" s="11"/>
      <c r="N108" s="11"/>
      <c r="O108" s="38"/>
      <c r="P108" s="38"/>
      <c r="Q108" s="38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J108" s="42"/>
    </row>
    <row r="109" spans="1:36" hidden="1">
      <c r="A109" s="1" t="s">
        <v>135</v>
      </c>
      <c r="B109" s="1"/>
      <c r="C109" s="1"/>
      <c r="D109" s="12"/>
      <c r="E109" s="1"/>
      <c r="F109" s="1"/>
      <c r="G109" s="28"/>
      <c r="H109" s="1"/>
      <c r="I109" s="1"/>
      <c r="J109" s="12"/>
      <c r="K109" s="1"/>
      <c r="L109" s="1"/>
      <c r="M109" s="11"/>
      <c r="N109" s="11"/>
      <c r="O109" s="38"/>
      <c r="P109" s="38"/>
      <c r="Q109" s="38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J109" s="42"/>
    </row>
    <row r="110" spans="1:36" hidden="1">
      <c r="A110" s="160"/>
      <c r="B110" s="1"/>
      <c r="C110" s="1"/>
      <c r="D110" s="12"/>
      <c r="E110" s="1"/>
      <c r="F110" s="1"/>
      <c r="G110" s="28"/>
      <c r="H110" s="1"/>
      <c r="I110" s="1"/>
      <c r="J110" s="12"/>
      <c r="K110" s="1"/>
      <c r="L110" s="1"/>
      <c r="M110" s="11"/>
      <c r="N110" s="11"/>
      <c r="O110" s="38"/>
      <c r="P110" s="38"/>
      <c r="Q110" s="38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J110" s="42"/>
    </row>
    <row r="111" spans="1:36" hidden="1">
      <c r="A111" s="1" t="s">
        <v>174</v>
      </c>
      <c r="B111" s="1"/>
      <c r="C111" s="12">
        <v>60732.110967742003</v>
      </c>
      <c r="D111" s="161">
        <f>$D$65</f>
        <v>7.75</v>
      </c>
      <c r="E111" s="1"/>
      <c r="F111" s="2">
        <f>ROUND(D111*C111,0)</f>
        <v>470674</v>
      </c>
      <c r="G111" s="506">
        <v>7.75</v>
      </c>
      <c r="H111" s="1"/>
      <c r="I111" s="2">
        <f>ROUND(G111*$C111,0)</f>
        <v>470674</v>
      </c>
      <c r="J111" s="161">
        <f t="shared" ref="J111" si="9">G111</f>
        <v>7.75</v>
      </c>
      <c r="K111" s="1"/>
      <c r="L111" s="2">
        <f>ROUND(J111*$C111,0)</f>
        <v>470674</v>
      </c>
      <c r="M111" s="11"/>
      <c r="N111" s="11"/>
      <c r="O111" s="38"/>
      <c r="P111" s="38"/>
      <c r="Q111" s="38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J111" s="42"/>
    </row>
    <row r="112" spans="1:36" hidden="1">
      <c r="A112" s="1" t="s">
        <v>177</v>
      </c>
      <c r="B112" s="1"/>
      <c r="C112" s="12">
        <v>32494683.088578962</v>
      </c>
      <c r="D112" s="162">
        <f>$D$66</f>
        <v>7.2759999999999998</v>
      </c>
      <c r="E112" s="1" t="s">
        <v>178</v>
      </c>
      <c r="F112" s="2">
        <f>ROUND(C112*D112/100,0)</f>
        <v>2364313</v>
      </c>
      <c r="G112" s="731">
        <v>7.5990000000000002</v>
      </c>
      <c r="H112" s="1" t="s">
        <v>178</v>
      </c>
      <c r="I112" s="2">
        <f>ROUND(G112*$C112/100,0)</f>
        <v>2469271</v>
      </c>
      <c r="J112" s="162">
        <f ca="1">$J$66</f>
        <v>7.5819999999999999</v>
      </c>
      <c r="K112" s="1" t="s">
        <v>178</v>
      </c>
      <c r="L112" s="2">
        <f ca="1">ROUND(J112*$C112/100,0)</f>
        <v>2463747</v>
      </c>
      <c r="M112" s="11"/>
      <c r="N112" s="11"/>
      <c r="O112" s="38"/>
      <c r="P112" s="38"/>
      <c r="Q112" s="38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J112" s="42"/>
    </row>
    <row r="113" spans="1:36" hidden="1">
      <c r="A113" s="1" t="s">
        <v>179</v>
      </c>
      <c r="B113" s="1"/>
      <c r="C113" s="12">
        <v>43594753.416123003</v>
      </c>
      <c r="D113" s="162">
        <f>$D$67</f>
        <v>10.198</v>
      </c>
      <c r="E113" s="1" t="s">
        <v>178</v>
      </c>
      <c r="F113" s="2">
        <f>ROUND(C113*D113/100,0)</f>
        <v>4445793</v>
      </c>
      <c r="G113" s="731">
        <v>10.521000000000001</v>
      </c>
      <c r="H113" s="1" t="s">
        <v>178</v>
      </c>
      <c r="I113" s="2">
        <f>ROUND(G113*$C113/100,0)</f>
        <v>4586604</v>
      </c>
      <c r="J113" s="162">
        <f ca="1">$J$67</f>
        <v>10.504</v>
      </c>
      <c r="K113" s="1" t="s">
        <v>178</v>
      </c>
      <c r="L113" s="2">
        <f ca="1">ROUND(J113*$C113/100,0)</f>
        <v>4579193</v>
      </c>
      <c r="M113" s="11"/>
      <c r="N113" s="11"/>
      <c r="O113" s="38"/>
      <c r="P113" s="38"/>
      <c r="Q113" s="38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J113" s="42"/>
    </row>
    <row r="114" spans="1:36" hidden="1">
      <c r="A114" s="1" t="s">
        <v>181</v>
      </c>
      <c r="B114" s="1"/>
      <c r="C114" s="12">
        <v>0</v>
      </c>
      <c r="D114" s="164">
        <f>$D$68</f>
        <v>1.78</v>
      </c>
      <c r="E114" s="1"/>
      <c r="F114" s="2">
        <v>0</v>
      </c>
      <c r="G114" s="506">
        <v>1.78</v>
      </c>
      <c r="H114" s="1"/>
      <c r="I114" s="2">
        <f>ROUND(G114*$C114,0)</f>
        <v>0</v>
      </c>
      <c r="J114" s="164">
        <f t="shared" ref="J114:J115" si="10">G114</f>
        <v>1.78</v>
      </c>
      <c r="K114" s="1"/>
      <c r="L114" s="2">
        <f>ROUND(J114*$C114,0)</f>
        <v>0</v>
      </c>
      <c r="M114" s="11"/>
      <c r="N114" s="11"/>
      <c r="O114" s="38"/>
      <c r="P114" s="38"/>
      <c r="Q114" s="38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J114" s="42"/>
    </row>
    <row r="115" spans="1:36" hidden="1">
      <c r="A115" s="166" t="s">
        <v>183</v>
      </c>
      <c r="B115" s="166"/>
      <c r="C115" s="12">
        <v>0</v>
      </c>
      <c r="D115" s="164">
        <f>$D$69</f>
        <v>3.5</v>
      </c>
      <c r="E115" s="166"/>
      <c r="F115" s="2">
        <v>0</v>
      </c>
      <c r="G115" s="506">
        <v>3.5</v>
      </c>
      <c r="H115" s="166"/>
      <c r="I115" s="2">
        <f>ROUND(G115*$C115,0)</f>
        <v>0</v>
      </c>
      <c r="J115" s="164">
        <f t="shared" si="10"/>
        <v>3.5</v>
      </c>
      <c r="K115" s="166"/>
      <c r="L115" s="2">
        <f>ROUND(J115*$C115,0)</f>
        <v>0</v>
      </c>
      <c r="M115" s="11"/>
      <c r="N115" s="11"/>
      <c r="O115" s="38"/>
      <c r="P115" s="38"/>
      <c r="Q115" s="38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J115" s="42"/>
    </row>
    <row r="116" spans="1:36" hidden="1">
      <c r="A116" s="166" t="s">
        <v>184</v>
      </c>
      <c r="B116" s="166"/>
      <c r="C116" s="12">
        <v>0</v>
      </c>
      <c r="D116" s="167">
        <f>$D$70</f>
        <v>-1.78</v>
      </c>
      <c r="E116" s="166"/>
      <c r="F116" s="2">
        <v>0</v>
      </c>
      <c r="G116" s="506">
        <v>-1.78</v>
      </c>
      <c r="H116" s="166"/>
      <c r="I116" s="2">
        <f>ROUND(G116*$C116,0)</f>
        <v>0</v>
      </c>
      <c r="J116" s="167">
        <f>-J114</f>
        <v>-1.78</v>
      </c>
      <c r="K116" s="166"/>
      <c r="L116" s="2">
        <f>ROUND(J116*$C116,0)</f>
        <v>0</v>
      </c>
      <c r="M116" s="11"/>
      <c r="N116" s="11"/>
      <c r="O116" s="38"/>
      <c r="P116" s="38"/>
      <c r="Q116" s="38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J116" s="42"/>
    </row>
    <row r="117" spans="1:36" hidden="1">
      <c r="A117" s="1" t="s">
        <v>185</v>
      </c>
      <c r="B117" s="1"/>
      <c r="C117" s="12">
        <f>SUM(C112:C113)</f>
        <v>76089436.504701972</v>
      </c>
      <c r="D117" s="518"/>
      <c r="E117" s="2"/>
      <c r="F117" s="2">
        <f>SUM(F111:F116)</f>
        <v>7280780</v>
      </c>
      <c r="G117" s="516"/>
      <c r="H117" s="2"/>
      <c r="I117" s="2">
        <f>SUM(I111:I116)</f>
        <v>7526549</v>
      </c>
      <c r="J117" s="2"/>
      <c r="K117" s="2"/>
      <c r="L117" s="2">
        <f ca="1">SUM(L111:L116)</f>
        <v>7513614</v>
      </c>
      <c r="M117" s="11"/>
      <c r="N117" s="11"/>
      <c r="O117" s="38"/>
      <c r="P117" s="38"/>
      <c r="Q117" s="38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J117" s="42"/>
    </row>
    <row r="118" spans="1:36" hidden="1">
      <c r="A118" s="1" t="s">
        <v>167</v>
      </c>
      <c r="B118" s="1"/>
      <c r="C118" s="180">
        <v>-1022509.0872067123</v>
      </c>
      <c r="D118" s="172"/>
      <c r="E118" s="172"/>
      <c r="F118" s="173">
        <v>28654.901740030542</v>
      </c>
      <c r="G118" s="284"/>
      <c r="H118" s="172"/>
      <c r="I118" s="173">
        <f>F118</f>
        <v>28654.901740030542</v>
      </c>
      <c r="J118" s="172"/>
      <c r="K118" s="172"/>
      <c r="L118" s="173">
        <f>I118</f>
        <v>28654.901740030542</v>
      </c>
      <c r="M118" s="307"/>
      <c r="N118" s="307"/>
      <c r="O118" s="150"/>
      <c r="P118" s="38"/>
      <c r="Q118" s="38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J118" s="42"/>
    </row>
    <row r="119" spans="1:36" ht="16.5" hidden="1" thickBot="1">
      <c r="A119" s="1" t="s">
        <v>186</v>
      </c>
      <c r="B119" s="1"/>
      <c r="C119" s="174">
        <f>C117+C118</f>
        <v>75066927.417495266</v>
      </c>
      <c r="D119" s="175"/>
      <c r="E119" s="175"/>
      <c r="F119" s="175">
        <f>SUM(F117:F118)</f>
        <v>7309434.9017400304</v>
      </c>
      <c r="G119" s="730"/>
      <c r="H119" s="175"/>
      <c r="I119" s="175">
        <f>I117+I118</f>
        <v>7555203.9017400304</v>
      </c>
      <c r="J119" s="175"/>
      <c r="K119" s="175"/>
      <c r="L119" s="175">
        <f ca="1">L117+L118</f>
        <v>7542268.9017400304</v>
      </c>
      <c r="M119" s="274"/>
      <c r="N119" s="274"/>
      <c r="O119" s="333"/>
      <c r="P119" s="38"/>
      <c r="Q119" s="38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J119" s="42"/>
    </row>
    <row r="120" spans="1:36" ht="16.5" hidden="1" thickTop="1">
      <c r="A120" s="1"/>
      <c r="B120" s="1"/>
      <c r="C120" s="213"/>
      <c r="D120" s="20"/>
      <c r="E120" s="20"/>
      <c r="F120" s="20"/>
      <c r="G120" s="622"/>
      <c r="H120" s="20"/>
      <c r="I120" s="20"/>
      <c r="J120" s="20"/>
      <c r="K120" s="20"/>
      <c r="L120" s="20"/>
      <c r="M120" s="274"/>
      <c r="N120" s="274"/>
      <c r="O120" s="333"/>
      <c r="P120" s="38"/>
      <c r="Q120" s="38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J120" s="42"/>
    </row>
    <row r="121" spans="1:36" hidden="1">
      <c r="A121" s="1"/>
      <c r="B121" s="1"/>
      <c r="C121" s="213"/>
      <c r="D121" s="20"/>
      <c r="E121" s="20"/>
      <c r="F121" s="20"/>
      <c r="G121" s="622"/>
      <c r="H121" s="20"/>
      <c r="I121" s="20"/>
      <c r="J121" s="20"/>
      <c r="K121" s="20"/>
      <c r="L121" s="20"/>
      <c r="M121" s="274"/>
      <c r="N121" s="274"/>
      <c r="O121" s="333"/>
      <c r="P121" s="38"/>
      <c r="Q121" s="38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J121" s="42"/>
    </row>
    <row r="122" spans="1:36">
      <c r="A122" s="156" t="s">
        <v>552</v>
      </c>
      <c r="B122" s="1"/>
      <c r="C122" s="1"/>
      <c r="D122" s="12"/>
      <c r="E122" s="1"/>
      <c r="F122" s="170"/>
      <c r="G122" s="28"/>
      <c r="H122" s="1"/>
      <c r="I122" s="1"/>
      <c r="J122" s="12"/>
      <c r="K122" s="1"/>
      <c r="L122" s="1"/>
      <c r="M122" s="274"/>
      <c r="N122" s="274"/>
      <c r="O122" s="333"/>
      <c r="P122" s="38"/>
      <c r="Q122" s="38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J122" s="42"/>
    </row>
    <row r="123" spans="1:36">
      <c r="A123" s="1" t="s">
        <v>554</v>
      </c>
      <c r="B123" s="1"/>
      <c r="C123" s="1"/>
      <c r="D123" s="12"/>
      <c r="E123" s="1"/>
      <c r="F123" s="1"/>
      <c r="G123" s="731" t="s">
        <v>13</v>
      </c>
      <c r="H123" s="1"/>
      <c r="I123" s="1"/>
      <c r="J123" s="505" t="s">
        <v>13</v>
      </c>
      <c r="K123" s="1"/>
      <c r="L123" s="1"/>
      <c r="M123" s="274"/>
      <c r="N123" s="274"/>
      <c r="O123" s="333"/>
      <c r="P123" s="38"/>
      <c r="Q123" s="38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J123" s="42"/>
    </row>
    <row r="124" spans="1:36">
      <c r="A124" s="160"/>
      <c r="B124" s="1"/>
      <c r="C124" s="1"/>
      <c r="D124" s="12"/>
      <c r="E124" s="1"/>
      <c r="F124" s="1"/>
      <c r="G124" s="28"/>
      <c r="H124" s="1"/>
      <c r="I124" s="1"/>
      <c r="J124" s="12"/>
      <c r="K124" s="1"/>
      <c r="L124" s="1"/>
      <c r="M124" s="274"/>
      <c r="N124" s="274"/>
      <c r="O124" s="333"/>
      <c r="P124" s="38"/>
      <c r="Q124" s="38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J124" s="42"/>
    </row>
    <row r="125" spans="1:36">
      <c r="A125" s="1" t="s">
        <v>174</v>
      </c>
      <c r="B125" s="1"/>
      <c r="C125" s="12">
        <v>0</v>
      </c>
      <c r="D125" s="161">
        <v>7.75</v>
      </c>
      <c r="E125" s="1"/>
      <c r="F125" s="2">
        <f>C125*D125</f>
        <v>0</v>
      </c>
      <c r="G125" s="506">
        <v>7.75</v>
      </c>
      <c r="H125" s="1"/>
      <c r="I125" s="2">
        <f>C125*G125</f>
        <v>0</v>
      </c>
      <c r="J125" s="164">
        <f t="shared" ref="J125" si="11">G125</f>
        <v>7.75</v>
      </c>
      <c r="K125" s="1"/>
      <c r="L125" s="2">
        <f>F125*J125</f>
        <v>0</v>
      </c>
      <c r="M125" s="274"/>
      <c r="N125" s="274"/>
      <c r="O125" s="333"/>
      <c r="P125" s="38"/>
      <c r="Q125" s="38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J125" s="42"/>
    </row>
    <row r="126" spans="1:36">
      <c r="A126" s="1" t="s">
        <v>553</v>
      </c>
      <c r="B126" s="1"/>
      <c r="C126" s="12">
        <v>0</v>
      </c>
      <c r="D126" s="161">
        <v>2</v>
      </c>
      <c r="E126" s="1"/>
      <c r="F126" s="2">
        <f>C126*D126</f>
        <v>0</v>
      </c>
      <c r="G126" s="506">
        <v>2</v>
      </c>
      <c r="H126" s="1"/>
      <c r="I126" s="2">
        <f>C126*G126</f>
        <v>0</v>
      </c>
      <c r="J126" s="164">
        <v>2</v>
      </c>
      <c r="K126" s="1"/>
      <c r="L126" s="2">
        <f>F126*J126</f>
        <v>0</v>
      </c>
      <c r="M126" s="274"/>
      <c r="N126" s="274"/>
      <c r="O126" s="333"/>
      <c r="P126" s="38"/>
      <c r="Q126" s="38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J126" s="42"/>
    </row>
    <row r="127" spans="1:36">
      <c r="A127" s="1" t="s">
        <v>557</v>
      </c>
      <c r="B127" s="1"/>
      <c r="C127" s="12">
        <v>0</v>
      </c>
      <c r="D127" s="162">
        <v>11.98</v>
      </c>
      <c r="E127" s="1" t="s">
        <v>178</v>
      </c>
      <c r="F127" s="2">
        <f>C127*D127/100</f>
        <v>0</v>
      </c>
      <c r="G127" s="731">
        <v>12.303245402690997</v>
      </c>
      <c r="H127" s="1" t="s">
        <v>178</v>
      </c>
      <c r="I127" s="2">
        <f>C127*G127/100</f>
        <v>0</v>
      </c>
      <c r="J127" s="162">
        <f t="shared" ref="J127:J128" ca="1" si="12">ROUND(G127+($O$63/$C$75)*100,3)</f>
        <v>12.286</v>
      </c>
      <c r="K127" s="1" t="s">
        <v>178</v>
      </c>
      <c r="L127" s="2">
        <f ca="1">F127*J127/100</f>
        <v>0</v>
      </c>
      <c r="M127" s="274"/>
      <c r="N127" s="274"/>
      <c r="O127" s="333"/>
      <c r="P127" s="38"/>
      <c r="Q127" s="38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J127" s="42"/>
    </row>
    <row r="128" spans="1:36">
      <c r="A128" s="1" t="s">
        <v>558</v>
      </c>
      <c r="B128" s="1"/>
      <c r="C128" s="12">
        <v>0</v>
      </c>
      <c r="D128" s="162">
        <v>6.6749999999999998</v>
      </c>
      <c r="E128" s="1" t="s">
        <v>178</v>
      </c>
      <c r="F128" s="2">
        <f>C128*D128/100</f>
        <v>0</v>
      </c>
      <c r="G128" s="731">
        <v>6.9982454026909977</v>
      </c>
      <c r="H128" s="1" t="s">
        <v>178</v>
      </c>
      <c r="I128" s="2">
        <f>C128*G128/100</f>
        <v>0</v>
      </c>
      <c r="J128" s="162">
        <f t="shared" ca="1" si="12"/>
        <v>6.9809999999999999</v>
      </c>
      <c r="K128" s="1" t="s">
        <v>178</v>
      </c>
      <c r="L128" s="2">
        <f ca="1">F128*J128/100</f>
        <v>0</v>
      </c>
      <c r="M128" s="274"/>
      <c r="N128" s="274"/>
      <c r="O128" s="333"/>
      <c r="P128" s="38"/>
      <c r="Q128" s="38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J128" s="42"/>
    </row>
    <row r="129" spans="1:36">
      <c r="A129" s="1" t="s">
        <v>185</v>
      </c>
      <c r="B129" s="168"/>
      <c r="C129" s="12">
        <v>0</v>
      </c>
      <c r="D129" s="518"/>
      <c r="E129" s="2"/>
      <c r="F129" s="2">
        <f>SUM(F125:F128)</f>
        <v>0</v>
      </c>
      <c r="G129" s="516"/>
      <c r="H129" s="2"/>
      <c r="I129" s="2">
        <f>SUM(I125:I128)</f>
        <v>0</v>
      </c>
      <c r="J129" s="2"/>
      <c r="K129" s="2"/>
      <c r="L129" s="2">
        <f ca="1">SUM(L125:L128)</f>
        <v>0</v>
      </c>
      <c r="M129" s="274"/>
      <c r="N129" s="274"/>
      <c r="O129" s="333"/>
      <c r="P129" s="38"/>
      <c r="Q129" s="38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J129" s="42"/>
    </row>
    <row r="130" spans="1:36">
      <c r="A130" s="1" t="s">
        <v>167</v>
      </c>
      <c r="B130" s="170"/>
      <c r="C130" s="171">
        <v>0</v>
      </c>
      <c r="D130" s="172"/>
      <c r="E130" s="172"/>
      <c r="F130" s="173">
        <v>0</v>
      </c>
      <c r="G130" s="284"/>
      <c r="H130" s="172"/>
      <c r="I130" s="173">
        <v>0</v>
      </c>
      <c r="J130" s="172"/>
      <c r="K130" s="172"/>
      <c r="L130" s="173">
        <v>0</v>
      </c>
      <c r="M130" s="274"/>
      <c r="N130" s="274"/>
      <c r="O130" s="333"/>
      <c r="P130" s="38"/>
      <c r="Q130" s="38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J130" s="42"/>
    </row>
    <row r="131" spans="1:36" ht="16.5" thickBot="1">
      <c r="A131" s="1" t="s">
        <v>186</v>
      </c>
      <c r="B131" s="1"/>
      <c r="C131" s="174">
        <v>0</v>
      </c>
      <c r="D131" s="175"/>
      <c r="E131" s="175"/>
      <c r="F131" s="175">
        <f>F129+F130</f>
        <v>0</v>
      </c>
      <c r="G131" s="730"/>
      <c r="H131" s="175"/>
      <c r="I131" s="175">
        <f>I129+I130</f>
        <v>0</v>
      </c>
      <c r="J131" s="175"/>
      <c r="K131" s="175"/>
      <c r="L131" s="175">
        <f ca="1">L129+L130</f>
        <v>0</v>
      </c>
      <c r="M131" s="274"/>
      <c r="N131" s="274"/>
      <c r="O131" s="333"/>
      <c r="P131" s="38"/>
      <c r="Q131" s="38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J131" s="42"/>
    </row>
    <row r="132" spans="1:36" ht="16.5" hidden="1" thickTop="1">
      <c r="A132" s="1"/>
      <c r="B132" s="1"/>
      <c r="C132" s="213"/>
      <c r="D132" s="20"/>
      <c r="E132" s="20"/>
      <c r="F132" s="20"/>
      <c r="G132" s="622"/>
      <c r="H132" s="20"/>
      <c r="I132" s="20"/>
      <c r="J132" s="20"/>
      <c r="K132" s="20"/>
      <c r="L132" s="20"/>
      <c r="M132" s="274"/>
      <c r="N132" s="274"/>
      <c r="O132" s="333"/>
      <c r="P132" s="38"/>
      <c r="Q132" s="38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J132" s="42"/>
    </row>
    <row r="133" spans="1:36" ht="16.5" hidden="1" thickTop="1">
      <c r="A133" s="1"/>
      <c r="B133" s="1"/>
      <c r="C133" s="213"/>
      <c r="D133" s="20"/>
      <c r="E133" s="20"/>
      <c r="F133" s="20"/>
      <c r="G133" s="622"/>
      <c r="H133" s="20"/>
      <c r="I133" s="20"/>
      <c r="J133" s="20"/>
      <c r="K133" s="20"/>
      <c r="L133" s="20"/>
      <c r="M133" s="274"/>
      <c r="N133" s="274"/>
      <c r="O133" s="333"/>
      <c r="P133" s="38"/>
      <c r="Q133" s="38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J133" s="42"/>
    </row>
    <row r="134" spans="1:36" ht="16.5" hidden="1" thickTop="1">
      <c r="A134" s="1"/>
      <c r="B134" s="1"/>
      <c r="C134" s="213"/>
      <c r="D134" s="20"/>
      <c r="E134" s="20"/>
      <c r="F134" s="20"/>
      <c r="G134" s="622"/>
      <c r="H134" s="20"/>
      <c r="I134" s="20"/>
      <c r="J134" s="20"/>
      <c r="K134" s="20"/>
      <c r="L134" s="20"/>
      <c r="M134" s="274"/>
      <c r="N134" s="274"/>
      <c r="O134" s="333"/>
      <c r="P134" s="38"/>
      <c r="Q134" s="38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J134" s="42"/>
    </row>
    <row r="135" spans="1:36" ht="16.5" hidden="1" thickTop="1">
      <c r="A135" s="1"/>
      <c r="B135" s="1"/>
      <c r="C135" s="213"/>
      <c r="D135" s="20"/>
      <c r="E135" s="20"/>
      <c r="F135" s="20"/>
      <c r="G135" s="622"/>
      <c r="H135" s="20"/>
      <c r="I135" s="20"/>
      <c r="J135" s="20"/>
      <c r="K135" s="20"/>
      <c r="L135" s="20"/>
      <c r="M135" s="274"/>
      <c r="N135" s="274"/>
      <c r="O135" s="333"/>
      <c r="P135" s="38"/>
      <c r="Q135" s="38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J135" s="42"/>
    </row>
    <row r="136" spans="1:36" ht="16.5" hidden="1" thickTop="1">
      <c r="A136" s="1"/>
      <c r="B136" s="1"/>
      <c r="C136" s="213"/>
      <c r="D136" s="20"/>
      <c r="E136" s="20"/>
      <c r="F136" s="20"/>
      <c r="G136" s="622"/>
      <c r="H136" s="20"/>
      <c r="I136" s="20"/>
      <c r="J136" s="20"/>
      <c r="K136" s="20"/>
      <c r="L136" s="20"/>
      <c r="M136" s="274"/>
      <c r="N136" s="274"/>
      <c r="O136" s="333"/>
      <c r="P136" s="38"/>
      <c r="Q136" s="38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J136" s="42"/>
    </row>
    <row r="137" spans="1:36" ht="16.5" hidden="1" thickTop="1">
      <c r="A137" s="1"/>
      <c r="B137" s="1"/>
      <c r="C137" s="213"/>
      <c r="D137" s="20"/>
      <c r="E137" s="20"/>
      <c r="F137" s="20"/>
      <c r="G137" s="622"/>
      <c r="H137" s="20"/>
      <c r="I137" s="20"/>
      <c r="J137" s="20"/>
      <c r="K137" s="20"/>
      <c r="L137" s="20"/>
      <c r="M137" s="274"/>
      <c r="N137" s="274"/>
      <c r="O137" s="333"/>
      <c r="P137" s="38"/>
      <c r="Q137" s="38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J137" s="42"/>
    </row>
    <row r="138" spans="1:36" ht="16.5" hidden="1" thickTop="1">
      <c r="A138" s="1"/>
      <c r="B138" s="1"/>
      <c r="C138" s="213"/>
      <c r="D138" s="20"/>
      <c r="E138" s="20"/>
      <c r="F138" s="20"/>
      <c r="G138" s="622"/>
      <c r="H138" s="20"/>
      <c r="I138" s="20"/>
      <c r="J138" s="20"/>
      <c r="K138" s="20"/>
      <c r="L138" s="20"/>
      <c r="M138" s="274"/>
      <c r="N138" s="274"/>
      <c r="O138" s="333"/>
      <c r="P138" s="38"/>
      <c r="Q138" s="38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J138" s="42"/>
    </row>
    <row r="139" spans="1:36" ht="16.5" thickTop="1">
      <c r="A139" s="1"/>
      <c r="B139" s="176"/>
      <c r="C139" s="12" t="s">
        <v>13</v>
      </c>
      <c r="D139" s="1" t="s">
        <v>13</v>
      </c>
      <c r="E139" s="1"/>
      <c r="G139" s="284" t="s">
        <v>13</v>
      </c>
      <c r="H139" s="1"/>
      <c r="I139" s="2" t="s">
        <v>13</v>
      </c>
      <c r="J139" s="1" t="s">
        <v>13</v>
      </c>
      <c r="K139" s="1"/>
      <c r="L139" s="2" t="s">
        <v>13</v>
      </c>
      <c r="M139" s="11"/>
      <c r="N139" s="11"/>
      <c r="O139" s="38"/>
      <c r="P139" s="38"/>
      <c r="Q139" s="38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J139" s="42"/>
    </row>
    <row r="140" spans="1:36" hidden="1">
      <c r="A140" s="156" t="s">
        <v>189</v>
      </c>
      <c r="B140" s="1"/>
      <c r="C140" s="1" t="s">
        <v>13</v>
      </c>
      <c r="D140" s="12"/>
      <c r="E140" s="1"/>
      <c r="F140" s="1"/>
      <c r="G140" s="28"/>
      <c r="H140" s="1"/>
      <c r="I140" s="1"/>
      <c r="J140" s="12"/>
      <c r="K140" s="1"/>
      <c r="L140" s="1"/>
      <c r="M140" s="11"/>
      <c r="N140" s="11"/>
      <c r="O140" s="38"/>
      <c r="P140" s="38"/>
      <c r="Q140" s="38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J140" s="42"/>
    </row>
    <row r="141" spans="1:36" hidden="1">
      <c r="A141" s="1" t="s">
        <v>135</v>
      </c>
      <c r="B141" s="1"/>
      <c r="C141" s="1"/>
      <c r="D141" s="12"/>
      <c r="E141" s="1"/>
      <c r="F141" s="1"/>
      <c r="G141" s="28"/>
      <c r="H141" s="1"/>
      <c r="I141" s="1"/>
      <c r="J141" s="12"/>
      <c r="K141" s="1"/>
      <c r="L141" s="1"/>
      <c r="M141" s="11"/>
      <c r="N141" s="11"/>
      <c r="O141" s="38"/>
      <c r="P141" s="38"/>
      <c r="Q141" s="38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J141" s="42"/>
    </row>
    <row r="142" spans="1:36" hidden="1">
      <c r="A142" s="160"/>
      <c r="B142" s="1"/>
      <c r="C142" s="1"/>
      <c r="D142" s="12"/>
      <c r="E142" s="1"/>
      <c r="F142" s="1"/>
      <c r="G142" s="28"/>
      <c r="H142" s="1"/>
      <c r="I142" s="1"/>
      <c r="J142" s="12"/>
      <c r="K142" s="1"/>
      <c r="L142" s="1"/>
      <c r="M142" s="11"/>
      <c r="N142" s="11"/>
      <c r="O142" s="38"/>
      <c r="P142" s="38"/>
      <c r="Q142" s="38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J142" s="42"/>
    </row>
    <row r="143" spans="1:36" hidden="1">
      <c r="A143" s="1" t="s">
        <v>174</v>
      </c>
      <c r="B143" s="1"/>
      <c r="C143" s="12">
        <v>948.63612903225805</v>
      </c>
      <c r="D143" s="161">
        <f>$D$65</f>
        <v>7.75</v>
      </c>
      <c r="E143" s="1"/>
      <c r="F143" s="2">
        <f>ROUND(D143*C143,0)</f>
        <v>7352</v>
      </c>
      <c r="G143" s="506">
        <v>7.75</v>
      </c>
      <c r="H143" s="1"/>
      <c r="I143" s="2">
        <f>ROUND(G143*$C143,0)</f>
        <v>7352</v>
      </c>
      <c r="J143" s="161">
        <f>$G$65</f>
        <v>7.75</v>
      </c>
      <c r="K143" s="1"/>
      <c r="L143" s="2">
        <f>ROUND(J143*$C143,0)</f>
        <v>7352</v>
      </c>
      <c r="M143" s="11"/>
      <c r="N143" s="11"/>
      <c r="O143" s="38"/>
      <c r="P143" s="38"/>
      <c r="Q143" s="38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J143" s="42"/>
    </row>
    <row r="144" spans="1:36" hidden="1">
      <c r="A144" s="1" t="s">
        <v>177</v>
      </c>
      <c r="B144" s="1"/>
      <c r="C144" s="12">
        <v>507458.17214397719</v>
      </c>
      <c r="D144" s="162">
        <f>$D$66</f>
        <v>7.2759999999999998</v>
      </c>
      <c r="E144" s="1" t="s">
        <v>178</v>
      </c>
      <c r="F144" s="2">
        <f>ROUND(C144*D144/100,0)</f>
        <v>36923</v>
      </c>
      <c r="G144" s="731">
        <v>7.5990000000000002</v>
      </c>
      <c r="H144" s="1" t="s">
        <v>178</v>
      </c>
      <c r="I144" s="2">
        <f>ROUND(G144*$C144/100,0)</f>
        <v>38562</v>
      </c>
      <c r="J144" s="162">
        <f ca="1">$J$66</f>
        <v>7.5819999999999999</v>
      </c>
      <c r="K144" s="1" t="s">
        <v>178</v>
      </c>
      <c r="L144" s="2">
        <f ca="1">ROUND(J144*$C144/100,0)</f>
        <v>38475</v>
      </c>
      <c r="M144" s="11"/>
      <c r="N144" s="11"/>
      <c r="O144" s="38"/>
      <c r="P144" s="38"/>
      <c r="Q144" s="38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J144" s="42"/>
    </row>
    <row r="145" spans="1:36" hidden="1">
      <c r="A145" s="1" t="s">
        <v>179</v>
      </c>
      <c r="B145" s="1"/>
      <c r="C145" s="12">
        <v>1526171.3935806504</v>
      </c>
      <c r="D145" s="162">
        <f>$D$67</f>
        <v>10.198</v>
      </c>
      <c r="E145" s="1" t="s">
        <v>178</v>
      </c>
      <c r="F145" s="2">
        <f>ROUND(C145*D145/100,0)</f>
        <v>155639</v>
      </c>
      <c r="G145" s="731">
        <v>10.521000000000001</v>
      </c>
      <c r="H145" s="1" t="s">
        <v>178</v>
      </c>
      <c r="I145" s="2">
        <f>ROUND(G145*$C145/100,0)</f>
        <v>160568</v>
      </c>
      <c r="J145" s="162">
        <f ca="1">$J$67</f>
        <v>10.504</v>
      </c>
      <c r="K145" s="1" t="s">
        <v>178</v>
      </c>
      <c r="L145" s="2">
        <f ca="1">ROUND(J145*$C145/100,0)</f>
        <v>160309</v>
      </c>
      <c r="M145" s="11"/>
      <c r="N145" s="11"/>
      <c r="O145" s="38"/>
      <c r="P145" s="38"/>
      <c r="Q145" s="38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J145" s="42"/>
    </row>
    <row r="146" spans="1:36" hidden="1">
      <c r="A146" s="1" t="s">
        <v>181</v>
      </c>
      <c r="B146" s="1"/>
      <c r="C146" s="12">
        <v>4421</v>
      </c>
      <c r="D146" s="164">
        <f>$D$68</f>
        <v>1.78</v>
      </c>
      <c r="E146" s="1"/>
      <c r="F146" s="2">
        <f>ROUND(D146*C146,0)</f>
        <v>7869</v>
      </c>
      <c r="G146" s="506">
        <v>1.78</v>
      </c>
      <c r="H146" s="1"/>
      <c r="I146" s="2">
        <f>ROUND(G146*$C146,0)</f>
        <v>7869</v>
      </c>
      <c r="J146" s="164">
        <f>$G$68</f>
        <v>1.78</v>
      </c>
      <c r="K146" s="1"/>
      <c r="L146" s="2">
        <f>ROUND(J146*$C146,0)</f>
        <v>7869</v>
      </c>
      <c r="M146" s="11"/>
      <c r="N146" s="11"/>
      <c r="O146" s="38"/>
      <c r="P146" s="38"/>
      <c r="Q146" s="38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J146" s="42"/>
    </row>
    <row r="147" spans="1:36" hidden="1">
      <c r="A147" s="166" t="s">
        <v>183</v>
      </c>
      <c r="B147" s="166"/>
      <c r="C147" s="12">
        <v>594</v>
      </c>
      <c r="D147" s="164">
        <f>$D$69</f>
        <v>3.5</v>
      </c>
      <c r="E147" s="166"/>
      <c r="F147" s="2">
        <f>ROUND(D147*C147,0)</f>
        <v>2079</v>
      </c>
      <c r="G147" s="506">
        <v>3.5</v>
      </c>
      <c r="H147" s="166"/>
      <c r="I147" s="2">
        <f>ROUND(G147*$C147,0)</f>
        <v>2079</v>
      </c>
      <c r="J147" s="164">
        <f>$G$69</f>
        <v>3.5</v>
      </c>
      <c r="K147" s="166"/>
      <c r="L147" s="2">
        <f>ROUND(J147*$C147,0)</f>
        <v>2079</v>
      </c>
      <c r="M147" s="11"/>
      <c r="N147" s="11"/>
      <c r="O147" s="38"/>
      <c r="P147" s="38"/>
      <c r="Q147" s="38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J147" s="42"/>
    </row>
    <row r="148" spans="1:36" hidden="1">
      <c r="A148" s="166" t="s">
        <v>184</v>
      </c>
      <c r="B148" s="166"/>
      <c r="C148" s="12">
        <v>74</v>
      </c>
      <c r="D148" s="167">
        <f>$D$70</f>
        <v>-1.78</v>
      </c>
      <c r="E148" s="166"/>
      <c r="F148" s="2">
        <f>ROUND(D148*C148,0)</f>
        <v>-132</v>
      </c>
      <c r="G148" s="506">
        <v>-1.78</v>
      </c>
      <c r="H148" s="166"/>
      <c r="I148" s="2">
        <f>ROUND(G148*$C148,0)</f>
        <v>-132</v>
      </c>
      <c r="J148" s="167">
        <f>-J146</f>
        <v>-1.78</v>
      </c>
      <c r="K148" s="166"/>
      <c r="L148" s="2">
        <f>ROUND(J148*$C148,0)</f>
        <v>-132</v>
      </c>
      <c r="M148" s="11"/>
      <c r="N148" s="11"/>
      <c r="O148" s="38"/>
      <c r="P148" s="38"/>
      <c r="Q148" s="38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J148" s="42"/>
    </row>
    <row r="149" spans="1:36" hidden="1">
      <c r="A149" s="1" t="s">
        <v>185</v>
      </c>
      <c r="B149" s="168"/>
      <c r="C149" s="12">
        <f>SUM(C144:C145)</f>
        <v>2033629.5657246276</v>
      </c>
      <c r="D149" s="518"/>
      <c r="E149" s="2"/>
      <c r="F149" s="2">
        <f>SUM(F143:F148)</f>
        <v>209730</v>
      </c>
      <c r="G149" s="516"/>
      <c r="H149" s="2"/>
      <c r="I149" s="2">
        <f>SUM(I143:I148)</f>
        <v>216298</v>
      </c>
      <c r="J149" s="2"/>
      <c r="K149" s="2"/>
      <c r="L149" s="2">
        <f ca="1">SUM(L143:L148)</f>
        <v>215952</v>
      </c>
      <c r="M149" s="11"/>
      <c r="N149" s="11"/>
      <c r="O149" s="38"/>
      <c r="P149" s="38"/>
      <c r="Q149" s="38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J149" s="42"/>
    </row>
    <row r="150" spans="1:36" hidden="1">
      <c r="A150" s="1" t="s">
        <v>167</v>
      </c>
      <c r="B150" s="15"/>
      <c r="C150" s="180">
        <v>-27187.606745109897</v>
      </c>
      <c r="D150" s="172"/>
      <c r="E150" s="172"/>
      <c r="F150" s="173">
        <v>849.76750150481053</v>
      </c>
      <c r="G150" s="284"/>
      <c r="H150" s="172"/>
      <c r="I150" s="173">
        <f>F150</f>
        <v>849.76750150481053</v>
      </c>
      <c r="J150" s="172"/>
      <c r="K150" s="172"/>
      <c r="L150" s="173">
        <f>I150</f>
        <v>849.76750150481053</v>
      </c>
      <c r="M150" s="307"/>
      <c r="N150" s="307"/>
      <c r="O150" s="150"/>
      <c r="P150" s="38"/>
      <c r="Q150" s="38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J150" s="42"/>
    </row>
    <row r="151" spans="1:36" ht="16.5" hidden="1" thickBot="1">
      <c r="A151" s="1" t="s">
        <v>186</v>
      </c>
      <c r="B151" s="1"/>
      <c r="C151" s="174">
        <f>C149+C150</f>
        <v>2006441.9589795177</v>
      </c>
      <c r="D151" s="175"/>
      <c r="E151" s="175"/>
      <c r="F151" s="175">
        <f>F149+F150</f>
        <v>210579.7675015048</v>
      </c>
      <c r="G151" s="730"/>
      <c r="H151" s="175"/>
      <c r="I151" s="175">
        <f>I149+I150</f>
        <v>217147.7675015048</v>
      </c>
      <c r="J151" s="175"/>
      <c r="K151" s="175"/>
      <c r="L151" s="175">
        <f ca="1">L149+L150</f>
        <v>216801.7675015048</v>
      </c>
      <c r="M151" s="274"/>
      <c r="N151" s="274"/>
      <c r="O151" s="333"/>
      <c r="P151" s="38"/>
      <c r="Q151" s="38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J151" s="42"/>
    </row>
    <row r="152" spans="1:36" ht="16.5" hidden="1" thickTop="1">
      <c r="A152" s="1"/>
      <c r="B152" s="176"/>
      <c r="C152" s="12" t="s">
        <v>13</v>
      </c>
      <c r="D152" s="1" t="s">
        <v>13</v>
      </c>
      <c r="E152" s="1"/>
      <c r="G152" s="284" t="s">
        <v>13</v>
      </c>
      <c r="H152" s="1"/>
      <c r="I152" s="2" t="s">
        <v>13</v>
      </c>
      <c r="J152" s="1" t="s">
        <v>13</v>
      </c>
      <c r="K152" s="1"/>
      <c r="L152" s="2" t="s">
        <v>13</v>
      </c>
      <c r="M152" s="11"/>
      <c r="N152" s="11"/>
      <c r="O152" s="38"/>
      <c r="P152" s="38"/>
      <c r="Q152" s="38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J152" s="42"/>
    </row>
    <row r="153" spans="1:36" hidden="1">
      <c r="A153" s="156" t="s">
        <v>190</v>
      </c>
      <c r="B153" s="1"/>
      <c r="C153" s="1"/>
      <c r="D153" s="12"/>
      <c r="E153" s="1"/>
      <c r="F153" s="1"/>
      <c r="G153" s="28"/>
      <c r="H153" s="1"/>
      <c r="I153" s="1"/>
      <c r="J153" s="12"/>
      <c r="K153" s="1"/>
      <c r="L153" s="1"/>
      <c r="M153" s="11"/>
      <c r="N153" s="11"/>
      <c r="O153" s="38"/>
      <c r="P153" s="38"/>
      <c r="Q153" s="38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J153" s="42"/>
    </row>
    <row r="154" spans="1:36" hidden="1">
      <c r="A154" s="1" t="s">
        <v>135</v>
      </c>
      <c r="B154" s="1"/>
      <c r="C154" s="1"/>
      <c r="D154" s="12"/>
      <c r="E154" s="1"/>
      <c r="F154" s="1"/>
      <c r="G154" s="28"/>
      <c r="H154" s="1"/>
      <c r="I154" s="1"/>
      <c r="J154" s="12"/>
      <c r="K154" s="1"/>
      <c r="L154" s="1"/>
      <c r="M154" s="11"/>
      <c r="N154" s="11"/>
      <c r="O154" s="38"/>
      <c r="P154" s="38"/>
      <c r="Q154" s="38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J154" s="42"/>
    </row>
    <row r="155" spans="1:36" hidden="1">
      <c r="A155" s="160"/>
      <c r="B155" s="1"/>
      <c r="C155" s="1"/>
      <c r="D155" s="12"/>
      <c r="E155" s="1"/>
      <c r="F155" s="1"/>
      <c r="G155" s="28"/>
      <c r="H155" s="1"/>
      <c r="I155" s="1"/>
      <c r="J155" s="12"/>
      <c r="K155" s="1"/>
      <c r="L155" s="1"/>
      <c r="M155" s="11"/>
      <c r="N155" s="11"/>
      <c r="O155" s="38"/>
      <c r="P155" s="38"/>
      <c r="Q155" s="38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J155" s="42"/>
    </row>
    <row r="156" spans="1:36" hidden="1">
      <c r="A156" s="1" t="s">
        <v>174</v>
      </c>
      <c r="B156" s="1"/>
      <c r="C156" s="12">
        <v>155.966451612903</v>
      </c>
      <c r="D156" s="161">
        <f>$D$65</f>
        <v>7.75</v>
      </c>
      <c r="E156" s="1"/>
      <c r="F156" s="2">
        <f>ROUND(D156*C156,0)</f>
        <v>1209</v>
      </c>
      <c r="G156" s="506">
        <v>7.75</v>
      </c>
      <c r="H156" s="1"/>
      <c r="I156" s="2">
        <f>ROUND(G156*$C156,0)</f>
        <v>1209</v>
      </c>
      <c r="J156" s="161">
        <f>$G$65</f>
        <v>7.75</v>
      </c>
      <c r="K156" s="1"/>
      <c r="L156" s="2">
        <f>ROUND(J156*$C156,0)</f>
        <v>1209</v>
      </c>
      <c r="M156" s="11"/>
      <c r="N156" s="11"/>
      <c r="O156" s="38"/>
      <c r="P156" s="38"/>
      <c r="Q156" s="38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J156" s="42"/>
    </row>
    <row r="157" spans="1:36" hidden="1">
      <c r="A157" s="1" t="s">
        <v>177</v>
      </c>
      <c r="B157" s="1"/>
      <c r="C157" s="12">
        <v>93465.870967741896</v>
      </c>
      <c r="D157" s="162">
        <f>$D$66</f>
        <v>7.2759999999999998</v>
      </c>
      <c r="E157" s="1" t="s">
        <v>178</v>
      </c>
      <c r="F157" s="2">
        <f>ROUND(C157*D157/100,0)</f>
        <v>6801</v>
      </c>
      <c r="G157" s="731">
        <v>7.5990000000000002</v>
      </c>
      <c r="H157" s="1" t="s">
        <v>178</v>
      </c>
      <c r="I157" s="2">
        <f>ROUND(G157*$C157/100,0)</f>
        <v>7102</v>
      </c>
      <c r="J157" s="162">
        <f ca="1">$J$66</f>
        <v>7.5819999999999999</v>
      </c>
      <c r="K157" s="1" t="s">
        <v>178</v>
      </c>
      <c r="L157" s="2">
        <f ca="1">ROUND(J157*$C157/100,0)</f>
        <v>7087</v>
      </c>
      <c r="M157" s="11"/>
      <c r="N157" s="11"/>
      <c r="O157" s="38"/>
      <c r="P157" s="38"/>
      <c r="Q157" s="38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J157" s="42"/>
    </row>
    <row r="158" spans="1:36" hidden="1">
      <c r="A158" s="1" t="s">
        <v>179</v>
      </c>
      <c r="B158" s="1"/>
      <c r="C158" s="12">
        <v>227688.12903225812</v>
      </c>
      <c r="D158" s="162">
        <f>$D$67</f>
        <v>10.198</v>
      </c>
      <c r="E158" s="1" t="s">
        <v>178</v>
      </c>
      <c r="F158" s="2">
        <f>ROUND(C158*D158/100,0)</f>
        <v>23220</v>
      </c>
      <c r="G158" s="731">
        <v>10.521000000000001</v>
      </c>
      <c r="H158" s="1" t="s">
        <v>178</v>
      </c>
      <c r="I158" s="2">
        <f>ROUND(G158*$C158/100,0)</f>
        <v>23955</v>
      </c>
      <c r="J158" s="162">
        <f ca="1">$J$67</f>
        <v>10.504</v>
      </c>
      <c r="K158" s="1" t="s">
        <v>178</v>
      </c>
      <c r="L158" s="2">
        <f ca="1">ROUND(J158*$C158/100,0)</f>
        <v>23916</v>
      </c>
      <c r="M158" s="11"/>
      <c r="N158" s="11"/>
      <c r="O158" s="38"/>
      <c r="P158" s="38"/>
      <c r="Q158" s="38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J158" s="42"/>
    </row>
    <row r="159" spans="1:36" hidden="1">
      <c r="A159" s="1" t="s">
        <v>181</v>
      </c>
      <c r="B159" s="1"/>
      <c r="C159" s="12">
        <v>568</v>
      </c>
      <c r="D159" s="164">
        <f>$D$68</f>
        <v>1.78</v>
      </c>
      <c r="E159" s="1"/>
      <c r="F159" s="2">
        <f>ROUND(D159*C159,0)</f>
        <v>1011</v>
      </c>
      <c r="G159" s="506">
        <v>1.78</v>
      </c>
      <c r="H159" s="1"/>
      <c r="I159" s="2">
        <f>ROUND(G159*$C159,0)</f>
        <v>1011</v>
      </c>
      <c r="J159" s="164">
        <f>$G$68</f>
        <v>1.78</v>
      </c>
      <c r="K159" s="1"/>
      <c r="L159" s="2">
        <f>ROUND(J159*$C159,0)</f>
        <v>1011</v>
      </c>
      <c r="M159" s="11"/>
      <c r="N159" s="11"/>
      <c r="O159" s="38"/>
      <c r="P159" s="38"/>
      <c r="Q159" s="38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J159" s="42"/>
    </row>
    <row r="160" spans="1:36" hidden="1">
      <c r="A160" s="166" t="s">
        <v>183</v>
      </c>
      <c r="B160" s="166"/>
      <c r="C160" s="12">
        <v>102</v>
      </c>
      <c r="D160" s="164">
        <f>$D$69</f>
        <v>3.5</v>
      </c>
      <c r="E160" s="166"/>
      <c r="F160" s="2">
        <f>ROUND(D160*C160,0)</f>
        <v>357</v>
      </c>
      <c r="G160" s="506">
        <v>3.5</v>
      </c>
      <c r="H160" s="166"/>
      <c r="I160" s="2">
        <f>ROUND(G160*$C160,0)</f>
        <v>357</v>
      </c>
      <c r="J160" s="164">
        <f>$G$69</f>
        <v>3.5</v>
      </c>
      <c r="K160" s="166"/>
      <c r="L160" s="2">
        <f>ROUND(J160*$C160,0)</f>
        <v>357</v>
      </c>
      <c r="M160" s="11"/>
      <c r="N160" s="11"/>
      <c r="O160" s="38"/>
      <c r="P160" s="38"/>
      <c r="Q160" s="38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J160" s="42"/>
    </row>
    <row r="161" spans="1:43" hidden="1">
      <c r="A161" s="166" t="s">
        <v>184</v>
      </c>
      <c r="B161" s="166"/>
      <c r="C161" s="12">
        <v>15</v>
      </c>
      <c r="D161" s="167">
        <f>$D$70</f>
        <v>-1.78</v>
      </c>
      <c r="E161" s="166"/>
      <c r="F161" s="2">
        <f>ROUND(D161*C161,0)</f>
        <v>-27</v>
      </c>
      <c r="G161" s="506">
        <v>-1.78</v>
      </c>
      <c r="H161" s="166"/>
      <c r="I161" s="2">
        <f>ROUND(G161*$C161,0)</f>
        <v>-27</v>
      </c>
      <c r="J161" s="167">
        <f>-J159</f>
        <v>-1.78</v>
      </c>
      <c r="K161" s="166"/>
      <c r="L161" s="2">
        <f>ROUND(J161*$C161,0)</f>
        <v>-27</v>
      </c>
      <c r="M161" s="11"/>
      <c r="N161" s="11"/>
      <c r="O161" s="38"/>
      <c r="P161" s="38"/>
      <c r="Q161" s="38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J161" s="42"/>
    </row>
    <row r="162" spans="1:43" hidden="1">
      <c r="A162" s="1" t="s">
        <v>185</v>
      </c>
      <c r="B162" s="1"/>
      <c r="C162" s="12">
        <f>SUM(C157:C158)</f>
        <v>321154</v>
      </c>
      <c r="D162" s="518"/>
      <c r="E162" s="2"/>
      <c r="F162" s="2">
        <f>SUM(F156:F161)</f>
        <v>32571</v>
      </c>
      <c r="G162" s="516"/>
      <c r="H162" s="2"/>
      <c r="I162" s="2">
        <f>SUM(I156:I161)</f>
        <v>33607</v>
      </c>
      <c r="J162" s="2"/>
      <c r="K162" s="2"/>
      <c r="L162" s="2">
        <f ca="1">SUM(L156:L161)</f>
        <v>33553</v>
      </c>
      <c r="M162" s="11"/>
      <c r="N162" s="11"/>
      <c r="O162" s="38"/>
      <c r="P162" s="38"/>
      <c r="Q162" s="38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J162" s="42"/>
    </row>
    <row r="163" spans="1:43" hidden="1">
      <c r="A163" s="1" t="s">
        <v>167</v>
      </c>
      <c r="B163" s="1"/>
      <c r="C163" s="180">
        <v>-4123.3152418191712</v>
      </c>
      <c r="D163" s="172"/>
      <c r="E163" s="172"/>
      <c r="F163" s="173">
        <v>126.9974517083012</v>
      </c>
      <c r="G163" s="284"/>
      <c r="H163" s="172"/>
      <c r="I163" s="173">
        <f>F163</f>
        <v>126.9974517083012</v>
      </c>
      <c r="J163" s="172"/>
      <c r="K163" s="172"/>
      <c r="L163" s="173">
        <f>I163</f>
        <v>126.9974517083012</v>
      </c>
      <c r="M163" s="307"/>
      <c r="N163" s="307"/>
      <c r="O163" s="150"/>
      <c r="P163" s="38"/>
      <c r="Q163" s="38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J163" s="42"/>
    </row>
    <row r="164" spans="1:43" ht="16.5" hidden="1" thickBot="1">
      <c r="A164" s="1" t="s">
        <v>186</v>
      </c>
      <c r="B164" s="1"/>
      <c r="C164" s="174">
        <f>C162+C163</f>
        <v>317030.68475818081</v>
      </c>
      <c r="D164" s="175"/>
      <c r="E164" s="175"/>
      <c r="F164" s="175">
        <f>F162+F163</f>
        <v>32697.997451708303</v>
      </c>
      <c r="G164" s="730"/>
      <c r="H164" s="175"/>
      <c r="I164" s="175">
        <f>I162+I163</f>
        <v>33733.997451708303</v>
      </c>
      <c r="J164" s="175"/>
      <c r="K164" s="175"/>
      <c r="L164" s="175">
        <f ca="1">L162+L163</f>
        <v>33679.997451708303</v>
      </c>
      <c r="M164" s="274"/>
      <c r="N164" s="274"/>
      <c r="O164" s="333"/>
      <c r="P164" s="38"/>
      <c r="Q164" s="38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J164" s="42"/>
    </row>
    <row r="165" spans="1:43" ht="16.5" hidden="1" thickTop="1">
      <c r="A165" s="1"/>
      <c r="B165" s="176"/>
      <c r="C165" s="12" t="s">
        <v>13</v>
      </c>
      <c r="D165" s="1" t="s">
        <v>13</v>
      </c>
      <c r="E165" s="1"/>
      <c r="G165" s="284" t="s">
        <v>13</v>
      </c>
      <c r="H165" s="1"/>
      <c r="I165" s="2" t="s">
        <v>13</v>
      </c>
      <c r="J165" s="1" t="s">
        <v>13</v>
      </c>
      <c r="K165" s="1"/>
      <c r="L165" s="2" t="s">
        <v>13</v>
      </c>
      <c r="M165" s="11"/>
      <c r="N165" s="11"/>
      <c r="O165" s="17"/>
      <c r="P165" s="38"/>
      <c r="Q165" s="38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J165" s="42"/>
    </row>
    <row r="166" spans="1:43">
      <c r="A166" s="1"/>
      <c r="B166" s="176"/>
      <c r="C166" s="12"/>
      <c r="D166" s="1"/>
      <c r="E166" s="1"/>
      <c r="G166" s="284"/>
      <c r="H166" s="1"/>
      <c r="I166" s="2"/>
      <c r="J166" s="1"/>
      <c r="K166" s="1"/>
      <c r="L166" s="2"/>
      <c r="M166" s="11"/>
      <c r="N166" s="11"/>
      <c r="O166" s="17"/>
      <c r="P166" s="38"/>
      <c r="Q166" s="38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J166" s="42"/>
    </row>
    <row r="167" spans="1:43">
      <c r="A167" s="156" t="s">
        <v>191</v>
      </c>
      <c r="B167" s="1"/>
      <c r="C167" s="1" t="s">
        <v>13</v>
      </c>
      <c r="D167" s="2"/>
      <c r="E167" s="1"/>
      <c r="F167" s="1"/>
      <c r="G167" s="516"/>
      <c r="H167" s="1"/>
      <c r="I167" s="1"/>
      <c r="J167" s="2"/>
      <c r="K167" s="1"/>
      <c r="L167" s="1"/>
      <c r="M167" s="11"/>
      <c r="N167" s="11"/>
      <c r="O167" s="853" t="s">
        <v>1455</v>
      </c>
      <c r="P167" s="38"/>
      <c r="Q167" s="38"/>
      <c r="R167" s="475"/>
      <c r="S167" s="18"/>
      <c r="T167" s="697"/>
      <c r="U167" s="698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J167" s="42"/>
    </row>
    <row r="168" spans="1:43">
      <c r="A168" s="1" t="s">
        <v>192</v>
      </c>
      <c r="B168" s="1"/>
      <c r="C168" s="1"/>
      <c r="D168" s="2"/>
      <c r="E168" s="1"/>
      <c r="F168" s="1"/>
      <c r="G168" s="516"/>
      <c r="H168" s="1"/>
      <c r="I168" s="1"/>
      <c r="J168" s="2"/>
      <c r="K168" s="1"/>
      <c r="L168" s="1"/>
      <c r="M168" s="11"/>
      <c r="N168" s="11"/>
      <c r="O168" s="852">
        <f ca="1">'Exhibit No.__(RMM-2)pg1'!O22*1000</f>
        <v>-81693.701008395656</v>
      </c>
      <c r="P168" s="38"/>
      <c r="Q168" s="38"/>
      <c r="R168" s="38"/>
      <c r="S168" s="661"/>
      <c r="T168" s="661"/>
      <c r="U168" s="66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J168" s="42"/>
    </row>
    <row r="169" spans="1:43">
      <c r="A169" s="1"/>
      <c r="B169" s="1"/>
      <c r="C169" s="1"/>
      <c r="D169" s="2"/>
      <c r="E169" s="1"/>
      <c r="F169" s="1"/>
      <c r="G169" s="516"/>
      <c r="H169" s="1"/>
      <c r="I169" s="1"/>
      <c r="J169" s="2"/>
      <c r="K169" s="1"/>
      <c r="L169" s="1"/>
      <c r="M169" s="11"/>
      <c r="N169" s="11"/>
      <c r="O169" s="38"/>
      <c r="P169" s="38"/>
      <c r="Q169" s="38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J169" s="42"/>
    </row>
    <row r="170" spans="1:43">
      <c r="A170" s="1" t="s">
        <v>193</v>
      </c>
      <c r="B170" s="1"/>
      <c r="C170" s="1"/>
      <c r="D170" s="2"/>
      <c r="E170" s="1"/>
      <c r="F170" s="1"/>
      <c r="G170" s="516"/>
      <c r="H170" s="1"/>
      <c r="I170" s="1"/>
      <c r="J170" s="2"/>
      <c r="K170" s="1"/>
      <c r="L170" s="1"/>
      <c r="M170" s="11"/>
      <c r="N170" s="11"/>
      <c r="O170" s="38"/>
      <c r="P170" s="504"/>
      <c r="Q170" s="504"/>
      <c r="R170" s="658"/>
      <c r="S170" s="660"/>
      <c r="T170" s="662"/>
      <c r="U170" s="662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J170" s="42"/>
    </row>
    <row r="171" spans="1:43">
      <c r="A171" s="1" t="s">
        <v>194</v>
      </c>
      <c r="B171" s="1"/>
      <c r="C171" s="12">
        <f>C440</f>
        <v>3</v>
      </c>
      <c r="D171" s="161">
        <v>118.32</v>
      </c>
      <c r="E171" s="1"/>
      <c r="F171" s="2">
        <f>F411</f>
        <v>355</v>
      </c>
      <c r="G171" s="506">
        <v>118.32</v>
      </c>
      <c r="H171" s="1"/>
      <c r="I171" s="2">
        <f>I411</f>
        <v>355</v>
      </c>
      <c r="J171" s="164">
        <f t="shared" ref="J171:J173" si="13">G171</f>
        <v>118.32</v>
      </c>
      <c r="K171" s="1"/>
      <c r="L171" s="2">
        <f>L411</f>
        <v>355</v>
      </c>
      <c r="M171" s="279"/>
      <c r="N171" s="279"/>
      <c r="O171" s="38"/>
      <c r="P171" s="512"/>
      <c r="Q171" s="512"/>
      <c r="R171" s="11"/>
      <c r="S171" s="11"/>
      <c r="T171" s="334"/>
      <c r="U171" s="11"/>
      <c r="V171" s="334"/>
      <c r="X171" s="22"/>
      <c r="Y171" s="22"/>
      <c r="AJ171" s="11"/>
      <c r="AK171" s="11"/>
      <c r="AL171" s="11"/>
      <c r="AM171" s="11"/>
      <c r="AN171" s="11"/>
      <c r="AO171" s="11"/>
      <c r="AQ171" s="42"/>
    </row>
    <row r="172" spans="1:43">
      <c r="A172" s="1" t="s">
        <v>195</v>
      </c>
      <c r="B172" s="1"/>
      <c r="C172" s="12">
        <f>C412</f>
        <v>74.671232876712295</v>
      </c>
      <c r="D172" s="161">
        <v>176.39999999999998</v>
      </c>
      <c r="E172" s="1"/>
      <c r="F172" s="2">
        <f>F412</f>
        <v>13172</v>
      </c>
      <c r="G172" s="506">
        <v>176.39999999999998</v>
      </c>
      <c r="H172" s="1"/>
      <c r="I172" s="2">
        <f>I412</f>
        <v>13172</v>
      </c>
      <c r="J172" s="164">
        <f t="shared" si="13"/>
        <v>176.39999999999998</v>
      </c>
      <c r="K172" s="1"/>
      <c r="L172" s="2">
        <f>L412</f>
        <v>13172</v>
      </c>
      <c r="M172" s="279"/>
      <c r="N172" s="279"/>
      <c r="O172" s="38"/>
      <c r="P172" s="512"/>
      <c r="Q172" s="512"/>
      <c r="R172" s="11"/>
      <c r="S172" s="279"/>
      <c r="T172" s="699"/>
      <c r="U172" s="279"/>
      <c r="V172" s="699"/>
      <c r="W172" s="42"/>
      <c r="X172" s="42"/>
      <c r="Y172" s="486"/>
      <c r="Z172" s="101"/>
      <c r="AA172" s="42"/>
      <c r="AB172" s="42"/>
      <c r="AJ172" s="11"/>
      <c r="AK172" s="11"/>
      <c r="AL172" s="11"/>
      <c r="AM172" s="11"/>
      <c r="AN172" s="11"/>
      <c r="AO172" s="11"/>
      <c r="AQ172" s="42"/>
    </row>
    <row r="173" spans="1:43">
      <c r="A173" s="1" t="s">
        <v>196</v>
      </c>
      <c r="B173" s="1"/>
      <c r="C173" s="12">
        <f>C413</f>
        <v>2454.0986301369899</v>
      </c>
      <c r="D173" s="161">
        <v>12.48</v>
      </c>
      <c r="E173" s="1"/>
      <c r="F173" s="2">
        <f>F413</f>
        <v>30627</v>
      </c>
      <c r="G173" s="506">
        <v>12.48</v>
      </c>
      <c r="H173" s="1"/>
      <c r="I173" s="2">
        <f>I413</f>
        <v>30627</v>
      </c>
      <c r="J173" s="164">
        <f t="shared" si="13"/>
        <v>12.48</v>
      </c>
      <c r="K173" s="1"/>
      <c r="L173" s="2">
        <f>L413</f>
        <v>30627</v>
      </c>
      <c r="M173" s="11"/>
      <c r="N173" s="11"/>
      <c r="O173" s="38"/>
      <c r="P173" s="512"/>
      <c r="Q173" s="512"/>
      <c r="R173" s="11"/>
      <c r="S173" s="279"/>
      <c r="T173" s="699"/>
      <c r="U173" s="279"/>
      <c r="V173" s="699"/>
      <c r="W173" s="42"/>
      <c r="X173" s="42"/>
      <c r="Y173" s="486"/>
      <c r="Z173" s="101"/>
      <c r="AA173" s="42"/>
      <c r="AB173" s="42"/>
      <c r="AJ173" s="11"/>
      <c r="AK173" s="11"/>
      <c r="AL173" s="11"/>
      <c r="AM173" s="11"/>
      <c r="AN173" s="11"/>
      <c r="AO173" s="11"/>
      <c r="AQ173" s="42"/>
    </row>
    <row r="174" spans="1:43">
      <c r="A174" s="1" t="s">
        <v>197</v>
      </c>
      <c r="B174" s="1"/>
      <c r="C174" s="182"/>
      <c r="D174" s="2"/>
      <c r="E174" s="1"/>
      <c r="F174" s="1"/>
      <c r="G174" s="516"/>
      <c r="H174" s="1"/>
      <c r="I174" s="1"/>
      <c r="J174" s="2"/>
      <c r="K174" s="1"/>
      <c r="L174" s="1"/>
      <c r="M174" s="279"/>
      <c r="N174" s="279"/>
      <c r="O174" s="38"/>
      <c r="P174" s="512"/>
      <c r="Q174" s="490"/>
      <c r="R174" s="11"/>
      <c r="S174" s="11"/>
      <c r="T174" s="699"/>
      <c r="U174" s="279"/>
      <c r="V174" s="699"/>
      <c r="W174" s="42"/>
      <c r="X174" s="42"/>
      <c r="Y174" s="486"/>
      <c r="Z174" s="101"/>
      <c r="AA174" s="42"/>
      <c r="AB174" s="42"/>
      <c r="AJ174" s="11"/>
      <c r="AK174" s="11"/>
      <c r="AL174" s="11"/>
      <c r="AM174" s="11"/>
      <c r="AN174" s="11"/>
      <c r="AO174" s="11"/>
      <c r="AQ174" s="42"/>
    </row>
    <row r="175" spans="1:43">
      <c r="A175" s="1" t="s">
        <v>194</v>
      </c>
      <c r="B175" s="1"/>
      <c r="C175" s="182">
        <f>C210+C323</f>
        <v>173160.33350720091</v>
      </c>
      <c r="D175" s="161">
        <v>9.86</v>
      </c>
      <c r="E175" s="186"/>
      <c r="F175" s="185">
        <f>F210+F323</f>
        <v>1707361</v>
      </c>
      <c r="G175" s="506">
        <v>9.86</v>
      </c>
      <c r="H175" s="186"/>
      <c r="I175" s="185">
        <f>I210+I323</f>
        <v>1707361</v>
      </c>
      <c r="J175" s="164">
        <f t="shared" ref="J175:J177" si="14">G175</f>
        <v>9.86</v>
      </c>
      <c r="K175" s="186"/>
      <c r="L175" s="185">
        <f>L210+L323</f>
        <v>1707361</v>
      </c>
      <c r="M175" s="11"/>
      <c r="N175" s="11"/>
      <c r="O175" s="38"/>
      <c r="P175" s="512"/>
      <c r="Q175" s="512"/>
      <c r="R175" s="11"/>
      <c r="S175" s="279"/>
      <c r="T175" s="699"/>
      <c r="U175" s="279"/>
      <c r="V175" s="699"/>
      <c r="W175" s="42"/>
      <c r="X175" s="42"/>
      <c r="Y175" s="486"/>
      <c r="Z175" s="101"/>
      <c r="AA175" s="42"/>
      <c r="AB175" s="42"/>
      <c r="AJ175" s="11"/>
      <c r="AK175" s="11"/>
      <c r="AL175" s="11"/>
      <c r="AM175" s="11"/>
      <c r="AN175" s="11"/>
      <c r="AO175" s="11"/>
      <c r="AQ175" s="42"/>
    </row>
    <row r="176" spans="1:43">
      <c r="A176" s="1" t="s">
        <v>195</v>
      </c>
      <c r="B176" s="1"/>
      <c r="C176" s="182">
        <f>C211+C324</f>
        <v>68177.199999999793</v>
      </c>
      <c r="D176" s="161">
        <v>14.7</v>
      </c>
      <c r="E176" s="188"/>
      <c r="F176" s="185">
        <f>F211+F324</f>
        <v>1002205</v>
      </c>
      <c r="G176" s="506">
        <v>14.7</v>
      </c>
      <c r="H176" s="188"/>
      <c r="I176" s="185">
        <f>I211+I324</f>
        <v>1002205</v>
      </c>
      <c r="J176" s="164">
        <f t="shared" si="14"/>
        <v>14.7</v>
      </c>
      <c r="K176" s="188"/>
      <c r="L176" s="185">
        <f>L211+L324</f>
        <v>1002205</v>
      </c>
      <c r="M176" s="475"/>
      <c r="N176" s="475"/>
      <c r="O176" s="38"/>
      <c r="P176" s="512"/>
      <c r="Q176" s="512"/>
      <c r="R176" s="701"/>
      <c r="S176" s="279"/>
      <c r="T176" s="699"/>
      <c r="U176" s="279"/>
      <c r="V176" s="658"/>
      <c r="W176" s="42"/>
      <c r="X176" s="42"/>
      <c r="Y176" s="485"/>
      <c r="AA176" s="11"/>
      <c r="AB176" s="11"/>
      <c r="AC176" s="11"/>
      <c r="AD176" s="11"/>
      <c r="AE176" s="11"/>
      <c r="AF176" s="11"/>
      <c r="AG176" s="11"/>
      <c r="AH176" s="11"/>
      <c r="AJ176" s="42"/>
    </row>
    <row r="177" spans="1:36">
      <c r="A177" s="1" t="s">
        <v>196</v>
      </c>
      <c r="B177" s="1"/>
      <c r="C177" s="182">
        <f>C212+C325</f>
        <v>1269889</v>
      </c>
      <c r="D177" s="161">
        <v>1.04</v>
      </c>
      <c r="E177" s="188"/>
      <c r="F177" s="185">
        <f>F212+F325</f>
        <v>1320685</v>
      </c>
      <c r="G177" s="506">
        <v>1.04</v>
      </c>
      <c r="H177" s="188"/>
      <c r="I177" s="185">
        <f>I212+I325</f>
        <v>1320685</v>
      </c>
      <c r="J177" s="164">
        <f t="shared" si="14"/>
        <v>1.04</v>
      </c>
      <c r="K177" s="188"/>
      <c r="L177" s="185">
        <f>L212+L325</f>
        <v>1320685</v>
      </c>
      <c r="M177" s="279"/>
      <c r="N177" s="279"/>
      <c r="O177" s="38"/>
      <c r="P177" s="512"/>
      <c r="Q177" s="512"/>
      <c r="R177" s="38"/>
      <c r="S177" s="11"/>
      <c r="T177" s="11"/>
      <c r="U177" s="477"/>
      <c r="V177" s="477"/>
      <c r="W177" s="9"/>
      <c r="X177" s="9"/>
      <c r="Y177" s="9"/>
      <c r="AA177" s="11"/>
      <c r="AB177" s="11"/>
      <c r="AC177" s="11"/>
      <c r="AD177" s="11"/>
      <c r="AE177" s="11"/>
      <c r="AF177" s="11"/>
      <c r="AG177" s="11"/>
      <c r="AH177" s="11"/>
      <c r="AJ177" s="42"/>
    </row>
    <row r="178" spans="1:36">
      <c r="A178" s="1" t="s">
        <v>198</v>
      </c>
      <c r="B178" s="1"/>
      <c r="C178" s="182">
        <f>SUM(C175:C176)</f>
        <v>241337.53350720071</v>
      </c>
      <c r="D178" s="161"/>
      <c r="E178" s="186"/>
      <c r="F178" s="185"/>
      <c r="G178" s="506"/>
      <c r="H178" s="186"/>
      <c r="I178" s="185"/>
      <c r="J178" s="164"/>
      <c r="K178" s="186"/>
      <c r="L178" s="185"/>
      <c r="M178" s="11"/>
      <c r="N178" s="11"/>
      <c r="O178" s="38"/>
      <c r="P178" s="490"/>
      <c r="Q178" s="490"/>
      <c r="R178" s="38"/>
      <c r="S178" s="11"/>
      <c r="T178" s="11"/>
      <c r="U178" s="11"/>
      <c r="V178" s="11"/>
      <c r="AA178" s="11"/>
      <c r="AB178" s="11"/>
      <c r="AC178" s="11"/>
      <c r="AD178" s="11"/>
      <c r="AE178" s="11"/>
      <c r="AF178" s="11"/>
      <c r="AG178" s="11"/>
      <c r="AH178" s="11"/>
      <c r="AJ178" s="42"/>
    </row>
    <row r="179" spans="1:36">
      <c r="A179" s="1" t="s">
        <v>166</v>
      </c>
      <c r="B179" s="1"/>
      <c r="C179" s="182">
        <f t="shared" ref="C179:C184" si="15">C213+C327+C415</f>
        <v>239143.68666666545</v>
      </c>
      <c r="D179" s="161"/>
      <c r="E179" s="186"/>
      <c r="F179" s="185"/>
      <c r="G179" s="506"/>
      <c r="H179" s="186"/>
      <c r="I179" s="185"/>
      <c r="J179" s="164"/>
      <c r="K179" s="186"/>
      <c r="L179" s="185"/>
      <c r="M179" s="11"/>
      <c r="N179" s="11"/>
      <c r="O179" s="38"/>
      <c r="P179" s="490"/>
      <c r="Q179" s="490"/>
      <c r="R179" s="38"/>
      <c r="S179" s="11"/>
      <c r="T179" s="11"/>
      <c r="U179" s="11"/>
      <c r="V179" s="11"/>
      <c r="AA179" s="11"/>
      <c r="AB179" s="11"/>
      <c r="AC179" s="11"/>
      <c r="AD179" s="11"/>
      <c r="AE179" s="11"/>
      <c r="AF179" s="11"/>
      <c r="AG179" s="11"/>
      <c r="AH179" s="11"/>
      <c r="AJ179" s="42"/>
    </row>
    <row r="180" spans="1:36">
      <c r="A180" s="1" t="s">
        <v>199</v>
      </c>
      <c r="B180" s="1"/>
      <c r="C180" s="182">
        <f t="shared" si="15"/>
        <v>793943.2</v>
      </c>
      <c r="D180" s="161">
        <v>3.81</v>
      </c>
      <c r="E180" s="186"/>
      <c r="F180" s="185">
        <f>F214+F328+F416</f>
        <v>3024924</v>
      </c>
      <c r="G180" s="506">
        <v>3.81</v>
      </c>
      <c r="H180" s="186"/>
      <c r="I180" s="185">
        <f>I214+I328+I416</f>
        <v>3024924</v>
      </c>
      <c r="J180" s="164">
        <f t="shared" ref="J180" si="16">G180</f>
        <v>3.81</v>
      </c>
      <c r="K180" s="186"/>
      <c r="L180" s="185">
        <f>L214+L328+L416</f>
        <v>3024924</v>
      </c>
      <c r="M180" s="279"/>
      <c r="N180" s="279"/>
      <c r="O180" s="38"/>
      <c r="P180" s="512"/>
      <c r="Q180" s="512"/>
      <c r="R180" s="38"/>
      <c r="S180" s="11"/>
      <c r="T180" s="11"/>
      <c r="U180" s="11"/>
      <c r="V180" s="11"/>
      <c r="AA180" s="11"/>
      <c r="AB180" s="11"/>
      <c r="AC180" s="11"/>
      <c r="AD180" s="11"/>
      <c r="AE180" s="11"/>
      <c r="AF180" s="11"/>
      <c r="AG180" s="11"/>
      <c r="AH180" s="11"/>
      <c r="AJ180" s="42"/>
    </row>
    <row r="181" spans="1:36">
      <c r="A181" s="1" t="s">
        <v>201</v>
      </c>
      <c r="B181" s="1"/>
      <c r="C181" s="182">
        <f t="shared" si="15"/>
        <v>136614732.84604526</v>
      </c>
      <c r="D181" s="162">
        <v>10.898999999999999</v>
      </c>
      <c r="E181" s="186" t="s">
        <v>178</v>
      </c>
      <c r="F181" s="185">
        <f>F215+F329+F417</f>
        <v>14889641</v>
      </c>
      <c r="G181" s="731">
        <v>11.222</v>
      </c>
      <c r="H181" s="186" t="s">
        <v>178</v>
      </c>
      <c r="I181" s="185">
        <f>I215+I329+I417</f>
        <v>15330904</v>
      </c>
      <c r="J181" s="162">
        <f ca="1">ROUND(G181+($O$168/$C$199)*100,3)</f>
        <v>11.207000000000001</v>
      </c>
      <c r="K181" s="186" t="s">
        <v>178</v>
      </c>
      <c r="L181" s="185">
        <f ca="1">L215+L329+L417</f>
        <v>15310414</v>
      </c>
      <c r="M181" s="11"/>
      <c r="N181" s="11"/>
      <c r="O181" s="38"/>
      <c r="P181" s="512"/>
      <c r="Q181" s="512"/>
      <c r="R181" s="38"/>
      <c r="S181" s="11"/>
      <c r="T181" s="702"/>
      <c r="U181" s="702"/>
      <c r="V181" s="702"/>
      <c r="W181" s="100"/>
      <c r="X181" s="100"/>
      <c r="AA181" s="11"/>
      <c r="AB181" s="11"/>
      <c r="AC181" s="11"/>
      <c r="AD181" s="11"/>
      <c r="AE181" s="11"/>
      <c r="AF181" s="11"/>
      <c r="AG181" s="11"/>
      <c r="AH181" s="11"/>
      <c r="AJ181" s="42"/>
    </row>
    <row r="182" spans="1:36">
      <c r="A182" s="1" t="s">
        <v>202</v>
      </c>
      <c r="B182" s="1"/>
      <c r="C182" s="182">
        <f t="shared" si="15"/>
        <v>291321756.15769178</v>
      </c>
      <c r="D182" s="162">
        <v>7.3739999999999997</v>
      </c>
      <c r="E182" s="186" t="s">
        <v>178</v>
      </c>
      <c r="F182" s="185">
        <f>F216+F330+F418</f>
        <v>21482065</v>
      </c>
      <c r="G182" s="731">
        <v>7.6970000000000001</v>
      </c>
      <c r="H182" s="186" t="s">
        <v>178</v>
      </c>
      <c r="I182" s="185">
        <f>I216+I330+I418</f>
        <v>22423036</v>
      </c>
      <c r="J182" s="162">
        <f ca="1">ROUND(G182+($O$168/$C$199)*100,3)</f>
        <v>7.6820000000000004</v>
      </c>
      <c r="K182" s="186" t="s">
        <v>178</v>
      </c>
      <c r="L182" s="185">
        <f ca="1">L216+L330+L418</f>
        <v>22379337</v>
      </c>
      <c r="M182" s="292"/>
      <c r="N182" s="292"/>
      <c r="O182" s="38"/>
      <c r="P182" s="512"/>
      <c r="Q182" s="512"/>
      <c r="R182" s="703"/>
      <c r="S182" s="11"/>
      <c r="T182" s="11"/>
      <c r="U182" s="11"/>
      <c r="V182" s="704"/>
      <c r="AA182" s="11"/>
      <c r="AB182" s="11"/>
      <c r="AC182" s="11"/>
      <c r="AD182" s="11"/>
      <c r="AE182" s="11"/>
      <c r="AF182" s="11"/>
      <c r="AG182" s="11"/>
      <c r="AH182" s="11"/>
      <c r="AJ182" s="42"/>
    </row>
    <row r="183" spans="1:36">
      <c r="A183" s="1" t="s">
        <v>203</v>
      </c>
      <c r="B183" s="1"/>
      <c r="C183" s="182">
        <f t="shared" si="15"/>
        <v>122057286.54865542</v>
      </c>
      <c r="D183" s="162">
        <v>6.8529999999999998</v>
      </c>
      <c r="E183" s="186" t="s">
        <v>178</v>
      </c>
      <c r="F183" s="185">
        <f>F217+F331+F419</f>
        <v>8364586</v>
      </c>
      <c r="G183" s="731">
        <v>7.1760000000000002</v>
      </c>
      <c r="H183" s="186" t="s">
        <v>178</v>
      </c>
      <c r="I183" s="185">
        <f>I217+I331+I419</f>
        <v>8758831</v>
      </c>
      <c r="J183" s="162">
        <f ca="1">ROUND(G183+($O$168/$C$199)*100,3)</f>
        <v>7.1609999999999996</v>
      </c>
      <c r="K183" s="186" t="s">
        <v>178</v>
      </c>
      <c r="L183" s="185">
        <f ca="1">L217+L331+L419</f>
        <v>8740523</v>
      </c>
      <c r="M183" s="279"/>
      <c r="N183" s="279"/>
      <c r="O183" s="38"/>
      <c r="P183" s="512"/>
      <c r="Q183" s="512"/>
      <c r="R183" s="703"/>
      <c r="S183" s="705"/>
      <c r="T183" s="11"/>
      <c r="U183" s="11"/>
      <c r="V183" s="704"/>
      <c r="AA183" s="11"/>
      <c r="AB183" s="11"/>
      <c r="AC183" s="11"/>
      <c r="AD183" s="11"/>
      <c r="AE183" s="11"/>
      <c r="AF183" s="11"/>
      <c r="AG183" s="11"/>
      <c r="AH183" s="11"/>
      <c r="AJ183" s="42"/>
    </row>
    <row r="184" spans="1:36">
      <c r="A184" s="1" t="s">
        <v>204</v>
      </c>
      <c r="B184" s="1"/>
      <c r="C184" s="182">
        <f t="shared" si="15"/>
        <v>121030.29055555548</v>
      </c>
      <c r="D184" s="193">
        <v>58</v>
      </c>
      <c r="E184" s="186" t="s">
        <v>178</v>
      </c>
      <c r="F184" s="185">
        <f>F218+F332+F420</f>
        <v>70197</v>
      </c>
      <c r="G184" s="733">
        <v>58</v>
      </c>
      <c r="H184" s="186" t="s">
        <v>178</v>
      </c>
      <c r="I184" s="185">
        <f>I218+I332+I420</f>
        <v>70197</v>
      </c>
      <c r="J184" s="193">
        <f t="shared" ref="J184:J185" si="17">G184</f>
        <v>58</v>
      </c>
      <c r="K184" s="186" t="s">
        <v>178</v>
      </c>
      <c r="L184" s="185">
        <f>L218+L332+L420</f>
        <v>70197</v>
      </c>
      <c r="M184" s="279"/>
      <c r="N184" s="279"/>
      <c r="O184" s="38"/>
      <c r="P184" s="512"/>
      <c r="Q184" s="512"/>
      <c r="R184" s="38"/>
      <c r="S184" s="11"/>
      <c r="T184" s="11"/>
      <c r="U184" s="11"/>
      <c r="V184" s="11"/>
      <c r="AA184" s="11"/>
      <c r="AB184" s="11"/>
      <c r="AC184" s="11"/>
      <c r="AD184" s="11"/>
      <c r="AE184" s="11"/>
      <c r="AF184" s="11"/>
      <c r="AG184" s="11"/>
      <c r="AH184" s="11"/>
      <c r="AJ184" s="42"/>
    </row>
    <row r="185" spans="1:36">
      <c r="A185" s="194" t="s">
        <v>205</v>
      </c>
      <c r="B185" s="1"/>
      <c r="C185" s="182"/>
      <c r="D185" s="195">
        <v>-0.01</v>
      </c>
      <c r="E185" s="186"/>
      <c r="F185" s="185"/>
      <c r="G185" s="734">
        <v>-0.01</v>
      </c>
      <c r="H185" s="186"/>
      <c r="I185" s="185"/>
      <c r="J185" s="195">
        <f t="shared" si="17"/>
        <v>-0.01</v>
      </c>
      <c r="K185" s="186"/>
      <c r="L185" s="185"/>
      <c r="M185" s="279"/>
      <c r="N185" s="11"/>
      <c r="O185" s="706"/>
      <c r="P185" s="38"/>
      <c r="Q185" s="38"/>
      <c r="R185" s="11"/>
      <c r="S185" s="11"/>
      <c r="T185" s="11"/>
      <c r="U185" s="11"/>
      <c r="V185" s="11"/>
      <c r="AA185" s="11"/>
      <c r="AB185" s="11"/>
      <c r="AC185" s="11"/>
      <c r="AD185" s="11"/>
      <c r="AE185" s="11"/>
      <c r="AF185" s="11"/>
      <c r="AG185" s="11"/>
      <c r="AH185" s="11"/>
      <c r="AJ185" s="42"/>
    </row>
    <row r="186" spans="1:36">
      <c r="A186" s="1" t="s">
        <v>194</v>
      </c>
      <c r="B186" s="1"/>
      <c r="C186" s="182">
        <f t="shared" ref="C186:C195" si="18">C220+C334+C422</f>
        <v>83.966666666666697</v>
      </c>
      <c r="D186" s="197">
        <v>9.99</v>
      </c>
      <c r="E186" s="184"/>
      <c r="F186" s="185">
        <f t="shared" ref="F186:F195" si="19">F220+F334+F422</f>
        <v>-8</v>
      </c>
      <c r="G186" s="216">
        <v>9.86</v>
      </c>
      <c r="H186" s="184"/>
      <c r="I186" s="185">
        <f t="shared" ref="I186:I195" si="20">I220+I334+I422</f>
        <v>-8</v>
      </c>
      <c r="J186" s="197">
        <f>J175</f>
        <v>9.86</v>
      </c>
      <c r="K186" s="184"/>
      <c r="L186" s="185">
        <f t="shared" ref="L186:L195" si="21">L220+L334+L422</f>
        <v>-8</v>
      </c>
      <c r="M186" s="11"/>
      <c r="N186" s="11"/>
      <c r="O186" s="38"/>
      <c r="P186" s="38"/>
      <c r="Q186" s="38"/>
      <c r="R186" s="11"/>
      <c r="S186" s="11"/>
      <c r="T186" s="11"/>
      <c r="U186" s="11"/>
      <c r="V186" s="11"/>
      <c r="AA186" s="11"/>
      <c r="AB186" s="11"/>
      <c r="AC186" s="11"/>
      <c r="AD186" s="11"/>
      <c r="AE186" s="11"/>
      <c r="AF186" s="11"/>
      <c r="AG186" s="11"/>
      <c r="AH186" s="11"/>
      <c r="AJ186" s="42"/>
    </row>
    <row r="187" spans="1:36">
      <c r="A187" s="1" t="s">
        <v>195</v>
      </c>
      <c r="B187" s="1"/>
      <c r="C187" s="182">
        <f t="shared" si="18"/>
        <v>103.9666666666667</v>
      </c>
      <c r="D187" s="197">
        <v>14.89</v>
      </c>
      <c r="E187" s="184"/>
      <c r="F187" s="185">
        <f t="shared" si="19"/>
        <v>-16</v>
      </c>
      <c r="G187" s="216">
        <v>14.7</v>
      </c>
      <c r="H187" s="184"/>
      <c r="I187" s="185">
        <f t="shared" si="20"/>
        <v>-16</v>
      </c>
      <c r="J187" s="197">
        <f>J176</f>
        <v>14.7</v>
      </c>
      <c r="K187" s="184"/>
      <c r="L187" s="185">
        <f t="shared" si="21"/>
        <v>-16</v>
      </c>
      <c r="M187" s="11"/>
      <c r="N187" s="11"/>
      <c r="O187" s="17"/>
      <c r="P187" s="38"/>
      <c r="Q187" s="38"/>
      <c r="R187" s="11"/>
      <c r="S187" s="11"/>
      <c r="T187" s="11"/>
      <c r="U187" s="11"/>
      <c r="V187" s="11"/>
      <c r="AC187" s="11"/>
      <c r="AD187" s="11"/>
      <c r="AE187" s="11"/>
      <c r="AF187" s="11"/>
      <c r="AG187" s="11"/>
      <c r="AH187" s="11"/>
      <c r="AJ187" s="42"/>
    </row>
    <row r="188" spans="1:36">
      <c r="A188" s="1" t="s">
        <v>206</v>
      </c>
      <c r="B188" s="1"/>
      <c r="C188" s="182">
        <f t="shared" si="18"/>
        <v>5541</v>
      </c>
      <c r="D188" s="197">
        <v>1.04</v>
      </c>
      <c r="E188" s="184"/>
      <c r="F188" s="185">
        <f t="shared" si="19"/>
        <v>-58</v>
      </c>
      <c r="G188" s="216">
        <v>1.04</v>
      </c>
      <c r="H188" s="184"/>
      <c r="I188" s="185">
        <f t="shared" si="20"/>
        <v>-58</v>
      </c>
      <c r="J188" s="197">
        <f>J177</f>
        <v>1.04</v>
      </c>
      <c r="K188" s="184"/>
      <c r="L188" s="185">
        <f t="shared" si="21"/>
        <v>-58</v>
      </c>
      <c r="M188" s="11"/>
      <c r="N188" s="11"/>
      <c r="O188" s="38"/>
      <c r="P188" s="17"/>
      <c r="Q188" s="38"/>
      <c r="R188" s="6"/>
      <c r="S188" s="11"/>
      <c r="T188" s="11"/>
      <c r="U188" s="11"/>
      <c r="V188" s="11"/>
      <c r="AC188" s="11"/>
      <c r="AD188" s="11"/>
      <c r="AE188" s="11"/>
      <c r="AF188" s="11"/>
      <c r="AG188" s="11"/>
      <c r="AH188" s="11"/>
      <c r="AJ188" s="42"/>
    </row>
    <row r="189" spans="1:36">
      <c r="A189" s="1" t="s">
        <v>207</v>
      </c>
      <c r="B189" s="1"/>
      <c r="C189" s="182">
        <f t="shared" si="18"/>
        <v>1992</v>
      </c>
      <c r="D189" s="197">
        <v>3.8</v>
      </c>
      <c r="E189" s="186"/>
      <c r="F189" s="185">
        <f t="shared" si="19"/>
        <v>-76</v>
      </c>
      <c r="G189" s="216">
        <v>3.81</v>
      </c>
      <c r="H189" s="186"/>
      <c r="I189" s="185">
        <f t="shared" si="20"/>
        <v>-76</v>
      </c>
      <c r="J189" s="197">
        <f>J180</f>
        <v>3.81</v>
      </c>
      <c r="K189" s="186"/>
      <c r="L189" s="185">
        <f t="shared" si="21"/>
        <v>-76</v>
      </c>
      <c r="M189" s="11"/>
      <c r="N189" s="11"/>
      <c r="O189" s="38"/>
      <c r="P189" s="38"/>
      <c r="Q189" s="17"/>
      <c r="R189" s="11"/>
      <c r="S189" s="11"/>
      <c r="T189" s="11"/>
      <c r="U189" s="11"/>
      <c r="V189" s="11"/>
      <c r="AC189" s="11"/>
      <c r="AD189" s="11"/>
      <c r="AE189" s="11"/>
      <c r="AF189" s="11"/>
      <c r="AG189" s="11"/>
      <c r="AH189" s="11"/>
      <c r="AJ189" s="42"/>
    </row>
    <row r="190" spans="1:36">
      <c r="A190" s="1" t="s">
        <v>209</v>
      </c>
      <c r="B190" s="1"/>
      <c r="C190" s="182">
        <f t="shared" si="18"/>
        <v>149222.66666666669</v>
      </c>
      <c r="D190" s="198">
        <v>10.878</v>
      </c>
      <c r="E190" s="186" t="s">
        <v>178</v>
      </c>
      <c r="F190" s="185">
        <f t="shared" si="19"/>
        <v>-163</v>
      </c>
      <c r="G190" s="735">
        <v>11.222</v>
      </c>
      <c r="H190" s="186" t="s">
        <v>178</v>
      </c>
      <c r="I190" s="185">
        <f t="shared" si="20"/>
        <v>-167</v>
      </c>
      <c r="J190" s="198">
        <f ca="1">J181</f>
        <v>11.207000000000001</v>
      </c>
      <c r="K190" s="186" t="s">
        <v>178</v>
      </c>
      <c r="L190" s="185">
        <f t="shared" ca="1" si="21"/>
        <v>-167</v>
      </c>
      <c r="AC190" s="11"/>
      <c r="AD190" s="11"/>
      <c r="AE190" s="11"/>
      <c r="AF190" s="11"/>
      <c r="AG190" s="11"/>
      <c r="AH190" s="11"/>
      <c r="AJ190" s="42"/>
    </row>
    <row r="191" spans="1:36">
      <c r="A191" s="1" t="s">
        <v>202</v>
      </c>
      <c r="B191" s="1"/>
      <c r="C191" s="182">
        <f t="shared" si="18"/>
        <v>626125.33333333326</v>
      </c>
      <c r="D191" s="198">
        <v>7.5140000000000002</v>
      </c>
      <c r="E191" s="186" t="s">
        <v>178</v>
      </c>
      <c r="F191" s="185">
        <f t="shared" si="19"/>
        <v>-462</v>
      </c>
      <c r="G191" s="735">
        <v>7.6970000000000001</v>
      </c>
      <c r="H191" s="186" t="s">
        <v>178</v>
      </c>
      <c r="I191" s="185">
        <f t="shared" si="20"/>
        <v>-482</v>
      </c>
      <c r="J191" s="198">
        <f ca="1">J182</f>
        <v>7.6820000000000004</v>
      </c>
      <c r="K191" s="186" t="s">
        <v>178</v>
      </c>
      <c r="L191" s="185">
        <f t="shared" ca="1" si="21"/>
        <v>-481</v>
      </c>
      <c r="M191" s="11"/>
      <c r="N191" s="11"/>
      <c r="O191" s="38"/>
      <c r="P191" s="38"/>
      <c r="Q191" s="38"/>
      <c r="R191" s="11"/>
      <c r="S191" s="11"/>
      <c r="T191" s="11"/>
      <c r="U191" s="11"/>
      <c r="V191" s="11"/>
      <c r="AC191" s="11"/>
      <c r="AD191" s="11"/>
      <c r="AE191" s="11"/>
      <c r="AF191" s="11"/>
      <c r="AG191" s="11"/>
      <c r="AH191" s="11"/>
      <c r="AJ191" s="42"/>
    </row>
    <row r="192" spans="1:36">
      <c r="A192" s="1" t="s">
        <v>203</v>
      </c>
      <c r="B192" s="1"/>
      <c r="C192" s="182">
        <f t="shared" si="18"/>
        <v>362541</v>
      </c>
      <c r="D192" s="198">
        <v>6.4720000000000004</v>
      </c>
      <c r="E192" s="186" t="s">
        <v>178</v>
      </c>
      <c r="F192" s="185">
        <f t="shared" si="19"/>
        <v>-249</v>
      </c>
      <c r="G192" s="735">
        <v>7.1760000000000002</v>
      </c>
      <c r="H192" s="186" t="s">
        <v>178</v>
      </c>
      <c r="I192" s="185">
        <f t="shared" si="20"/>
        <v>-261</v>
      </c>
      <c r="J192" s="198">
        <f ca="1">J183</f>
        <v>7.1609999999999996</v>
      </c>
      <c r="K192" s="186" t="s">
        <v>178</v>
      </c>
      <c r="L192" s="185">
        <f t="shared" ca="1" si="21"/>
        <v>-260</v>
      </c>
      <c r="M192" s="11"/>
      <c r="N192" s="11"/>
      <c r="O192" s="38"/>
      <c r="P192" s="38"/>
      <c r="Q192" s="38"/>
      <c r="R192" s="11"/>
      <c r="S192" s="11"/>
      <c r="T192" s="11"/>
      <c r="U192" s="11"/>
      <c r="V192" s="11"/>
      <c r="AA192" s="11"/>
      <c r="AB192" s="11"/>
      <c r="AC192" s="11"/>
      <c r="AD192" s="11"/>
      <c r="AE192" s="11"/>
      <c r="AF192" s="11"/>
      <c r="AG192" s="11"/>
      <c r="AH192" s="11"/>
      <c r="AJ192" s="42"/>
    </row>
    <row r="193" spans="1:36">
      <c r="A193" s="1" t="s">
        <v>204</v>
      </c>
      <c r="B193" s="1"/>
      <c r="C193" s="182">
        <f t="shared" si="18"/>
        <v>1169.8</v>
      </c>
      <c r="D193" s="199">
        <v>58</v>
      </c>
      <c r="E193" s="186" t="s">
        <v>178</v>
      </c>
      <c r="F193" s="185">
        <f t="shared" si="19"/>
        <v>-6</v>
      </c>
      <c r="G193" s="736">
        <v>58</v>
      </c>
      <c r="H193" s="186" t="s">
        <v>178</v>
      </c>
      <c r="I193" s="185">
        <f t="shared" si="20"/>
        <v>-6</v>
      </c>
      <c r="J193" s="199">
        <f>J184</f>
        <v>58</v>
      </c>
      <c r="K193" s="186" t="s">
        <v>178</v>
      </c>
      <c r="L193" s="185">
        <f t="shared" si="21"/>
        <v>-6</v>
      </c>
      <c r="M193" s="11"/>
      <c r="N193" s="11"/>
      <c r="O193" s="38"/>
      <c r="P193" s="38"/>
      <c r="Q193" s="38"/>
      <c r="R193" s="11"/>
      <c r="S193" s="11"/>
      <c r="T193" s="11"/>
      <c r="U193" s="11"/>
      <c r="V193" s="11"/>
      <c r="AA193" s="11"/>
      <c r="AB193" s="11"/>
      <c r="AC193" s="11"/>
      <c r="AD193" s="11"/>
      <c r="AE193" s="11"/>
      <c r="AF193" s="11"/>
      <c r="AG193" s="11"/>
      <c r="AH193" s="11"/>
      <c r="AJ193" s="42"/>
    </row>
    <row r="194" spans="1:36">
      <c r="A194" s="1" t="s">
        <v>211</v>
      </c>
      <c r="B194" s="1"/>
      <c r="C194" s="182">
        <f t="shared" si="18"/>
        <v>155.93333333333339</v>
      </c>
      <c r="D194" s="200">
        <v>60</v>
      </c>
      <c r="E194" s="186"/>
      <c r="F194" s="185">
        <f t="shared" si="19"/>
        <v>9356</v>
      </c>
      <c r="G194" s="216">
        <v>60</v>
      </c>
      <c r="H194" s="186"/>
      <c r="I194" s="185">
        <f t="shared" si="20"/>
        <v>9356</v>
      </c>
      <c r="J194" s="200">
        <f t="shared" ref="J194:J195" si="22">G194</f>
        <v>60</v>
      </c>
      <c r="K194" s="186"/>
      <c r="L194" s="185">
        <f t="shared" si="21"/>
        <v>9356</v>
      </c>
      <c r="M194" s="279"/>
      <c r="N194" s="279"/>
      <c r="O194" s="38"/>
      <c r="P194" s="512"/>
      <c r="Q194" s="38"/>
      <c r="R194" s="11"/>
      <c r="S194" s="11"/>
      <c r="T194" s="11"/>
      <c r="U194" s="11"/>
      <c r="V194" s="11"/>
      <c r="AA194" s="11"/>
      <c r="AB194" s="11"/>
      <c r="AC194" s="11"/>
      <c r="AD194" s="11"/>
      <c r="AE194" s="11"/>
      <c r="AF194" s="11"/>
      <c r="AG194" s="11"/>
      <c r="AH194" s="11"/>
      <c r="AJ194" s="42"/>
    </row>
    <row r="195" spans="1:36">
      <c r="A195" s="1" t="s">
        <v>212</v>
      </c>
      <c r="B195" s="1"/>
      <c r="C195" s="182">
        <f t="shared" si="18"/>
        <v>5455</v>
      </c>
      <c r="D195" s="202">
        <v>-30</v>
      </c>
      <c r="E195" s="186" t="s">
        <v>178</v>
      </c>
      <c r="F195" s="185">
        <f t="shared" si="19"/>
        <v>-1637</v>
      </c>
      <c r="G195" s="737">
        <v>-30</v>
      </c>
      <c r="H195" s="186" t="s">
        <v>178</v>
      </c>
      <c r="I195" s="185">
        <f t="shared" si="20"/>
        <v>-1637</v>
      </c>
      <c r="J195" s="202">
        <f t="shared" si="22"/>
        <v>-30</v>
      </c>
      <c r="K195" s="186" t="s">
        <v>178</v>
      </c>
      <c r="L195" s="185">
        <f t="shared" si="21"/>
        <v>-1637</v>
      </c>
      <c r="M195" s="279"/>
      <c r="N195" s="279"/>
      <c r="O195" s="279"/>
      <c r="P195" s="512"/>
      <c r="Q195" s="38"/>
      <c r="R195" s="707"/>
      <c r="S195" s="707"/>
      <c r="T195" s="11"/>
      <c r="U195" s="11"/>
      <c r="V195" s="11"/>
      <c r="AA195" s="11"/>
      <c r="AB195" s="11"/>
      <c r="AC195" s="11"/>
      <c r="AD195" s="11"/>
      <c r="AE195" s="11"/>
      <c r="AF195" s="11"/>
      <c r="AG195" s="11"/>
      <c r="AH195" s="11"/>
      <c r="AJ195" s="42"/>
    </row>
    <row r="196" spans="1:36" s="545" customFormat="1" hidden="1">
      <c r="A196" s="524" t="s">
        <v>485</v>
      </c>
      <c r="C196" s="527">
        <f>C190</f>
        <v>149222.66666666669</v>
      </c>
      <c r="D196" s="132">
        <v>0</v>
      </c>
      <c r="E196" s="546"/>
      <c r="F196" s="548"/>
      <c r="G196" s="738" t="e">
        <v>#REF!</v>
      </c>
      <c r="H196" s="525" t="s">
        <v>178</v>
      </c>
      <c r="I196" s="185" t="e">
        <f>#REF!+#REF!+#REF!</f>
        <v>#REF!</v>
      </c>
      <c r="J196" s="553" t="e">
        <f>#REF!</f>
        <v>#REF!</v>
      </c>
      <c r="K196" s="525" t="s">
        <v>178</v>
      </c>
      <c r="L196" s="185" t="e">
        <f>#REF!+#REF!+#REF!</f>
        <v>#REF!</v>
      </c>
      <c r="M196" s="546"/>
      <c r="N196" s="546"/>
      <c r="O196" s="315"/>
      <c r="P196" s="512"/>
      <c r="Q196" s="546"/>
      <c r="R196" s="700"/>
      <c r="S196" s="700"/>
      <c r="T196" s="546"/>
      <c r="U196" s="546"/>
      <c r="V196" s="546"/>
      <c r="X196" s="546"/>
      <c r="Y196" s="546"/>
      <c r="Z196" s="546"/>
      <c r="AA196" s="546"/>
      <c r="AB196" s="546"/>
      <c r="AC196" s="546"/>
      <c r="AD196" s="546"/>
      <c r="AE196" s="546"/>
      <c r="AF196" s="546"/>
      <c r="AG196" s="546"/>
      <c r="AH196" s="546"/>
      <c r="AJ196" s="549"/>
    </row>
    <row r="197" spans="1:36" s="545" customFormat="1" hidden="1">
      <c r="A197" s="524" t="s">
        <v>486</v>
      </c>
      <c r="C197" s="527">
        <f>C191</f>
        <v>626125.33333333326</v>
      </c>
      <c r="D197" s="132">
        <v>0</v>
      </c>
      <c r="E197" s="546"/>
      <c r="F197" s="548"/>
      <c r="G197" s="738" t="e">
        <v>#REF!</v>
      </c>
      <c r="H197" s="525" t="s">
        <v>178</v>
      </c>
      <c r="I197" s="185" t="e">
        <f>#REF!+#REF!+#REF!</f>
        <v>#REF!</v>
      </c>
      <c r="J197" s="553" t="e">
        <f>#REF!</f>
        <v>#REF!</v>
      </c>
      <c r="K197" s="525" t="s">
        <v>178</v>
      </c>
      <c r="L197" s="185" t="e">
        <f>#REF!+#REF!+#REF!</f>
        <v>#REF!</v>
      </c>
      <c r="M197" s="546"/>
      <c r="N197" s="546"/>
      <c r="O197" s="315"/>
      <c r="P197" s="512"/>
      <c r="Q197" s="546"/>
      <c r="R197" s="700"/>
      <c r="S197" s="700"/>
      <c r="T197" s="546"/>
      <c r="U197" s="546"/>
      <c r="V197" s="546"/>
      <c r="X197" s="546"/>
      <c r="Y197" s="546"/>
      <c r="Z197" s="546"/>
      <c r="AA197" s="546"/>
      <c r="AB197" s="546"/>
      <c r="AC197" s="546"/>
      <c r="AD197" s="546"/>
      <c r="AE197" s="546"/>
      <c r="AF197" s="546"/>
      <c r="AG197" s="546"/>
      <c r="AH197" s="546"/>
      <c r="AJ197" s="549"/>
    </row>
    <row r="198" spans="1:36" s="545" customFormat="1" hidden="1">
      <c r="A198" s="524" t="s">
        <v>487</v>
      </c>
      <c r="C198" s="527">
        <f>C192</f>
        <v>362541</v>
      </c>
      <c r="D198" s="132">
        <v>0</v>
      </c>
      <c r="E198" s="546"/>
      <c r="F198" s="548"/>
      <c r="G198" s="738" t="e">
        <v>#REF!</v>
      </c>
      <c r="H198" s="525" t="s">
        <v>178</v>
      </c>
      <c r="I198" s="185" t="e">
        <f>#REF!+#REF!+#REF!</f>
        <v>#REF!</v>
      </c>
      <c r="J198" s="553" t="e">
        <f>#REF!</f>
        <v>#REF!</v>
      </c>
      <c r="K198" s="525" t="s">
        <v>178</v>
      </c>
      <c r="L198" s="185" t="e">
        <f>#REF!+#REF!+#REF!</f>
        <v>#REF!</v>
      </c>
      <c r="M198" s="546"/>
      <c r="N198" s="546"/>
      <c r="O198" s="315"/>
      <c r="P198" s="512"/>
      <c r="Q198" s="546"/>
      <c r="R198" s="700"/>
      <c r="S198" s="700"/>
      <c r="T198" s="546"/>
      <c r="U198" s="546"/>
      <c r="V198" s="546"/>
      <c r="X198" s="546"/>
      <c r="Y198" s="546"/>
      <c r="Z198" s="546"/>
      <c r="AA198" s="546"/>
      <c r="AB198" s="546"/>
      <c r="AC198" s="546"/>
      <c r="AD198" s="546"/>
      <c r="AE198" s="546"/>
      <c r="AF198" s="546"/>
      <c r="AG198" s="546"/>
      <c r="AH198" s="546"/>
      <c r="AJ198" s="549"/>
    </row>
    <row r="199" spans="1:36">
      <c r="A199" s="1" t="s">
        <v>185</v>
      </c>
      <c r="B199" s="127"/>
      <c r="C199" s="182">
        <f>C230+C344+C432</f>
        <v>549993775.55239236</v>
      </c>
      <c r="D199" s="193"/>
      <c r="E199" s="186"/>
      <c r="F199" s="185">
        <f>F230+F344+F432</f>
        <v>51912499</v>
      </c>
      <c r="G199" s="733"/>
      <c r="H199" s="186"/>
      <c r="I199" s="185">
        <f>I230+I344+I432</f>
        <v>53688942</v>
      </c>
      <c r="J199" s="193"/>
      <c r="K199" s="186"/>
      <c r="L199" s="185">
        <f ca="1">L230+L344+L432</f>
        <v>53606447</v>
      </c>
      <c r="M199" s="20"/>
      <c r="N199" s="20"/>
      <c r="O199" s="20"/>
      <c r="P199" s="512"/>
      <c r="Q199" s="38"/>
      <c r="R199" s="11"/>
      <c r="S199" s="11"/>
      <c r="T199" s="11"/>
      <c r="U199" s="11"/>
      <c r="V199" s="11"/>
      <c r="AA199" s="11"/>
      <c r="AB199" s="11"/>
      <c r="AC199" s="11"/>
      <c r="AD199" s="11"/>
      <c r="AE199" s="11"/>
      <c r="AF199" s="11"/>
      <c r="AG199" s="11"/>
      <c r="AH199" s="11"/>
      <c r="AJ199" s="42"/>
    </row>
    <row r="200" spans="1:36">
      <c r="A200" s="1" t="s">
        <v>167</v>
      </c>
      <c r="B200" s="15"/>
      <c r="C200" s="203">
        <f>C231+C345+C433</f>
        <v>4745356.2778315768</v>
      </c>
      <c r="D200" s="172"/>
      <c r="E200" s="172"/>
      <c r="F200" s="204">
        <f>F231+F345+F433</f>
        <v>646735.19913938292</v>
      </c>
      <c r="G200" s="284"/>
      <c r="H200" s="172"/>
      <c r="I200" s="173">
        <f>F200</f>
        <v>646735.19913938292</v>
      </c>
      <c r="J200" s="172"/>
      <c r="K200" s="172"/>
      <c r="L200" s="173">
        <f>I200</f>
        <v>646735.19913938292</v>
      </c>
      <c r="M200" s="11"/>
      <c r="N200" s="11"/>
      <c r="O200" s="38"/>
      <c r="P200" s="510"/>
      <c r="Q200" s="510"/>
      <c r="R200" s="11"/>
      <c r="S200" s="11"/>
      <c r="T200" s="11"/>
      <c r="U200" s="11"/>
      <c r="V200" s="11"/>
      <c r="AA200" s="11"/>
      <c r="AB200" s="11"/>
      <c r="AC200" s="11"/>
      <c r="AD200" s="11"/>
      <c r="AE200" s="11"/>
      <c r="AF200" s="11"/>
      <c r="AG200" s="11"/>
      <c r="AH200" s="11"/>
      <c r="AJ200" s="42"/>
    </row>
    <row r="201" spans="1:36" ht="16.5" thickBot="1">
      <c r="A201" s="1" t="s">
        <v>186</v>
      </c>
      <c r="B201" s="1"/>
      <c r="C201" s="174">
        <f>SUM(C199:C200)</f>
        <v>554739131.83022392</v>
      </c>
      <c r="D201" s="519"/>
      <c r="E201" s="208"/>
      <c r="F201" s="207">
        <f>F199+F200</f>
        <v>52559234.199139386</v>
      </c>
      <c r="G201" s="739"/>
      <c r="H201" s="208"/>
      <c r="I201" s="207">
        <f>I199+I200</f>
        <v>54335677.199139386</v>
      </c>
      <c r="J201" s="335"/>
      <c r="K201" s="208"/>
      <c r="L201" s="207">
        <f ca="1">L199+L200</f>
        <v>54253182.199139386</v>
      </c>
      <c r="M201" s="11"/>
      <c r="N201" s="279"/>
      <c r="O201" s="279"/>
      <c r="P201" s="500"/>
      <c r="Q201" s="510"/>
      <c r="R201" s="512"/>
      <c r="S201" s="11"/>
      <c r="T201" s="11"/>
      <c r="U201" s="11"/>
      <c r="V201" s="11"/>
      <c r="AA201" s="11"/>
      <c r="AB201" s="11"/>
      <c r="AC201" s="11"/>
      <c r="AD201" s="11"/>
      <c r="AE201" s="11"/>
      <c r="AF201" s="11"/>
      <c r="AG201" s="11"/>
      <c r="AH201" s="11"/>
      <c r="AJ201" s="42"/>
    </row>
    <row r="202" spans="1:36" ht="16.5" thickTop="1">
      <c r="A202" s="1"/>
      <c r="B202" s="1"/>
      <c r="C202" s="213"/>
      <c r="D202" s="614"/>
      <c r="E202" s="14"/>
      <c r="F202" s="185"/>
      <c r="G202" s="740"/>
      <c r="H202" s="14"/>
      <c r="I202" s="185" t="s">
        <v>13</v>
      </c>
      <c r="J202" s="615"/>
      <c r="K202" s="14"/>
      <c r="L202" s="185" t="s">
        <v>13</v>
      </c>
      <c r="M202" s="11"/>
      <c r="N202" s="11"/>
      <c r="O202" s="279"/>
      <c r="P202" s="6"/>
      <c r="Q202" s="510"/>
      <c r="R202" s="512"/>
      <c r="S202" s="11"/>
      <c r="T202" s="11"/>
      <c r="U202" s="11"/>
      <c r="V202" s="11"/>
      <c r="AA202" s="11"/>
      <c r="AB202" s="11"/>
      <c r="AC202" s="11"/>
      <c r="AD202" s="11"/>
      <c r="AE202" s="11"/>
      <c r="AF202" s="11"/>
      <c r="AG202" s="11"/>
      <c r="AH202" s="11"/>
      <c r="AJ202" s="42"/>
    </row>
    <row r="203" spans="1:36" hidden="1">
      <c r="A203" s="1"/>
      <c r="B203" s="1"/>
      <c r="C203" s="213"/>
      <c r="D203" s="614"/>
      <c r="E203" s="14"/>
      <c r="F203" s="185"/>
      <c r="G203" s="740"/>
      <c r="H203" s="14"/>
      <c r="I203" s="185"/>
      <c r="J203" s="615"/>
      <c r="K203" s="14"/>
      <c r="L203" s="185"/>
      <c r="M203" s="11"/>
      <c r="N203" s="11"/>
      <c r="O203" s="38"/>
      <c r="P203" s="38"/>
      <c r="Q203" s="510"/>
      <c r="R203" s="512"/>
      <c r="S203" s="11"/>
      <c r="T203" s="11"/>
      <c r="U203" s="11"/>
      <c r="V203" s="11"/>
      <c r="AA203" s="11"/>
      <c r="AB203" s="11"/>
      <c r="AC203" s="11"/>
      <c r="AD203" s="11"/>
      <c r="AE203" s="11"/>
      <c r="AF203" s="11"/>
      <c r="AG203" s="11"/>
      <c r="AH203" s="11"/>
      <c r="AJ203" s="42"/>
    </row>
    <row r="204" spans="1:36" hidden="1">
      <c r="A204" s="1"/>
      <c r="B204" s="1"/>
      <c r="C204" s="12"/>
      <c r="D204" s="200"/>
      <c r="E204" s="1"/>
      <c r="F204" s="2" t="s">
        <v>13</v>
      </c>
      <c r="G204" s="216"/>
      <c r="H204" s="1"/>
      <c r="I204" s="2" t="s">
        <v>13</v>
      </c>
      <c r="J204" s="200"/>
      <c r="K204" s="1"/>
      <c r="L204" s="2" t="s">
        <v>13</v>
      </c>
      <c r="M204" s="11"/>
      <c r="N204" s="11"/>
      <c r="O204" s="38"/>
      <c r="P204" s="38"/>
      <c r="Q204" s="554"/>
      <c r="R204" s="11"/>
      <c r="S204" s="11"/>
      <c r="T204" s="11"/>
      <c r="U204" s="11"/>
      <c r="V204" s="11"/>
      <c r="AA204" s="11"/>
      <c r="AB204" s="11"/>
      <c r="AC204" s="11"/>
      <c r="AD204" s="11"/>
      <c r="AE204" s="11"/>
      <c r="AF204" s="11"/>
      <c r="AG204" s="11"/>
      <c r="AH204" s="11"/>
      <c r="AJ204" s="42"/>
    </row>
    <row r="205" spans="1:36" hidden="1">
      <c r="A205" s="1"/>
      <c r="B205" s="1"/>
      <c r="C205" s="12"/>
      <c r="D205" s="200"/>
      <c r="E205" s="1"/>
      <c r="F205" s="2"/>
      <c r="G205" s="216"/>
      <c r="H205" s="1"/>
      <c r="J205" s="200"/>
      <c r="K205" s="1"/>
      <c r="M205" s="11"/>
      <c r="N205" s="11"/>
      <c r="O205" s="38"/>
      <c r="P205" s="38"/>
      <c r="Q205" s="38"/>
      <c r="R205" s="11"/>
      <c r="S205" s="11"/>
      <c r="T205" s="11"/>
      <c r="U205" s="11"/>
      <c r="V205" s="11"/>
      <c r="AA205" s="11"/>
      <c r="AB205" s="11"/>
      <c r="AC205" s="11"/>
      <c r="AD205" s="11"/>
      <c r="AE205" s="11"/>
      <c r="AF205" s="11"/>
      <c r="AG205" s="11"/>
      <c r="AH205" s="11"/>
      <c r="AJ205" s="42"/>
    </row>
    <row r="206" spans="1:36" hidden="1">
      <c r="A206" s="156" t="s">
        <v>191</v>
      </c>
      <c r="B206" s="1"/>
      <c r="C206" s="1"/>
      <c r="D206" s="2"/>
      <c r="E206" s="1"/>
      <c r="F206" s="1"/>
      <c r="G206" s="516"/>
      <c r="H206" s="1"/>
      <c r="I206" s="1"/>
      <c r="J206" s="2"/>
      <c r="K206" s="1"/>
      <c r="L206" s="1"/>
      <c r="M206" s="11"/>
      <c r="N206" s="11"/>
      <c r="O206" s="286"/>
      <c r="P206" s="104"/>
      <c r="Q206" s="104"/>
      <c r="R206" s="11"/>
      <c r="S206" s="11"/>
      <c r="T206" s="11"/>
      <c r="U206" s="11"/>
      <c r="V206" s="11"/>
      <c r="AA206" s="11"/>
      <c r="AB206" s="11"/>
      <c r="AC206" s="11"/>
      <c r="AD206" s="11"/>
      <c r="AE206" s="11"/>
      <c r="AF206" s="11"/>
      <c r="AG206" s="11"/>
      <c r="AH206" s="11"/>
      <c r="AJ206" s="42"/>
    </row>
    <row r="207" spans="1:36" hidden="1">
      <c r="A207" s="1" t="s">
        <v>214</v>
      </c>
      <c r="B207" s="1"/>
      <c r="C207" s="1"/>
      <c r="D207" s="2"/>
      <c r="E207" s="1"/>
      <c r="F207" s="1"/>
      <c r="G207" s="516"/>
      <c r="H207" s="1"/>
      <c r="I207" s="1"/>
      <c r="J207" s="2"/>
      <c r="K207" s="1"/>
      <c r="L207" s="1"/>
      <c r="M207" s="279"/>
      <c r="N207" s="279"/>
      <c r="O207" s="38"/>
      <c r="P207" s="38"/>
      <c r="Q207" s="38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J207" s="42"/>
    </row>
    <row r="208" spans="1:36" hidden="1">
      <c r="A208" s="1"/>
      <c r="B208" s="1"/>
      <c r="C208" s="1"/>
      <c r="D208" s="2"/>
      <c r="E208" s="1"/>
      <c r="F208" s="1"/>
      <c r="G208" s="516"/>
      <c r="H208" s="1"/>
      <c r="I208" s="1"/>
      <c r="J208" s="2"/>
      <c r="K208" s="1"/>
      <c r="L208" s="1"/>
      <c r="M208" s="279"/>
      <c r="N208" s="279"/>
      <c r="O208" s="38"/>
      <c r="P208" s="38"/>
      <c r="Q208" s="38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J208" s="42"/>
    </row>
    <row r="209" spans="1:36" hidden="1">
      <c r="A209" s="1" t="s">
        <v>197</v>
      </c>
      <c r="B209" s="1"/>
      <c r="C209" s="182"/>
      <c r="D209" s="2"/>
      <c r="E209" s="1"/>
      <c r="F209" s="1"/>
      <c r="G209" s="516"/>
      <c r="H209" s="1"/>
      <c r="I209" s="1"/>
      <c r="J209" s="2"/>
      <c r="K209" s="1"/>
      <c r="L209" s="1"/>
      <c r="M209" s="11"/>
      <c r="N209" s="11"/>
      <c r="O209" s="38"/>
      <c r="P209" s="38"/>
      <c r="Q209" s="38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J209" s="42"/>
    </row>
    <row r="210" spans="1:36" hidden="1">
      <c r="A210" s="1" t="s">
        <v>194</v>
      </c>
      <c r="B210" s="1"/>
      <c r="C210" s="182">
        <f>C267+C295+C238</f>
        <v>168732.33333333232</v>
      </c>
      <c r="D210" s="161">
        <f>$D$175</f>
        <v>9.86</v>
      </c>
      <c r="E210" s="186"/>
      <c r="F210" s="2">
        <f>F267+F295+F238</f>
        <v>1663701</v>
      </c>
      <c r="G210" s="506">
        <v>9.86</v>
      </c>
      <c r="H210" s="186"/>
      <c r="I210" s="2">
        <f>I267+I295+I238</f>
        <v>1663701</v>
      </c>
      <c r="J210" s="161">
        <f>$G$175</f>
        <v>9.86</v>
      </c>
      <c r="K210" s="186"/>
      <c r="L210" s="2">
        <f>L267+L295+L238</f>
        <v>1663701</v>
      </c>
      <c r="M210" s="11"/>
      <c r="N210" s="11"/>
      <c r="O210" s="38"/>
      <c r="P210" s="38"/>
      <c r="Q210" s="38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J210" s="42"/>
    </row>
    <row r="211" spans="1:36" hidden="1">
      <c r="A211" s="1" t="s">
        <v>195</v>
      </c>
      <c r="B211" s="1"/>
      <c r="C211" s="182">
        <f>C268+C296+C239</f>
        <v>68177.199999999793</v>
      </c>
      <c r="D211" s="161">
        <f>$D$176</f>
        <v>14.7</v>
      </c>
      <c r="E211" s="188"/>
      <c r="F211" s="2">
        <f>F268+F296+F239</f>
        <v>1002205</v>
      </c>
      <c r="G211" s="506">
        <v>14.7</v>
      </c>
      <c r="H211" s="188"/>
      <c r="I211" s="2">
        <f>I268+I296+I239</f>
        <v>1002205</v>
      </c>
      <c r="J211" s="161">
        <f>$G$176</f>
        <v>14.7</v>
      </c>
      <c r="K211" s="188"/>
      <c r="L211" s="2">
        <f>L268+L296+L239</f>
        <v>1002205</v>
      </c>
      <c r="M211" s="11"/>
      <c r="N211" s="11"/>
      <c r="O211" s="38"/>
      <c r="P211" s="38"/>
      <c r="Q211" s="38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J211" s="42"/>
    </row>
    <row r="212" spans="1:36" hidden="1">
      <c r="A212" s="1" t="s">
        <v>196</v>
      </c>
      <c r="B212" s="1"/>
      <c r="C212" s="182">
        <f>C269+C297+C240</f>
        <v>1269889</v>
      </c>
      <c r="D212" s="161">
        <f>$D$177</f>
        <v>1.04</v>
      </c>
      <c r="E212" s="188"/>
      <c r="F212" s="2">
        <f>F269+F297+F240</f>
        <v>1320685</v>
      </c>
      <c r="G212" s="506">
        <v>1.04</v>
      </c>
      <c r="H212" s="188"/>
      <c r="I212" s="2">
        <f>I269+I297+I240</f>
        <v>1320685</v>
      </c>
      <c r="J212" s="161">
        <f>$G$177</f>
        <v>1.04</v>
      </c>
      <c r="K212" s="188"/>
      <c r="L212" s="2">
        <f>L269+L297+L240</f>
        <v>1320685</v>
      </c>
      <c r="M212" s="11"/>
      <c r="N212" s="11"/>
      <c r="O212" s="38"/>
      <c r="P212" s="38"/>
      <c r="Q212" s="38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J212" s="42"/>
    </row>
    <row r="213" spans="1:36" hidden="1">
      <c r="A213" s="1" t="s">
        <v>198</v>
      </c>
      <c r="B213" s="1"/>
      <c r="C213" s="182">
        <f>SUM(C210:C211)</f>
        <v>236909.5333333321</v>
      </c>
      <c r="D213" s="161"/>
      <c r="E213" s="186"/>
      <c r="F213" s="2"/>
      <c r="G213" s="506"/>
      <c r="H213" s="186"/>
      <c r="I213" s="2"/>
      <c r="J213" s="161"/>
      <c r="K213" s="186"/>
      <c r="L213" s="2"/>
      <c r="M213" s="11"/>
      <c r="N213" s="11"/>
      <c r="O213" s="38"/>
      <c r="P213" s="38"/>
      <c r="Q213" s="38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J213" s="42"/>
    </row>
    <row r="214" spans="1:36" hidden="1">
      <c r="A214" s="1" t="s">
        <v>199</v>
      </c>
      <c r="B214" s="1"/>
      <c r="C214" s="182">
        <f>C271+C299+C242</f>
        <v>790481</v>
      </c>
      <c r="D214" s="189">
        <f>$D$180</f>
        <v>3.81</v>
      </c>
      <c r="E214" s="186"/>
      <c r="F214" s="2">
        <f>F271+F299+F242</f>
        <v>3011733</v>
      </c>
      <c r="G214" s="216">
        <v>3.81</v>
      </c>
      <c r="H214" s="186"/>
      <c r="I214" s="2">
        <f>I271+I299+I242</f>
        <v>3011733</v>
      </c>
      <c r="J214" s="189">
        <f>$G$180</f>
        <v>3.81</v>
      </c>
      <c r="K214" s="186"/>
      <c r="L214" s="2">
        <f>L271+L299+L242</f>
        <v>3011733</v>
      </c>
      <c r="M214" s="11"/>
      <c r="N214" s="11"/>
      <c r="O214" s="38"/>
      <c r="P214" s="38"/>
      <c r="Q214" s="38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J214" s="42"/>
    </row>
    <row r="215" spans="1:36" hidden="1">
      <c r="A215" s="1" t="s">
        <v>201</v>
      </c>
      <c r="B215" s="1"/>
      <c r="C215" s="182">
        <f>C272+C300+C243</f>
        <v>135323558.69232529</v>
      </c>
      <c r="D215" s="162">
        <f>$D$181</f>
        <v>10.898999999999999</v>
      </c>
      <c r="E215" s="186" t="s">
        <v>178</v>
      </c>
      <c r="F215" s="2">
        <f>F272+F300+F243</f>
        <v>14748915</v>
      </c>
      <c r="G215" s="731">
        <v>11.222</v>
      </c>
      <c r="H215" s="186" t="s">
        <v>178</v>
      </c>
      <c r="I215" s="2">
        <f>I272+I300+I243</f>
        <v>15186010</v>
      </c>
      <c r="J215" s="162">
        <f ca="1">$J$181</f>
        <v>11.207000000000001</v>
      </c>
      <c r="K215" s="186" t="s">
        <v>178</v>
      </c>
      <c r="L215" s="2">
        <f ca="1">L272+L300+L243</f>
        <v>15165712</v>
      </c>
      <c r="M215" s="11"/>
      <c r="N215" s="11"/>
      <c r="O215" s="38"/>
      <c r="P215" s="38"/>
      <c r="Q215" s="38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J215" s="42"/>
    </row>
    <row r="216" spans="1:36" hidden="1">
      <c r="A216" s="1" t="s">
        <v>202</v>
      </c>
      <c r="B216" s="1"/>
      <c r="C216" s="182">
        <f>C273+C301+C244</f>
        <v>291219231.15769178</v>
      </c>
      <c r="D216" s="162">
        <f>$D$182</f>
        <v>7.3739999999999997</v>
      </c>
      <c r="E216" s="186" t="s">
        <v>178</v>
      </c>
      <c r="F216" s="2">
        <f>F273+F301+F244</f>
        <v>21474505</v>
      </c>
      <c r="G216" s="731">
        <v>7.6970000000000001</v>
      </c>
      <c r="H216" s="186" t="s">
        <v>178</v>
      </c>
      <c r="I216" s="2">
        <f>I273+I301+I244</f>
        <v>22415145</v>
      </c>
      <c r="J216" s="162">
        <f ca="1">$J$182</f>
        <v>7.6820000000000004</v>
      </c>
      <c r="K216" s="186" t="s">
        <v>178</v>
      </c>
      <c r="L216" s="2">
        <f ca="1">L273+L301+L244</f>
        <v>22371461</v>
      </c>
      <c r="M216" s="11"/>
      <c r="N216" s="11"/>
      <c r="O216" s="38"/>
      <c r="P216" s="38"/>
      <c r="Q216" s="38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J216" s="42"/>
    </row>
    <row r="217" spans="1:36" hidden="1">
      <c r="A217" s="1" t="s">
        <v>203</v>
      </c>
      <c r="B217" s="1"/>
      <c r="C217" s="182">
        <f>C274+C302+C245</f>
        <v>122057286.54865542</v>
      </c>
      <c r="D217" s="162">
        <f>$D$183</f>
        <v>6.8529999999999998</v>
      </c>
      <c r="E217" s="186" t="s">
        <v>178</v>
      </c>
      <c r="F217" s="2">
        <f>F274+F302+F245</f>
        <v>8364586</v>
      </c>
      <c r="G217" s="731">
        <v>7.1760000000000002</v>
      </c>
      <c r="H217" s="186" t="s">
        <v>178</v>
      </c>
      <c r="I217" s="2">
        <f>I274+I302+I245</f>
        <v>8758831</v>
      </c>
      <c r="J217" s="162">
        <f ca="1">$J$183</f>
        <v>7.1609999999999996</v>
      </c>
      <c r="K217" s="186" t="s">
        <v>178</v>
      </c>
      <c r="L217" s="2">
        <f ca="1">L274+L302+L245</f>
        <v>8740523</v>
      </c>
      <c r="M217" s="11"/>
      <c r="N217" s="11"/>
      <c r="O217" s="38"/>
      <c r="P217" s="38"/>
      <c r="Q217" s="38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J217" s="42"/>
    </row>
    <row r="218" spans="1:36" hidden="1">
      <c r="A218" s="1" t="s">
        <v>204</v>
      </c>
      <c r="B218" s="1"/>
      <c r="C218" s="182">
        <f>C275+C303+C246</f>
        <v>120246.76666666659</v>
      </c>
      <c r="D218" s="189">
        <f>$D$184</f>
        <v>58</v>
      </c>
      <c r="E218" s="186" t="s">
        <v>178</v>
      </c>
      <c r="F218" s="2">
        <f>F275+F303+F246</f>
        <v>69743</v>
      </c>
      <c r="G218" s="733">
        <v>58</v>
      </c>
      <c r="H218" s="186" t="s">
        <v>178</v>
      </c>
      <c r="I218" s="2">
        <f>I275+I303+I246</f>
        <v>69743</v>
      </c>
      <c r="J218" s="193">
        <f>$G$184</f>
        <v>58</v>
      </c>
      <c r="K218" s="186" t="s">
        <v>178</v>
      </c>
      <c r="L218" s="2">
        <f>L275+L303+L246</f>
        <v>69743</v>
      </c>
      <c r="M218" s="11"/>
      <c r="N218" s="11"/>
      <c r="O218" s="38"/>
      <c r="P218" s="38"/>
      <c r="Q218" s="38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J218" s="42"/>
    </row>
    <row r="219" spans="1:36" hidden="1">
      <c r="A219" s="194" t="s">
        <v>205</v>
      </c>
      <c r="B219" s="1"/>
      <c r="C219" s="182"/>
      <c r="D219" s="195">
        <f>$D$185</f>
        <v>-0.01</v>
      </c>
      <c r="E219" s="186"/>
      <c r="F219" s="2"/>
      <c r="G219" s="734">
        <v>-0.01</v>
      </c>
      <c r="H219" s="186"/>
      <c r="I219" s="2"/>
      <c r="J219" s="195">
        <v>-0.01</v>
      </c>
      <c r="K219" s="186"/>
      <c r="L219" s="2"/>
      <c r="M219" s="11"/>
      <c r="N219" s="11"/>
      <c r="O219" s="17"/>
      <c r="P219" s="38"/>
      <c r="Q219" s="38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J219" s="42"/>
    </row>
    <row r="220" spans="1:36" hidden="1">
      <c r="A220" s="1" t="s">
        <v>194</v>
      </c>
      <c r="B220" s="1"/>
      <c r="C220" s="182">
        <f t="shared" ref="C220:C230" si="23">C277+C305+C248</f>
        <v>83.966666666666697</v>
      </c>
      <c r="D220" s="197">
        <f>$D$210</f>
        <v>9.86</v>
      </c>
      <c r="E220" s="184"/>
      <c r="F220" s="2">
        <f t="shared" ref="F220:F230" si="24">F277+F305+F248</f>
        <v>-8</v>
      </c>
      <c r="G220" s="216">
        <v>9.86</v>
      </c>
      <c r="H220" s="184"/>
      <c r="I220" s="2">
        <f t="shared" ref="I220:I230" si="25">I277+I305+I248</f>
        <v>-8</v>
      </c>
      <c r="J220" s="197">
        <f>J210</f>
        <v>9.86</v>
      </c>
      <c r="K220" s="184"/>
      <c r="L220" s="2">
        <f t="shared" ref="L220:L230" si="26">L277+L305+L248</f>
        <v>-8</v>
      </c>
      <c r="M220" s="11"/>
      <c r="N220" s="11"/>
      <c r="O220" s="38"/>
      <c r="P220" s="38"/>
      <c r="Q220" s="38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J220" s="42"/>
    </row>
    <row r="221" spans="1:36" hidden="1">
      <c r="A221" s="1" t="s">
        <v>195</v>
      </c>
      <c r="B221" s="1"/>
      <c r="C221" s="182">
        <f t="shared" si="23"/>
        <v>103.9666666666667</v>
      </c>
      <c r="D221" s="197">
        <f>$D$211</f>
        <v>14.7</v>
      </c>
      <c r="E221" s="184"/>
      <c r="F221" s="2">
        <f t="shared" si="24"/>
        <v>-16</v>
      </c>
      <c r="G221" s="216">
        <v>14.7</v>
      </c>
      <c r="H221" s="184"/>
      <c r="I221" s="2">
        <f t="shared" si="25"/>
        <v>-16</v>
      </c>
      <c r="J221" s="197">
        <f>J211</f>
        <v>14.7</v>
      </c>
      <c r="K221" s="184"/>
      <c r="L221" s="2">
        <f t="shared" si="26"/>
        <v>-16</v>
      </c>
      <c r="M221" s="11"/>
      <c r="N221" s="11"/>
      <c r="O221" s="38"/>
      <c r="P221" s="38"/>
      <c r="Q221" s="38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J221" s="42"/>
    </row>
    <row r="222" spans="1:36" hidden="1">
      <c r="A222" s="1" t="s">
        <v>206</v>
      </c>
      <c r="B222" s="1"/>
      <c r="C222" s="182">
        <f t="shared" si="23"/>
        <v>5541</v>
      </c>
      <c r="D222" s="197">
        <f>$D$212</f>
        <v>1.04</v>
      </c>
      <c r="E222" s="184"/>
      <c r="F222" s="2">
        <f t="shared" si="24"/>
        <v>-58</v>
      </c>
      <c r="G222" s="216">
        <v>1.04</v>
      </c>
      <c r="H222" s="184"/>
      <c r="I222" s="2">
        <f t="shared" si="25"/>
        <v>-58</v>
      </c>
      <c r="J222" s="197">
        <f>J212</f>
        <v>1.04</v>
      </c>
      <c r="K222" s="184"/>
      <c r="L222" s="2">
        <f t="shared" si="26"/>
        <v>-58</v>
      </c>
      <c r="M222" s="11"/>
      <c r="N222" s="11"/>
      <c r="O222" s="38"/>
      <c r="P222" s="38"/>
      <c r="Q222" s="38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J222" s="42"/>
    </row>
    <row r="223" spans="1:36" hidden="1">
      <c r="A223" s="1" t="s">
        <v>207</v>
      </c>
      <c r="B223" s="1"/>
      <c r="C223" s="182">
        <f t="shared" si="23"/>
        <v>1992</v>
      </c>
      <c r="D223" s="197">
        <f>$D$214</f>
        <v>3.81</v>
      </c>
      <c r="E223" s="186"/>
      <c r="F223" s="2">
        <f t="shared" si="24"/>
        <v>-76</v>
      </c>
      <c r="G223" s="216">
        <v>3.81</v>
      </c>
      <c r="H223" s="186"/>
      <c r="I223" s="2">
        <f t="shared" si="25"/>
        <v>-76</v>
      </c>
      <c r="J223" s="197">
        <f>J214</f>
        <v>3.81</v>
      </c>
      <c r="K223" s="186"/>
      <c r="L223" s="2">
        <f t="shared" si="26"/>
        <v>-76</v>
      </c>
      <c r="M223" s="11"/>
      <c r="N223" s="11"/>
      <c r="O223" s="38"/>
      <c r="P223" s="38"/>
      <c r="Q223" s="38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J223" s="42"/>
    </row>
    <row r="224" spans="1:36" hidden="1">
      <c r="A224" s="1" t="s">
        <v>209</v>
      </c>
      <c r="B224" s="1"/>
      <c r="C224" s="182">
        <f t="shared" si="23"/>
        <v>149222.66666666669</v>
      </c>
      <c r="D224" s="198">
        <f>$D$215</f>
        <v>10.898999999999999</v>
      </c>
      <c r="E224" s="186" t="s">
        <v>178</v>
      </c>
      <c r="F224" s="2">
        <f t="shared" si="24"/>
        <v>-163</v>
      </c>
      <c r="G224" s="735">
        <v>11.222</v>
      </c>
      <c r="H224" s="186" t="s">
        <v>178</v>
      </c>
      <c r="I224" s="2">
        <f t="shared" si="25"/>
        <v>-167</v>
      </c>
      <c r="J224" s="198">
        <f ca="1">J215</f>
        <v>11.207000000000001</v>
      </c>
      <c r="K224" s="186" t="s">
        <v>178</v>
      </c>
      <c r="L224" s="2">
        <f t="shared" ca="1" si="26"/>
        <v>-167</v>
      </c>
      <c r="M224" s="11"/>
      <c r="N224" s="11"/>
      <c r="O224" s="38"/>
      <c r="P224" s="38"/>
      <c r="Q224" s="38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J224" s="42"/>
    </row>
    <row r="225" spans="1:36" hidden="1">
      <c r="A225" s="1" t="s">
        <v>202</v>
      </c>
      <c r="B225" s="1"/>
      <c r="C225" s="182">
        <f t="shared" si="23"/>
        <v>626125.33333333326</v>
      </c>
      <c r="D225" s="198">
        <f>$D$216</f>
        <v>7.3739999999999997</v>
      </c>
      <c r="E225" s="186" t="s">
        <v>178</v>
      </c>
      <c r="F225" s="2">
        <f t="shared" si="24"/>
        <v>-462</v>
      </c>
      <c r="G225" s="735">
        <v>7.6970000000000001</v>
      </c>
      <c r="H225" s="186" t="s">
        <v>178</v>
      </c>
      <c r="I225" s="2">
        <f t="shared" si="25"/>
        <v>-482</v>
      </c>
      <c r="J225" s="198">
        <f ca="1">J216</f>
        <v>7.6820000000000004</v>
      </c>
      <c r="K225" s="186" t="s">
        <v>178</v>
      </c>
      <c r="L225" s="2">
        <f t="shared" ca="1" si="26"/>
        <v>-481</v>
      </c>
      <c r="M225" s="11"/>
      <c r="N225" s="11"/>
      <c r="O225" s="38"/>
      <c r="P225" s="38"/>
      <c r="Q225" s="38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J225" s="42"/>
    </row>
    <row r="226" spans="1:36" hidden="1">
      <c r="A226" s="1" t="s">
        <v>203</v>
      </c>
      <c r="B226" s="1"/>
      <c r="C226" s="182">
        <f t="shared" si="23"/>
        <v>362541</v>
      </c>
      <c r="D226" s="198">
        <f>$D$217</f>
        <v>6.8529999999999998</v>
      </c>
      <c r="E226" s="186" t="s">
        <v>178</v>
      </c>
      <c r="F226" s="2">
        <f t="shared" si="24"/>
        <v>-249</v>
      </c>
      <c r="G226" s="735">
        <v>7.1760000000000002</v>
      </c>
      <c r="H226" s="186" t="s">
        <v>178</v>
      </c>
      <c r="I226" s="2">
        <f t="shared" si="25"/>
        <v>-261</v>
      </c>
      <c r="J226" s="198">
        <f ca="1">J217</f>
        <v>7.1609999999999996</v>
      </c>
      <c r="K226" s="186" t="s">
        <v>178</v>
      </c>
      <c r="L226" s="2">
        <f t="shared" ca="1" si="26"/>
        <v>-260</v>
      </c>
      <c r="M226" s="11"/>
      <c r="N226" s="11"/>
      <c r="O226" s="38"/>
      <c r="P226" s="38"/>
      <c r="Q226" s="38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J226" s="42"/>
    </row>
    <row r="227" spans="1:36" hidden="1">
      <c r="A227" s="1" t="s">
        <v>204</v>
      </c>
      <c r="B227" s="1"/>
      <c r="C227" s="182">
        <f t="shared" si="23"/>
        <v>1169.8</v>
      </c>
      <c r="D227" s="199">
        <f>$D$218</f>
        <v>58</v>
      </c>
      <c r="E227" s="186" t="s">
        <v>178</v>
      </c>
      <c r="F227" s="2">
        <f t="shared" si="24"/>
        <v>-6</v>
      </c>
      <c r="G227" s="736">
        <v>58</v>
      </c>
      <c r="H227" s="186" t="s">
        <v>178</v>
      </c>
      <c r="I227" s="2">
        <f t="shared" si="25"/>
        <v>-6</v>
      </c>
      <c r="J227" s="199">
        <f>J218</f>
        <v>58</v>
      </c>
      <c r="K227" s="186" t="s">
        <v>178</v>
      </c>
      <c r="L227" s="2">
        <f t="shared" si="26"/>
        <v>-6</v>
      </c>
      <c r="M227" s="11"/>
      <c r="N227" s="11"/>
      <c r="O227" s="38"/>
      <c r="P227" s="38"/>
      <c r="Q227" s="38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J227" s="42"/>
    </row>
    <row r="228" spans="1:36" hidden="1">
      <c r="A228" s="1" t="s">
        <v>211</v>
      </c>
      <c r="B228" s="1"/>
      <c r="C228" s="182">
        <f t="shared" si="23"/>
        <v>155.93333333333339</v>
      </c>
      <c r="D228" s="200">
        <v>60</v>
      </c>
      <c r="E228" s="186"/>
      <c r="F228" s="2">
        <f t="shared" si="24"/>
        <v>9356</v>
      </c>
      <c r="G228" s="216">
        <v>60</v>
      </c>
      <c r="H228" s="186"/>
      <c r="I228" s="2">
        <f t="shared" si="25"/>
        <v>9356</v>
      </c>
      <c r="J228" s="200">
        <f>$G$194</f>
        <v>60</v>
      </c>
      <c r="K228" s="186"/>
      <c r="L228" s="2">
        <f t="shared" si="26"/>
        <v>9356</v>
      </c>
      <c r="M228" s="11"/>
      <c r="N228" s="11"/>
      <c r="O228" s="38"/>
      <c r="P228" s="38"/>
      <c r="Q228" s="38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J228" s="42"/>
    </row>
    <row r="229" spans="1:36" hidden="1">
      <c r="A229" s="1" t="s">
        <v>212</v>
      </c>
      <c r="B229" s="1"/>
      <c r="C229" s="182">
        <f t="shared" si="23"/>
        <v>5455</v>
      </c>
      <c r="D229" s="202">
        <v>-30</v>
      </c>
      <c r="E229" s="186" t="s">
        <v>178</v>
      </c>
      <c r="F229" s="2">
        <f t="shared" si="24"/>
        <v>-1637</v>
      </c>
      <c r="G229" s="737">
        <v>-30</v>
      </c>
      <c r="H229" s="186" t="s">
        <v>178</v>
      </c>
      <c r="I229" s="2">
        <f t="shared" si="25"/>
        <v>-1637</v>
      </c>
      <c r="J229" s="202">
        <f>$G$195</f>
        <v>-30</v>
      </c>
      <c r="K229" s="186" t="s">
        <v>178</v>
      </c>
      <c r="L229" s="2">
        <f t="shared" si="26"/>
        <v>-1637</v>
      </c>
      <c r="M229" s="11"/>
      <c r="N229" s="11"/>
      <c r="O229" s="38"/>
      <c r="P229" s="38"/>
      <c r="Q229" s="38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J229" s="42"/>
    </row>
    <row r="230" spans="1:36" hidden="1">
      <c r="A230" s="1" t="s">
        <v>185</v>
      </c>
      <c r="B230" s="127"/>
      <c r="C230" s="182">
        <f t="shared" si="23"/>
        <v>548600076.39867246</v>
      </c>
      <c r="D230" s="193"/>
      <c r="E230" s="186"/>
      <c r="F230" s="2">
        <f t="shared" si="24"/>
        <v>51662754</v>
      </c>
      <c r="G230" s="733"/>
      <c r="H230" s="186"/>
      <c r="I230" s="2">
        <f t="shared" si="25"/>
        <v>53434698</v>
      </c>
      <c r="J230" s="193"/>
      <c r="K230" s="186"/>
      <c r="L230" s="2">
        <f t="shared" ca="1" si="26"/>
        <v>53352410</v>
      </c>
      <c r="M230" s="11"/>
      <c r="N230" s="11"/>
      <c r="O230" s="38"/>
      <c r="P230" s="38"/>
      <c r="Q230" s="38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J230" s="42"/>
    </row>
    <row r="231" spans="1:36" hidden="1">
      <c r="A231" s="1" t="s">
        <v>167</v>
      </c>
      <c r="B231" s="210"/>
      <c r="C231" s="203">
        <f>C259+C288+C316</f>
        <v>4732308.0558541138</v>
      </c>
      <c r="D231" s="172"/>
      <c r="E231" s="172"/>
      <c r="F231" s="204">
        <f>F259+F288+F316</f>
        <v>643531.3369268917</v>
      </c>
      <c r="G231" s="284"/>
      <c r="H231" s="172"/>
      <c r="I231" s="204">
        <f>F231</f>
        <v>643531.3369268917</v>
      </c>
      <c r="J231" s="172"/>
      <c r="K231" s="172"/>
      <c r="L231" s="204">
        <f>I231</f>
        <v>643531.3369268917</v>
      </c>
      <c r="M231" s="307"/>
      <c r="N231" s="307"/>
      <c r="O231" s="150"/>
      <c r="P231" s="38"/>
      <c r="Q231" s="38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J231" s="42"/>
    </row>
    <row r="232" spans="1:36" ht="16.5" hidden="1" thickBot="1">
      <c r="A232" s="1" t="s">
        <v>186</v>
      </c>
      <c r="B232" s="1"/>
      <c r="C232" s="174">
        <f>SUM(C230:C231)</f>
        <v>553332384.45452654</v>
      </c>
      <c r="D232" s="205"/>
      <c r="E232" s="208"/>
      <c r="F232" s="207">
        <f>F230+F231</f>
        <v>52306285.336926892</v>
      </c>
      <c r="G232" s="741"/>
      <c r="H232" s="208"/>
      <c r="I232" s="207">
        <f>I230+I231</f>
        <v>54078229.336926892</v>
      </c>
      <c r="J232" s="205"/>
      <c r="K232" s="208"/>
      <c r="L232" s="207">
        <f ca="1">L230+L231</f>
        <v>53995941.336926892</v>
      </c>
      <c r="M232" s="274"/>
      <c r="N232" s="274"/>
      <c r="O232" s="333"/>
      <c r="P232" s="38"/>
      <c r="Q232" s="38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J232" s="42"/>
    </row>
    <row r="233" spans="1:36" ht="16.5" hidden="1" thickTop="1">
      <c r="A233" s="1"/>
      <c r="B233" s="1"/>
      <c r="C233" s="12"/>
      <c r="D233" s="200"/>
      <c r="E233" s="1"/>
      <c r="F233" s="2"/>
      <c r="G233" s="216"/>
      <c r="H233" s="1"/>
      <c r="I233" s="2" t="s">
        <v>13</v>
      </c>
      <c r="J233" s="200"/>
      <c r="K233" s="1"/>
      <c r="L233" s="2" t="s">
        <v>13</v>
      </c>
      <c r="M233" s="11"/>
      <c r="N233" s="11"/>
      <c r="O233" s="38"/>
      <c r="P233" s="38"/>
      <c r="Q233" s="38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J233" s="42"/>
    </row>
    <row r="234" spans="1:36" hidden="1">
      <c r="A234" s="156" t="s">
        <v>191</v>
      </c>
      <c r="B234" s="1"/>
      <c r="C234" s="1"/>
      <c r="D234" s="2"/>
      <c r="E234" s="1"/>
      <c r="F234" s="243" t="s">
        <v>13</v>
      </c>
      <c r="G234" s="516"/>
      <c r="H234" s="1"/>
      <c r="I234" s="1"/>
      <c r="J234" s="2"/>
      <c r="K234" s="1"/>
      <c r="L234" s="1"/>
      <c r="M234" s="11"/>
      <c r="N234" s="11"/>
      <c r="O234" s="38"/>
      <c r="P234" s="38"/>
      <c r="Q234" s="38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J234" s="42"/>
    </row>
    <row r="235" spans="1:36" hidden="1">
      <c r="A235" s="1" t="s">
        <v>444</v>
      </c>
      <c r="B235" s="1"/>
      <c r="C235" s="1"/>
      <c r="D235" s="2"/>
      <c r="E235" s="1"/>
      <c r="F235" s="1"/>
      <c r="G235" s="516"/>
      <c r="H235" s="1"/>
      <c r="I235" s="1"/>
      <c r="J235" s="2"/>
      <c r="K235" s="1"/>
      <c r="L235" s="1"/>
      <c r="M235" s="11"/>
      <c r="N235" s="11"/>
      <c r="O235" s="38"/>
      <c r="P235" s="38"/>
      <c r="Q235" s="38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J235" s="42"/>
    </row>
    <row r="236" spans="1:36" hidden="1">
      <c r="A236" s="211" t="s">
        <v>522</v>
      </c>
      <c r="B236" s="1"/>
      <c r="C236" s="12"/>
      <c r="D236" s="2"/>
      <c r="E236" s="1"/>
      <c r="F236" s="1"/>
      <c r="G236" s="516"/>
      <c r="H236" s="1"/>
      <c r="I236" s="1"/>
      <c r="J236" s="2"/>
      <c r="K236" s="1"/>
      <c r="L236" s="1"/>
      <c r="M236" s="11"/>
      <c r="N236" s="11"/>
      <c r="O236" s="38"/>
      <c r="P236" s="38"/>
      <c r="Q236" s="38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J236" s="42"/>
    </row>
    <row r="237" spans="1:36" hidden="1">
      <c r="A237" s="1" t="s">
        <v>197</v>
      </c>
      <c r="B237" s="1"/>
      <c r="C237" s="182"/>
      <c r="D237" s="2"/>
      <c r="E237" s="1"/>
      <c r="F237" s="1"/>
      <c r="G237" s="516"/>
      <c r="H237" s="1"/>
      <c r="I237" s="1"/>
      <c r="J237" s="2"/>
      <c r="K237" s="1"/>
      <c r="L237" s="1"/>
      <c r="M237" s="11"/>
      <c r="N237" s="11"/>
      <c r="O237" s="38"/>
      <c r="P237" s="38"/>
      <c r="Q237" s="38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J237" s="42"/>
    </row>
    <row r="238" spans="1:36" hidden="1">
      <c r="A238" s="1" t="s">
        <v>194</v>
      </c>
      <c r="B238" s="1"/>
      <c r="C238" s="182">
        <v>38729.3999999999</v>
      </c>
      <c r="D238" s="161">
        <f>$D$175</f>
        <v>9.86</v>
      </c>
      <c r="E238" s="186"/>
      <c r="F238" s="2">
        <f>ROUND(D238*$C238,0)</f>
        <v>381872</v>
      </c>
      <c r="G238" s="506">
        <v>9.86</v>
      </c>
      <c r="H238" s="186"/>
      <c r="I238" s="2">
        <f>ROUND(G238*$C238,0)</f>
        <v>381872</v>
      </c>
      <c r="J238" s="161">
        <f>$G$175</f>
        <v>9.86</v>
      </c>
      <c r="K238" s="186"/>
      <c r="L238" s="2">
        <f>ROUND(J238*$C238,0)</f>
        <v>381872</v>
      </c>
      <c r="M238" s="11"/>
      <c r="N238" s="11"/>
      <c r="O238" s="38"/>
      <c r="P238" s="38"/>
      <c r="Q238" s="38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J238" s="42"/>
    </row>
    <row r="239" spans="1:36" hidden="1">
      <c r="A239" s="1" t="s">
        <v>195</v>
      </c>
      <c r="B239" s="1"/>
      <c r="C239" s="182">
        <v>2867.3333333333298</v>
      </c>
      <c r="D239" s="161">
        <f>$D$176</f>
        <v>14.7</v>
      </c>
      <c r="E239" s="188"/>
      <c r="F239" s="2">
        <f>ROUND(D239*$C239,0)</f>
        <v>42150</v>
      </c>
      <c r="G239" s="506">
        <v>14.7</v>
      </c>
      <c r="H239" s="188"/>
      <c r="I239" s="2">
        <f>ROUND(G239*$C239,0)</f>
        <v>42150</v>
      </c>
      <c r="J239" s="161">
        <f>$G$176</f>
        <v>14.7</v>
      </c>
      <c r="K239" s="188"/>
      <c r="L239" s="2">
        <f>ROUND(J239*$C239,0)</f>
        <v>42150</v>
      </c>
      <c r="M239" s="11"/>
      <c r="N239" s="11"/>
      <c r="O239" s="38"/>
      <c r="P239" s="38"/>
      <c r="Q239" s="38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J239" s="42"/>
    </row>
    <row r="240" spans="1:36" hidden="1">
      <c r="A240" s="1" t="s">
        <v>196</v>
      </c>
      <c r="B240" s="1"/>
      <c r="C240" s="182">
        <v>22892</v>
      </c>
      <c r="D240" s="161">
        <f>$D$177</f>
        <v>1.04</v>
      </c>
      <c r="E240" s="188"/>
      <c r="F240" s="2">
        <f>ROUND(D240*$C240,0)</f>
        <v>23808</v>
      </c>
      <c r="G240" s="506">
        <v>1.04</v>
      </c>
      <c r="H240" s="188"/>
      <c r="I240" s="2">
        <f>ROUND(G240*$C240,0)</f>
        <v>23808</v>
      </c>
      <c r="J240" s="161">
        <f>$G$177</f>
        <v>1.04</v>
      </c>
      <c r="K240" s="188"/>
      <c r="L240" s="2">
        <f>ROUND(J240*$C240,0)</f>
        <v>23808</v>
      </c>
      <c r="M240" s="11"/>
      <c r="N240" s="11"/>
      <c r="O240" s="38"/>
      <c r="P240" s="38"/>
      <c r="Q240" s="38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J240" s="42"/>
    </row>
    <row r="241" spans="1:36" hidden="1">
      <c r="A241" s="1" t="s">
        <v>198</v>
      </c>
      <c r="B241" s="1"/>
      <c r="C241" s="182">
        <v>41596.733333333228</v>
      </c>
      <c r="D241" s="161"/>
      <c r="E241" s="186"/>
      <c r="F241" s="2"/>
      <c r="G241" s="506"/>
      <c r="H241" s="186"/>
      <c r="I241" s="2"/>
      <c r="J241" s="161"/>
      <c r="K241" s="186"/>
      <c r="L241" s="2"/>
      <c r="M241" s="11"/>
      <c r="N241" s="11"/>
      <c r="O241" s="38"/>
      <c r="P241" s="38"/>
      <c r="Q241" s="38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J241" s="42"/>
    </row>
    <row r="242" spans="1:36" hidden="1">
      <c r="A242" s="1" t="s">
        <v>199</v>
      </c>
      <c r="B242" s="1"/>
      <c r="C242" s="182">
        <v>13419</v>
      </c>
      <c r="D242" s="189">
        <f>$D$180</f>
        <v>3.81</v>
      </c>
      <c r="E242" s="186"/>
      <c r="F242" s="2">
        <f>ROUND(D242*C242,0)</f>
        <v>51126</v>
      </c>
      <c r="G242" s="216">
        <v>3.81</v>
      </c>
      <c r="H242" s="186"/>
      <c r="I242" s="2">
        <f>ROUND(G242*$C242,0)</f>
        <v>51126</v>
      </c>
      <c r="J242" s="189">
        <f>$G$180</f>
        <v>3.81</v>
      </c>
      <c r="K242" s="186"/>
      <c r="L242" s="2">
        <f>ROUND(J242*$C242,0)</f>
        <v>51126</v>
      </c>
      <c r="M242" s="11"/>
      <c r="N242" s="11"/>
      <c r="O242" s="38"/>
      <c r="P242" s="38"/>
      <c r="Q242" s="38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J242" s="42"/>
    </row>
    <row r="243" spans="1:36" hidden="1">
      <c r="A243" s="1" t="s">
        <v>201</v>
      </c>
      <c r="B243" s="182"/>
      <c r="C243" s="182">
        <v>12898510.523406433</v>
      </c>
      <c r="D243" s="162">
        <f>$D$181</f>
        <v>10.898999999999999</v>
      </c>
      <c r="E243" s="186" t="s">
        <v>178</v>
      </c>
      <c r="F243" s="2">
        <f>ROUND(D243*C243/100,0)</f>
        <v>1405809</v>
      </c>
      <c r="G243" s="731">
        <v>11.222</v>
      </c>
      <c r="H243" s="186" t="s">
        <v>178</v>
      </c>
      <c r="I243" s="2">
        <f t="shared" ref="I243:I246" si="27">ROUND(G243*$C243/100,0)</f>
        <v>1447471</v>
      </c>
      <c r="J243" s="162">
        <f ca="1">$J$181</f>
        <v>11.207000000000001</v>
      </c>
      <c r="K243" s="186" t="s">
        <v>178</v>
      </c>
      <c r="L243" s="2">
        <f t="shared" ref="L243:L246" ca="1" si="28">ROUND(J243*$C243/100,0)</f>
        <v>1445536</v>
      </c>
      <c r="M243" s="336"/>
      <c r="N243" s="336"/>
      <c r="O243" s="38"/>
      <c r="P243" s="38"/>
      <c r="Q243" s="38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J243" s="42"/>
    </row>
    <row r="244" spans="1:36" hidden="1">
      <c r="A244" s="1" t="s">
        <v>202</v>
      </c>
      <c r="B244" s="182"/>
      <c r="C244" s="182">
        <v>6969737.7449656567</v>
      </c>
      <c r="D244" s="162">
        <f>$D$182</f>
        <v>7.3739999999999997</v>
      </c>
      <c r="E244" s="186" t="s">
        <v>178</v>
      </c>
      <c r="F244" s="2">
        <f>ROUND(D244*C244/100,0)</f>
        <v>513948</v>
      </c>
      <c r="G244" s="731">
        <v>7.6970000000000001</v>
      </c>
      <c r="H244" s="186" t="s">
        <v>178</v>
      </c>
      <c r="I244" s="2">
        <f t="shared" si="27"/>
        <v>536461</v>
      </c>
      <c r="J244" s="162">
        <f ca="1">$J$182</f>
        <v>7.6820000000000004</v>
      </c>
      <c r="K244" s="186" t="s">
        <v>178</v>
      </c>
      <c r="L244" s="2">
        <f t="shared" ca="1" si="28"/>
        <v>535415</v>
      </c>
      <c r="M244" s="336"/>
      <c r="N244" s="336"/>
      <c r="O244" s="38"/>
      <c r="P244" s="38"/>
      <c r="Q244" s="38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J244" s="42"/>
    </row>
    <row r="245" spans="1:36" hidden="1">
      <c r="A245" s="1" t="s">
        <v>203</v>
      </c>
      <c r="B245" s="182"/>
      <c r="C245" s="182">
        <v>958818.95498779241</v>
      </c>
      <c r="D245" s="162">
        <f>$D$183</f>
        <v>6.8529999999999998</v>
      </c>
      <c r="E245" s="186" t="s">
        <v>178</v>
      </c>
      <c r="F245" s="2">
        <f>ROUND(D245*C245/100,0)</f>
        <v>65708</v>
      </c>
      <c r="G245" s="731">
        <v>7.1760000000000002</v>
      </c>
      <c r="H245" s="186" t="s">
        <v>178</v>
      </c>
      <c r="I245" s="2">
        <f t="shared" si="27"/>
        <v>68805</v>
      </c>
      <c r="J245" s="162">
        <f ca="1">$J$183</f>
        <v>7.1609999999999996</v>
      </c>
      <c r="K245" s="186" t="s">
        <v>178</v>
      </c>
      <c r="L245" s="2">
        <f t="shared" ca="1" si="28"/>
        <v>68661</v>
      </c>
      <c r="M245" s="336"/>
      <c r="N245" s="336"/>
      <c r="O245" s="38"/>
      <c r="P245" s="38"/>
      <c r="Q245" s="38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J245" s="42"/>
    </row>
    <row r="246" spans="1:36" hidden="1">
      <c r="A246" s="1" t="s">
        <v>204</v>
      </c>
      <c r="B246" s="12"/>
      <c r="C246" s="182">
        <v>105</v>
      </c>
      <c r="D246" s="189">
        <f>$D$184</f>
        <v>58</v>
      </c>
      <c r="E246" s="186" t="s">
        <v>178</v>
      </c>
      <c r="F246" s="2">
        <f>ROUND(D246*C246/100,0)</f>
        <v>61</v>
      </c>
      <c r="G246" s="733">
        <v>58</v>
      </c>
      <c r="H246" s="186" t="s">
        <v>178</v>
      </c>
      <c r="I246" s="2">
        <f t="shared" si="27"/>
        <v>61</v>
      </c>
      <c r="J246" s="193">
        <f>$G$184</f>
        <v>58</v>
      </c>
      <c r="K246" s="186" t="s">
        <v>178</v>
      </c>
      <c r="L246" s="2">
        <f t="shared" si="28"/>
        <v>61</v>
      </c>
      <c r="M246" s="11"/>
      <c r="N246" s="11"/>
      <c r="O246" s="38"/>
      <c r="P246" s="38"/>
      <c r="Q246" s="38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J246" s="42"/>
    </row>
    <row r="247" spans="1:36" hidden="1">
      <c r="A247" s="194" t="s">
        <v>205</v>
      </c>
      <c r="B247" s="12"/>
      <c r="C247" s="182"/>
      <c r="D247" s="195">
        <f>$D$185</f>
        <v>-0.01</v>
      </c>
      <c r="E247" s="186"/>
      <c r="F247" s="2"/>
      <c r="G247" s="734">
        <v>-0.01</v>
      </c>
      <c r="H247" s="186"/>
      <c r="I247" s="2"/>
      <c r="J247" s="195">
        <v>-0.01</v>
      </c>
      <c r="K247" s="186"/>
      <c r="L247" s="2"/>
      <c r="M247" s="11"/>
      <c r="N247" s="11"/>
      <c r="O247" s="38"/>
      <c r="P247" s="38"/>
      <c r="Q247" s="38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J247" s="42"/>
    </row>
    <row r="248" spans="1:36" hidden="1">
      <c r="A248" s="1" t="s">
        <v>194</v>
      </c>
      <c r="B248" s="1"/>
      <c r="C248" s="182">
        <v>0</v>
      </c>
      <c r="D248" s="197">
        <f>$D$210</f>
        <v>9.86</v>
      </c>
      <c r="E248" s="184"/>
      <c r="F248" s="2">
        <f>-ROUND(D248*$C248/100,0)</f>
        <v>0</v>
      </c>
      <c r="G248" s="216">
        <v>9.86</v>
      </c>
      <c r="H248" s="184"/>
      <c r="I248" s="2">
        <f>-ROUND(G248*$C248/100,0)</f>
        <v>0</v>
      </c>
      <c r="J248" s="197">
        <f>J238</f>
        <v>9.86</v>
      </c>
      <c r="K248" s="184"/>
      <c r="L248" s="2">
        <f>-ROUND(J248*$C248/100,0)</f>
        <v>0</v>
      </c>
      <c r="M248" s="11"/>
      <c r="N248" s="11"/>
      <c r="O248" s="38"/>
      <c r="P248" s="38"/>
      <c r="Q248" s="38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J248" s="42"/>
    </row>
    <row r="249" spans="1:36" hidden="1">
      <c r="A249" s="1" t="s">
        <v>195</v>
      </c>
      <c r="B249" s="1"/>
      <c r="C249" s="182">
        <v>0</v>
      </c>
      <c r="D249" s="197">
        <f>$D$211</f>
        <v>14.7</v>
      </c>
      <c r="E249" s="184"/>
      <c r="F249" s="2">
        <f>-ROUND(D249*$C249/100,0)</f>
        <v>0</v>
      </c>
      <c r="G249" s="216">
        <v>14.7</v>
      </c>
      <c r="H249" s="184"/>
      <c r="I249" s="2">
        <f>-ROUND(G249*$C249/100,0)</f>
        <v>0</v>
      </c>
      <c r="J249" s="197">
        <f>J239</f>
        <v>14.7</v>
      </c>
      <c r="K249" s="184"/>
      <c r="L249" s="2">
        <f>-ROUND(J249*$C249/100,0)</f>
        <v>0</v>
      </c>
      <c r="M249" s="11"/>
      <c r="N249" s="11"/>
      <c r="O249" s="38"/>
      <c r="P249" s="38"/>
      <c r="Q249" s="38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J249" s="42"/>
    </row>
    <row r="250" spans="1:36" hidden="1">
      <c r="A250" s="1" t="s">
        <v>206</v>
      </c>
      <c r="B250" s="1"/>
      <c r="C250" s="182">
        <v>0</v>
      </c>
      <c r="D250" s="197">
        <f>$D$212</f>
        <v>1.04</v>
      </c>
      <c r="E250" s="184"/>
      <c r="F250" s="2">
        <f>-ROUND(D250*$C250/100,0)</f>
        <v>0</v>
      </c>
      <c r="G250" s="216">
        <v>1.04</v>
      </c>
      <c r="H250" s="184"/>
      <c r="I250" s="2">
        <f>-ROUND(G250*$C250/100,0)</f>
        <v>0</v>
      </c>
      <c r="J250" s="197">
        <f>J240</f>
        <v>1.04</v>
      </c>
      <c r="K250" s="184"/>
      <c r="L250" s="2">
        <f>-ROUND(J250*$C250/100,0)</f>
        <v>0</v>
      </c>
      <c r="M250" s="11"/>
      <c r="N250" s="11"/>
      <c r="O250" s="38"/>
      <c r="P250" s="38"/>
      <c r="Q250" s="38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J250" s="42"/>
    </row>
    <row r="251" spans="1:36" hidden="1">
      <c r="A251" s="1" t="s">
        <v>217</v>
      </c>
      <c r="B251" s="1"/>
      <c r="C251" s="182">
        <f>0</f>
        <v>0</v>
      </c>
      <c r="D251" s="197">
        <f>$D$214</f>
        <v>3.81</v>
      </c>
      <c r="E251" s="186"/>
      <c r="F251" s="2">
        <f>-ROUND(D251*$C251/100,0)</f>
        <v>0</v>
      </c>
      <c r="G251" s="216">
        <v>3.81</v>
      </c>
      <c r="H251" s="186"/>
      <c r="I251" s="2">
        <f>-ROUND(G251*$C251/100,0)</f>
        <v>0</v>
      </c>
      <c r="J251" s="197">
        <f>J242</f>
        <v>3.81</v>
      </c>
      <c r="K251" s="186"/>
      <c r="L251" s="2">
        <f>-ROUND(J251*$C251/100,0)</f>
        <v>0</v>
      </c>
      <c r="M251" s="11"/>
      <c r="N251" s="11"/>
      <c r="O251" s="38"/>
      <c r="P251" s="38"/>
      <c r="Q251" s="38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J251" s="42"/>
    </row>
    <row r="252" spans="1:36" hidden="1">
      <c r="A252" s="1" t="s">
        <v>209</v>
      </c>
      <c r="B252" s="1"/>
      <c r="C252" s="182">
        <v>0</v>
      </c>
      <c r="D252" s="198">
        <f>$D$215</f>
        <v>10.898999999999999</v>
      </c>
      <c r="E252" s="186" t="s">
        <v>178</v>
      </c>
      <c r="F252" s="2">
        <f>ROUND(D252*$C252/100*D247,0)</f>
        <v>0</v>
      </c>
      <c r="G252" s="735">
        <v>11.222</v>
      </c>
      <c r="H252" s="186" t="s">
        <v>178</v>
      </c>
      <c r="I252" s="2">
        <f>ROUND(G252*$C252/100*G247,0)</f>
        <v>0</v>
      </c>
      <c r="J252" s="198">
        <f ca="1">J243</f>
        <v>11.207000000000001</v>
      </c>
      <c r="K252" s="186" t="s">
        <v>178</v>
      </c>
      <c r="L252" s="2">
        <f ca="1">ROUND(J252*$C252/100*J247,0)</f>
        <v>0</v>
      </c>
      <c r="M252" s="11"/>
      <c r="N252" s="11"/>
      <c r="O252" s="38"/>
      <c r="P252" s="38"/>
      <c r="Q252" s="38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J252" s="42"/>
    </row>
    <row r="253" spans="1:36" hidden="1">
      <c r="A253" s="1" t="s">
        <v>202</v>
      </c>
      <c r="B253" s="1"/>
      <c r="C253" s="182">
        <v>0</v>
      </c>
      <c r="D253" s="198">
        <f>$D$216</f>
        <v>7.3739999999999997</v>
      </c>
      <c r="E253" s="186" t="s">
        <v>178</v>
      </c>
      <c r="F253" s="2">
        <f>ROUND(D253*$C253/100*D247,0)</f>
        <v>0</v>
      </c>
      <c r="G253" s="735">
        <v>7.6970000000000001</v>
      </c>
      <c r="H253" s="186" t="s">
        <v>178</v>
      </c>
      <c r="I253" s="2">
        <f>ROUND(G253*$C253/100*G247,0)</f>
        <v>0</v>
      </c>
      <c r="J253" s="198">
        <f ca="1">J244</f>
        <v>7.6820000000000004</v>
      </c>
      <c r="K253" s="186" t="s">
        <v>178</v>
      </c>
      <c r="L253" s="2">
        <f ca="1">ROUND(J253*$C253/100*J247,0)</f>
        <v>0</v>
      </c>
      <c r="M253" s="11"/>
      <c r="N253" s="11"/>
      <c r="O253" s="38"/>
      <c r="P253" s="38"/>
      <c r="Q253" s="38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J253" s="42"/>
    </row>
    <row r="254" spans="1:36" hidden="1">
      <c r="A254" s="1" t="s">
        <v>203</v>
      </c>
      <c r="B254" s="1"/>
      <c r="C254" s="182">
        <v>0</v>
      </c>
      <c r="D254" s="198">
        <f>$D$217</f>
        <v>6.8529999999999998</v>
      </c>
      <c r="E254" s="186" t="s">
        <v>178</v>
      </c>
      <c r="F254" s="2">
        <f>ROUND(D254*$C254/100*D247,0)</f>
        <v>0</v>
      </c>
      <c r="G254" s="735">
        <v>7.1760000000000002</v>
      </c>
      <c r="H254" s="186" t="s">
        <v>178</v>
      </c>
      <c r="I254" s="2">
        <f>ROUND(G254*$C254/100*G247,0)</f>
        <v>0</v>
      </c>
      <c r="J254" s="198">
        <f ca="1">J245</f>
        <v>7.1609999999999996</v>
      </c>
      <c r="K254" s="186" t="s">
        <v>178</v>
      </c>
      <c r="L254" s="2">
        <f ca="1">ROUND(J254*$C254/100*J247,0)</f>
        <v>0</v>
      </c>
      <c r="M254" s="11"/>
      <c r="N254" s="11"/>
      <c r="O254" s="38"/>
      <c r="P254" s="38"/>
      <c r="Q254" s="38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J254" s="42"/>
    </row>
    <row r="255" spans="1:36" hidden="1">
      <c r="A255" s="1" t="s">
        <v>204</v>
      </c>
      <c r="B255" s="1"/>
      <c r="C255" s="182">
        <v>0</v>
      </c>
      <c r="D255" s="199">
        <f>$D$218</f>
        <v>58</v>
      </c>
      <c r="E255" s="186" t="s">
        <v>178</v>
      </c>
      <c r="F255" s="2">
        <f>ROUND(D255*$C255/100*D247,0)</f>
        <v>0</v>
      </c>
      <c r="G255" s="736">
        <v>58</v>
      </c>
      <c r="H255" s="186" t="s">
        <v>178</v>
      </c>
      <c r="I255" s="2">
        <f>ROUND(G255*$C255/100*G247,0)</f>
        <v>0</v>
      </c>
      <c r="J255" s="199">
        <f>J246</f>
        <v>58</v>
      </c>
      <c r="K255" s="186" t="s">
        <v>178</v>
      </c>
      <c r="L255" s="2">
        <f>ROUND(J255*$C255/100*J247,0)</f>
        <v>0</v>
      </c>
      <c r="M255" s="11"/>
      <c r="N255" s="11"/>
      <c r="O255" s="38"/>
      <c r="P255" s="38"/>
      <c r="Q255" s="38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J255" s="42"/>
    </row>
    <row r="256" spans="1:36" hidden="1">
      <c r="A256" s="1" t="s">
        <v>211</v>
      </c>
      <c r="B256" s="1"/>
      <c r="C256" s="182">
        <v>0</v>
      </c>
      <c r="D256" s="200">
        <v>60</v>
      </c>
      <c r="E256" s="186"/>
      <c r="F256" s="2">
        <f>ROUND(D256*C256,0)</f>
        <v>0</v>
      </c>
      <c r="G256" s="216">
        <v>60</v>
      </c>
      <c r="H256" s="186"/>
      <c r="I256" s="2">
        <f>ROUND(G256*$C256,0)</f>
        <v>0</v>
      </c>
      <c r="J256" s="200">
        <f>$G$194</f>
        <v>60</v>
      </c>
      <c r="K256" s="186"/>
      <c r="L256" s="2">
        <f>ROUND(J256*$C256,0)</f>
        <v>0</v>
      </c>
      <c r="M256" s="11"/>
      <c r="N256" s="11"/>
      <c r="O256" s="38"/>
      <c r="P256" s="38"/>
      <c r="Q256" s="38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J256" s="42"/>
    </row>
    <row r="257" spans="1:36" hidden="1">
      <c r="A257" s="1" t="s">
        <v>212</v>
      </c>
      <c r="B257" s="1"/>
      <c r="C257" s="182">
        <v>0</v>
      </c>
      <c r="D257" s="202">
        <v>-30</v>
      </c>
      <c r="E257" s="186" t="s">
        <v>178</v>
      </c>
      <c r="F257" s="2">
        <f>ROUND(D257*C257/100,0)</f>
        <v>0</v>
      </c>
      <c r="G257" s="737">
        <v>-30</v>
      </c>
      <c r="H257" s="186" t="s">
        <v>178</v>
      </c>
      <c r="I257" s="2">
        <f>ROUND(G257*$C257/100,0)</f>
        <v>0</v>
      </c>
      <c r="J257" s="202">
        <f>$G$195</f>
        <v>-30</v>
      </c>
      <c r="K257" s="186" t="s">
        <v>178</v>
      </c>
      <c r="L257" s="2">
        <f>ROUND(J257*$C257/100,0)</f>
        <v>0</v>
      </c>
      <c r="M257" s="11"/>
      <c r="N257" s="11"/>
      <c r="O257" s="38"/>
      <c r="P257" s="38"/>
      <c r="Q257" s="38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J257" s="42"/>
    </row>
    <row r="258" spans="1:36" hidden="1">
      <c r="A258" s="1" t="s">
        <v>185</v>
      </c>
      <c r="B258" s="170"/>
      <c r="C258" s="182">
        <f>SUM(C243:C245)</f>
        <v>20827067.223359883</v>
      </c>
      <c r="D258" s="193"/>
      <c r="E258" s="186"/>
      <c r="F258" s="2">
        <f>SUM(F238:F257)</f>
        <v>2484482</v>
      </c>
      <c r="G258" s="733"/>
      <c r="H258" s="186"/>
      <c r="I258" s="2">
        <f>SUM(I238:I257)</f>
        <v>2551754</v>
      </c>
      <c r="J258" s="193"/>
      <c r="K258" s="186"/>
      <c r="L258" s="2">
        <f ca="1">SUM(L238:L257)</f>
        <v>2548629</v>
      </c>
      <c r="M258" s="279"/>
      <c r="N258" s="279"/>
      <c r="O258" s="38"/>
      <c r="P258" s="38"/>
      <c r="Q258" s="38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J258" s="42"/>
    </row>
    <row r="259" spans="1:36" hidden="1">
      <c r="A259" s="1" t="s">
        <v>167</v>
      </c>
      <c r="B259" s="1"/>
      <c r="C259" s="212">
        <v>-272078.96310479299</v>
      </c>
      <c r="D259" s="172"/>
      <c r="E259" s="172"/>
      <c r="F259" s="204">
        <v>9974.135363005058</v>
      </c>
      <c r="G259" s="284"/>
      <c r="H259" s="172"/>
      <c r="I259" s="204">
        <f>F259</f>
        <v>9974.135363005058</v>
      </c>
      <c r="J259" s="172"/>
      <c r="K259" s="172"/>
      <c r="L259" s="204">
        <f>I259</f>
        <v>9974.135363005058</v>
      </c>
      <c r="M259" s="307"/>
      <c r="N259" s="307"/>
      <c r="O259" s="150"/>
      <c r="P259" s="38"/>
      <c r="Q259" s="38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J259" s="42"/>
    </row>
    <row r="260" spans="1:36" ht="16.5" hidden="1" thickBot="1">
      <c r="A260" s="1" t="s">
        <v>186</v>
      </c>
      <c r="B260" s="1"/>
      <c r="C260" s="174">
        <f>SUM(C258:C259)</f>
        <v>20554988.260255091</v>
      </c>
      <c r="D260" s="205"/>
      <c r="E260" s="208"/>
      <c r="F260" s="207">
        <f>F258+F259</f>
        <v>2494456.1353630051</v>
      </c>
      <c r="G260" s="741"/>
      <c r="H260" s="208"/>
      <c r="I260" s="207">
        <f>I258+I259</f>
        <v>2561728.1353630051</v>
      </c>
      <c r="J260" s="205"/>
      <c r="K260" s="208"/>
      <c r="L260" s="207">
        <f ca="1">L258+L259</f>
        <v>2558603.1353630051</v>
      </c>
      <c r="M260" s="274"/>
      <c r="N260" s="274"/>
      <c r="O260" s="333"/>
      <c r="P260" s="38"/>
      <c r="Q260" s="38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J260" s="42"/>
    </row>
    <row r="261" spans="1:36" ht="16.5" hidden="1" thickTop="1">
      <c r="A261" s="1"/>
      <c r="B261" s="1"/>
      <c r="C261" s="12"/>
      <c r="D261" s="200"/>
      <c r="E261" s="1"/>
      <c r="F261" s="2"/>
      <c r="G261" s="216"/>
      <c r="H261" s="1"/>
      <c r="I261" s="2" t="s">
        <v>13</v>
      </c>
      <c r="J261" s="200"/>
      <c r="K261" s="1"/>
      <c r="L261" s="2" t="s">
        <v>13</v>
      </c>
      <c r="M261" s="11"/>
      <c r="N261" s="11"/>
      <c r="O261" s="38"/>
      <c r="P261" s="38"/>
      <c r="Q261" s="38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J261" s="42"/>
    </row>
    <row r="262" spans="1:36" hidden="1">
      <c r="A262" s="1"/>
      <c r="B262" s="1"/>
      <c r="C262" s="12"/>
      <c r="D262" s="200"/>
      <c r="E262" s="1"/>
      <c r="F262" s="2"/>
      <c r="G262" s="216"/>
      <c r="H262" s="1"/>
      <c r="I262" s="2" t="s">
        <v>13</v>
      </c>
      <c r="J262" s="200"/>
      <c r="K262" s="1"/>
      <c r="L262" s="2" t="s">
        <v>13</v>
      </c>
      <c r="M262" s="11"/>
      <c r="N262" s="11"/>
      <c r="O262" s="38"/>
      <c r="P262" s="38"/>
      <c r="Q262" s="38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J262" s="42"/>
    </row>
    <row r="263" spans="1:36" hidden="1">
      <c r="A263" s="156" t="s">
        <v>191</v>
      </c>
      <c r="B263" s="1"/>
      <c r="C263" s="1"/>
      <c r="D263" s="2"/>
      <c r="E263" s="1"/>
      <c r="F263" s="1"/>
      <c r="G263" s="516"/>
      <c r="H263" s="1"/>
      <c r="I263" s="1"/>
      <c r="J263" s="2"/>
      <c r="K263" s="1"/>
      <c r="L263" s="1"/>
      <c r="M263" s="11"/>
      <c r="N263" s="11"/>
      <c r="O263" s="38"/>
      <c r="P263" s="38"/>
      <c r="Q263" s="38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J263" s="42"/>
    </row>
    <row r="264" spans="1:36" hidden="1">
      <c r="A264" s="1" t="s">
        <v>215</v>
      </c>
      <c r="B264" s="1"/>
      <c r="C264" s="1"/>
      <c r="D264" s="2"/>
      <c r="E264" s="1"/>
      <c r="F264" s="1"/>
      <c r="G264" s="516"/>
      <c r="H264" s="1"/>
      <c r="I264" s="1"/>
      <c r="J264" s="2"/>
      <c r="K264" s="1"/>
      <c r="L264" s="1"/>
      <c r="M264" s="11"/>
      <c r="N264" s="11"/>
      <c r="O264" s="38"/>
      <c r="P264" s="38"/>
      <c r="Q264" s="38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J264" s="42"/>
    </row>
    <row r="265" spans="1:36" hidden="1">
      <c r="A265" s="211" t="s">
        <v>216</v>
      </c>
      <c r="B265" s="1"/>
      <c r="C265" s="12"/>
      <c r="D265" s="2"/>
      <c r="E265" s="1"/>
      <c r="F265" s="1"/>
      <c r="G265" s="516"/>
      <c r="H265" s="1"/>
      <c r="I265" s="1"/>
      <c r="J265" s="2"/>
      <c r="K265" s="1"/>
      <c r="L265" s="1"/>
      <c r="M265" s="11"/>
      <c r="N265" s="11"/>
      <c r="O265" s="38"/>
      <c r="P265" s="38"/>
      <c r="Q265" s="38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J265" s="42"/>
    </row>
    <row r="266" spans="1:36" hidden="1">
      <c r="A266" s="1" t="s">
        <v>197</v>
      </c>
      <c r="B266" s="1"/>
      <c r="C266" s="182"/>
      <c r="D266" s="2"/>
      <c r="E266" s="1"/>
      <c r="F266" s="1"/>
      <c r="G266" s="516"/>
      <c r="H266" s="1"/>
      <c r="I266" s="1"/>
      <c r="J266" s="2"/>
      <c r="K266" s="1"/>
      <c r="L266" s="1"/>
      <c r="M266" s="11"/>
      <c r="N266" s="11"/>
      <c r="O266" s="38"/>
      <c r="P266" s="38"/>
      <c r="Q266" s="38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J266" s="42"/>
    </row>
    <row r="267" spans="1:36" hidden="1">
      <c r="A267" s="1" t="s">
        <v>194</v>
      </c>
      <c r="B267" s="1"/>
      <c r="C267" s="182">
        <v>128419.16666666574</v>
      </c>
      <c r="D267" s="161">
        <f>$D$175</f>
        <v>9.86</v>
      </c>
      <c r="E267" s="186"/>
      <c r="F267" s="2">
        <f>ROUND(D267*$C267,0)</f>
        <v>1266213</v>
      </c>
      <c r="G267" s="506">
        <v>9.86</v>
      </c>
      <c r="H267" s="186"/>
      <c r="I267" s="2">
        <f>ROUND(G267*$C267,0)</f>
        <v>1266213</v>
      </c>
      <c r="J267" s="161">
        <f>$G$175</f>
        <v>9.86</v>
      </c>
      <c r="K267" s="186"/>
      <c r="L267" s="2">
        <f>ROUND(J267*$C267,0)</f>
        <v>1266213</v>
      </c>
      <c r="M267" s="11"/>
      <c r="N267" s="11"/>
      <c r="O267" s="38"/>
      <c r="P267" s="38"/>
      <c r="Q267" s="38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J267" s="42"/>
    </row>
    <row r="268" spans="1:36" hidden="1">
      <c r="A268" s="1" t="s">
        <v>195</v>
      </c>
      <c r="B268" s="1"/>
      <c r="C268" s="182">
        <v>62460.433333333131</v>
      </c>
      <c r="D268" s="161">
        <f>$D$176</f>
        <v>14.7</v>
      </c>
      <c r="E268" s="188"/>
      <c r="F268" s="2">
        <f>ROUND(D268*$C268,0)</f>
        <v>918168</v>
      </c>
      <c r="G268" s="506">
        <v>14.7</v>
      </c>
      <c r="H268" s="188"/>
      <c r="I268" s="2">
        <f>ROUND(G268*$C268,0)</f>
        <v>918168</v>
      </c>
      <c r="J268" s="161">
        <f>$G$176</f>
        <v>14.7</v>
      </c>
      <c r="K268" s="188"/>
      <c r="L268" s="2">
        <f>ROUND(J268*$C268,0)</f>
        <v>918168</v>
      </c>
      <c r="M268" s="11"/>
      <c r="N268" s="11"/>
      <c r="O268" s="38"/>
      <c r="P268" s="38"/>
      <c r="Q268" s="38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J268" s="42"/>
    </row>
    <row r="269" spans="1:36" hidden="1">
      <c r="A269" s="1" t="s">
        <v>196</v>
      </c>
      <c r="B269" s="1"/>
      <c r="C269" s="182">
        <v>1189650</v>
      </c>
      <c r="D269" s="161">
        <f>$D$177</f>
        <v>1.04</v>
      </c>
      <c r="E269" s="188"/>
      <c r="F269" s="2">
        <f>ROUND(D269*$C269,0)</f>
        <v>1237236</v>
      </c>
      <c r="G269" s="506">
        <v>1.04</v>
      </c>
      <c r="H269" s="188"/>
      <c r="I269" s="2">
        <f>ROUND(G269*$C269,0)</f>
        <v>1237236</v>
      </c>
      <c r="J269" s="161">
        <f>$G$177</f>
        <v>1.04</v>
      </c>
      <c r="K269" s="188"/>
      <c r="L269" s="2">
        <f>ROUND(J269*$C269,0)</f>
        <v>1237236</v>
      </c>
      <c r="M269" s="11"/>
      <c r="N269" s="11"/>
      <c r="O269" s="38"/>
      <c r="P269" s="38"/>
      <c r="Q269" s="38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J269" s="42"/>
    </row>
    <row r="270" spans="1:36" hidden="1">
      <c r="A270" s="1" t="s">
        <v>198</v>
      </c>
      <c r="B270" s="1"/>
      <c r="C270" s="182">
        <f>SUM(C267:C268)</f>
        <v>190879.59999999887</v>
      </c>
      <c r="D270" s="161"/>
      <c r="E270" s="186"/>
      <c r="F270" s="2"/>
      <c r="G270" s="506"/>
      <c r="H270" s="186"/>
      <c r="I270" s="2"/>
      <c r="J270" s="161"/>
      <c r="K270" s="186"/>
      <c r="L270" s="2"/>
      <c r="M270" s="11"/>
      <c r="N270" s="11"/>
      <c r="O270" s="38"/>
      <c r="P270" s="38"/>
      <c r="Q270" s="38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J270" s="42"/>
    </row>
    <row r="271" spans="1:36" hidden="1">
      <c r="A271" s="1" t="s">
        <v>199</v>
      </c>
      <c r="B271" s="1"/>
      <c r="C271" s="182">
        <v>741549</v>
      </c>
      <c r="D271" s="189">
        <f>$D$180</f>
        <v>3.81</v>
      </c>
      <c r="E271" s="186"/>
      <c r="F271" s="2">
        <f>ROUND(D271*C271,0)</f>
        <v>2825302</v>
      </c>
      <c r="G271" s="216">
        <v>3.81</v>
      </c>
      <c r="H271" s="186"/>
      <c r="I271" s="2">
        <f>ROUND(G271*$C271,0)</f>
        <v>2825302</v>
      </c>
      <c r="J271" s="189">
        <f>$G$180</f>
        <v>3.81</v>
      </c>
      <c r="K271" s="186"/>
      <c r="L271" s="2">
        <f>ROUND(J271*$C271,0)</f>
        <v>2825302</v>
      </c>
      <c r="M271" s="11"/>
      <c r="N271" s="11"/>
      <c r="O271" s="38"/>
      <c r="P271" s="38"/>
      <c r="Q271" s="38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J271" s="42"/>
    </row>
    <row r="272" spans="1:36" hidden="1">
      <c r="A272" s="1" t="s">
        <v>201</v>
      </c>
      <c r="B272" s="182"/>
      <c r="C272" s="182">
        <v>119427399.16891886</v>
      </c>
      <c r="D272" s="162">
        <f>$D$181</f>
        <v>10.898999999999999</v>
      </c>
      <c r="E272" s="186" t="s">
        <v>178</v>
      </c>
      <c r="F272" s="2">
        <f>ROUND(D272*C272/100,0)</f>
        <v>13016392</v>
      </c>
      <c r="G272" s="731">
        <v>11.222</v>
      </c>
      <c r="H272" s="186" t="s">
        <v>178</v>
      </c>
      <c r="I272" s="2">
        <f t="shared" ref="I272:I275" si="29">ROUND(G272*$C272/100,0)</f>
        <v>13402143</v>
      </c>
      <c r="J272" s="162">
        <f ca="1">$J$181</f>
        <v>11.207000000000001</v>
      </c>
      <c r="K272" s="186" t="s">
        <v>178</v>
      </c>
      <c r="L272" s="2">
        <f t="shared" ref="L272:L275" ca="1" si="30">ROUND(J272*$C272/100,0)</f>
        <v>13384229</v>
      </c>
      <c r="M272" s="336"/>
      <c r="N272" s="336"/>
      <c r="O272" s="38"/>
      <c r="P272" s="38"/>
      <c r="Q272" s="38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J272" s="42"/>
    </row>
    <row r="273" spans="1:36" hidden="1">
      <c r="A273" s="1" t="s">
        <v>202</v>
      </c>
      <c r="B273" s="182"/>
      <c r="C273" s="182">
        <v>275176664.4127261</v>
      </c>
      <c r="D273" s="162">
        <f>$D$182</f>
        <v>7.3739999999999997</v>
      </c>
      <c r="E273" s="186" t="s">
        <v>178</v>
      </c>
      <c r="F273" s="2">
        <f>ROUND(D273*C273/100,0)</f>
        <v>20291527</v>
      </c>
      <c r="G273" s="731">
        <v>7.6970000000000001</v>
      </c>
      <c r="H273" s="186" t="s">
        <v>178</v>
      </c>
      <c r="I273" s="2">
        <f t="shared" si="29"/>
        <v>21180348</v>
      </c>
      <c r="J273" s="162">
        <f ca="1">$J$182</f>
        <v>7.6820000000000004</v>
      </c>
      <c r="K273" s="186" t="s">
        <v>178</v>
      </c>
      <c r="L273" s="2">
        <f t="shared" ca="1" si="30"/>
        <v>21139071</v>
      </c>
      <c r="M273" s="336"/>
      <c r="N273" s="336"/>
      <c r="O273" s="38"/>
      <c r="P273" s="38"/>
      <c r="Q273" s="38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J273" s="42"/>
    </row>
    <row r="274" spans="1:36" hidden="1">
      <c r="A274" s="1" t="s">
        <v>203</v>
      </c>
      <c r="B274" s="182"/>
      <c r="C274" s="182">
        <v>117063421.59366763</v>
      </c>
      <c r="D274" s="162">
        <f>$D$183</f>
        <v>6.8529999999999998</v>
      </c>
      <c r="E274" s="186" t="s">
        <v>178</v>
      </c>
      <c r="F274" s="2">
        <f>ROUND(D274*C274/100,0)</f>
        <v>8022356</v>
      </c>
      <c r="G274" s="731">
        <v>7.1760000000000002</v>
      </c>
      <c r="H274" s="186" t="s">
        <v>178</v>
      </c>
      <c r="I274" s="2">
        <f t="shared" si="29"/>
        <v>8400471</v>
      </c>
      <c r="J274" s="162">
        <f ca="1">$J$183</f>
        <v>7.1609999999999996</v>
      </c>
      <c r="K274" s="186" t="s">
        <v>178</v>
      </c>
      <c r="L274" s="2">
        <f t="shared" ca="1" si="30"/>
        <v>8382912</v>
      </c>
      <c r="M274" s="336"/>
      <c r="N274" s="336"/>
      <c r="O274" s="38"/>
      <c r="P274" s="38"/>
      <c r="Q274" s="38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J274" s="42"/>
    </row>
    <row r="275" spans="1:36" hidden="1">
      <c r="A275" s="1" t="s">
        <v>204</v>
      </c>
      <c r="B275" s="12"/>
      <c r="C275" s="182">
        <v>105510.8666666666</v>
      </c>
      <c r="D275" s="189">
        <f>$D$184</f>
        <v>58</v>
      </c>
      <c r="E275" s="186" t="s">
        <v>178</v>
      </c>
      <c r="F275" s="2">
        <f>ROUND(D275*C275/100,0)</f>
        <v>61196</v>
      </c>
      <c r="G275" s="733">
        <v>58</v>
      </c>
      <c r="H275" s="186" t="s">
        <v>178</v>
      </c>
      <c r="I275" s="2">
        <f t="shared" si="29"/>
        <v>61196</v>
      </c>
      <c r="J275" s="193">
        <f>$G$184</f>
        <v>58</v>
      </c>
      <c r="K275" s="186" t="s">
        <v>178</v>
      </c>
      <c r="L275" s="2">
        <f t="shared" si="30"/>
        <v>61196</v>
      </c>
      <c r="M275" s="11"/>
      <c r="N275" s="11"/>
      <c r="O275" s="38"/>
      <c r="P275" s="38"/>
      <c r="Q275" s="38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J275" s="42"/>
    </row>
    <row r="276" spans="1:36" hidden="1">
      <c r="A276" s="194" t="s">
        <v>205</v>
      </c>
      <c r="B276" s="12"/>
      <c r="C276" s="182"/>
      <c r="D276" s="195">
        <f>$D$185</f>
        <v>-0.01</v>
      </c>
      <c r="E276" s="186"/>
      <c r="F276" s="2"/>
      <c r="G276" s="734">
        <v>-0.01</v>
      </c>
      <c r="H276" s="186"/>
      <c r="I276" s="2"/>
      <c r="J276" s="195">
        <v>-0.01</v>
      </c>
      <c r="K276" s="186"/>
      <c r="L276" s="2"/>
      <c r="M276" s="11"/>
      <c r="N276" s="11"/>
      <c r="O276" s="38"/>
      <c r="P276" s="38"/>
      <c r="Q276" s="38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J276" s="42"/>
    </row>
    <row r="277" spans="1:36" hidden="1">
      <c r="A277" s="1" t="s">
        <v>194</v>
      </c>
      <c r="B277" s="1"/>
      <c r="C277" s="182">
        <v>83.966666666666697</v>
      </c>
      <c r="D277" s="197">
        <f>$D$210</f>
        <v>9.86</v>
      </c>
      <c r="E277" s="184"/>
      <c r="F277" s="2">
        <f>-ROUND(D277*$C277/100,0)</f>
        <v>-8</v>
      </c>
      <c r="G277" s="216">
        <v>9.86</v>
      </c>
      <c r="H277" s="184"/>
      <c r="I277" s="2">
        <f>-ROUND(G277*$C277/100,0)</f>
        <v>-8</v>
      </c>
      <c r="J277" s="197">
        <f>J267</f>
        <v>9.86</v>
      </c>
      <c r="K277" s="184"/>
      <c r="L277" s="2">
        <f>-ROUND(J277*$C277/100,0)</f>
        <v>-8</v>
      </c>
      <c r="M277" s="11"/>
      <c r="N277" s="11"/>
      <c r="O277" s="38"/>
      <c r="P277" s="38"/>
      <c r="Q277" s="38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J277" s="42"/>
    </row>
    <row r="278" spans="1:36" hidden="1">
      <c r="A278" s="1" t="s">
        <v>195</v>
      </c>
      <c r="B278" s="1"/>
      <c r="C278" s="182">
        <v>91.966666666666697</v>
      </c>
      <c r="D278" s="197">
        <f>$D$211</f>
        <v>14.7</v>
      </c>
      <c r="E278" s="184"/>
      <c r="F278" s="2">
        <f>-ROUND(D278*$C278/100,0)</f>
        <v>-14</v>
      </c>
      <c r="G278" s="216">
        <v>14.7</v>
      </c>
      <c r="H278" s="184"/>
      <c r="I278" s="2">
        <f>-ROUND(G278*$C278/100,0)</f>
        <v>-14</v>
      </c>
      <c r="J278" s="197">
        <f>J268</f>
        <v>14.7</v>
      </c>
      <c r="K278" s="184"/>
      <c r="L278" s="2">
        <f>-ROUND(J278*$C278/100,0)</f>
        <v>-14</v>
      </c>
      <c r="M278" s="11"/>
      <c r="N278" s="11"/>
      <c r="O278" s="38"/>
      <c r="P278" s="38"/>
      <c r="Q278" s="38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J278" s="42"/>
    </row>
    <row r="279" spans="1:36" hidden="1">
      <c r="A279" s="1" t="s">
        <v>206</v>
      </c>
      <c r="B279" s="1"/>
      <c r="C279" s="182">
        <v>1639</v>
      </c>
      <c r="D279" s="197">
        <f>$D$212</f>
        <v>1.04</v>
      </c>
      <c r="E279" s="184"/>
      <c r="F279" s="2">
        <f>-ROUND(D279*$C279/100,0)</f>
        <v>-17</v>
      </c>
      <c r="G279" s="216">
        <v>1.04</v>
      </c>
      <c r="H279" s="184"/>
      <c r="I279" s="2">
        <f>-ROUND(G279*$C279/100,0)</f>
        <v>-17</v>
      </c>
      <c r="J279" s="197">
        <f>J269</f>
        <v>1.04</v>
      </c>
      <c r="K279" s="184"/>
      <c r="L279" s="2">
        <f>-ROUND(J279*$C279/100,0)</f>
        <v>-17</v>
      </c>
      <c r="M279" s="11"/>
      <c r="N279" s="11"/>
      <c r="O279" s="38"/>
      <c r="P279" s="38"/>
      <c r="Q279" s="38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J279" s="42"/>
    </row>
    <row r="280" spans="1:36" hidden="1">
      <c r="A280" s="1" t="s">
        <v>217</v>
      </c>
      <c r="B280" s="1"/>
      <c r="C280" s="182">
        <v>1040</v>
      </c>
      <c r="D280" s="197">
        <f>$D$214</f>
        <v>3.81</v>
      </c>
      <c r="E280" s="186"/>
      <c r="F280" s="2">
        <f>-ROUND(D280*$C280/100,0)</f>
        <v>-40</v>
      </c>
      <c r="G280" s="216">
        <v>3.81</v>
      </c>
      <c r="H280" s="186"/>
      <c r="I280" s="2">
        <f>-ROUND(G280*$C280/100,0)</f>
        <v>-40</v>
      </c>
      <c r="J280" s="197">
        <f>J271</f>
        <v>3.81</v>
      </c>
      <c r="K280" s="186"/>
      <c r="L280" s="2">
        <f>-ROUND(J280*$C280/100,0)</f>
        <v>-40</v>
      </c>
      <c r="M280" s="11"/>
      <c r="N280" s="11"/>
      <c r="O280" s="38"/>
      <c r="P280" s="38"/>
      <c r="Q280" s="38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J280" s="42"/>
    </row>
    <row r="281" spans="1:36" hidden="1">
      <c r="A281" s="1" t="s">
        <v>209</v>
      </c>
      <c r="B281" s="1"/>
      <c r="C281" s="182">
        <v>137222.66666666669</v>
      </c>
      <c r="D281" s="198">
        <f>$D$215</f>
        <v>10.898999999999999</v>
      </c>
      <c r="E281" s="186" t="s">
        <v>178</v>
      </c>
      <c r="F281" s="2">
        <f>ROUND(D281*$C281/100*D276,0)</f>
        <v>-150</v>
      </c>
      <c r="G281" s="735">
        <v>11.222</v>
      </c>
      <c r="H281" s="186" t="s">
        <v>178</v>
      </c>
      <c r="I281" s="2">
        <f>ROUND(G281*$C281/100*G276,0)</f>
        <v>-154</v>
      </c>
      <c r="J281" s="198">
        <f ca="1">J272</f>
        <v>11.207000000000001</v>
      </c>
      <c r="K281" s="186" t="s">
        <v>178</v>
      </c>
      <c r="L281" s="2">
        <f ca="1">ROUND(J281*$C281/100*J276,0)</f>
        <v>-154</v>
      </c>
      <c r="M281" s="11"/>
      <c r="N281" s="11"/>
      <c r="O281" s="38"/>
      <c r="P281" s="38"/>
      <c r="Q281" s="38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J281" s="42"/>
    </row>
    <row r="282" spans="1:36" hidden="1">
      <c r="A282" s="1" t="s">
        <v>202</v>
      </c>
      <c r="B282" s="1"/>
      <c r="C282" s="182">
        <v>534325.33333333326</v>
      </c>
      <c r="D282" s="198">
        <f>$D$216</f>
        <v>7.3739999999999997</v>
      </c>
      <c r="E282" s="186" t="s">
        <v>178</v>
      </c>
      <c r="F282" s="2">
        <f>ROUND(D282*$C282/100*D276,0)</f>
        <v>-394</v>
      </c>
      <c r="G282" s="735">
        <v>7.6970000000000001</v>
      </c>
      <c r="H282" s="186" t="s">
        <v>178</v>
      </c>
      <c r="I282" s="2">
        <f>ROUND(G282*$C282/100*G276,0)</f>
        <v>-411</v>
      </c>
      <c r="J282" s="198">
        <f ca="1">J273</f>
        <v>7.6820000000000004</v>
      </c>
      <c r="K282" s="186" t="s">
        <v>178</v>
      </c>
      <c r="L282" s="2">
        <f ca="1">ROUND(J282*$C282/100*J276,0)</f>
        <v>-410</v>
      </c>
      <c r="M282" s="11"/>
      <c r="N282" s="11"/>
      <c r="O282" s="38"/>
      <c r="P282" s="38"/>
      <c r="Q282" s="38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J282" s="42"/>
    </row>
    <row r="283" spans="1:36" hidden="1">
      <c r="A283" s="1" t="s">
        <v>203</v>
      </c>
      <c r="B283" s="1"/>
      <c r="C283" s="182">
        <v>303141</v>
      </c>
      <c r="D283" s="198">
        <f>$D$217</f>
        <v>6.8529999999999998</v>
      </c>
      <c r="E283" s="186" t="s">
        <v>178</v>
      </c>
      <c r="F283" s="2">
        <f>ROUND(D283*$C283/100*D276,0)</f>
        <v>-208</v>
      </c>
      <c r="G283" s="735">
        <v>7.1760000000000002</v>
      </c>
      <c r="H283" s="186" t="s">
        <v>178</v>
      </c>
      <c r="I283" s="2">
        <f>ROUND(G283*$C283/100*G276,0)</f>
        <v>-218</v>
      </c>
      <c r="J283" s="198">
        <f ca="1">J274</f>
        <v>7.1609999999999996</v>
      </c>
      <c r="K283" s="186" t="s">
        <v>178</v>
      </c>
      <c r="L283" s="2">
        <f ca="1">ROUND(J283*$C283/100*J276,0)</f>
        <v>-217</v>
      </c>
      <c r="M283" s="11"/>
      <c r="N283" s="11"/>
      <c r="O283" s="38"/>
      <c r="P283" s="38"/>
      <c r="Q283" s="38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J283" s="42"/>
    </row>
    <row r="284" spans="1:36" hidden="1">
      <c r="A284" s="1" t="s">
        <v>204</v>
      </c>
      <c r="B284" s="1"/>
      <c r="C284" s="182">
        <v>744.8</v>
      </c>
      <c r="D284" s="199">
        <f>$D$218</f>
        <v>58</v>
      </c>
      <c r="E284" s="186" t="s">
        <v>178</v>
      </c>
      <c r="F284" s="2">
        <f>ROUND(D284*$C284/100*D276,0)</f>
        <v>-4</v>
      </c>
      <c r="G284" s="736">
        <v>58</v>
      </c>
      <c r="H284" s="186" t="s">
        <v>178</v>
      </c>
      <c r="I284" s="2">
        <f>ROUND(G284*$C284/100*G276,0)</f>
        <v>-4</v>
      </c>
      <c r="J284" s="199">
        <f>J275</f>
        <v>58</v>
      </c>
      <c r="K284" s="186" t="s">
        <v>178</v>
      </c>
      <c r="L284" s="2">
        <f>ROUND(J284*$C284/100*J276,0)</f>
        <v>-4</v>
      </c>
      <c r="M284" s="11"/>
      <c r="N284" s="11"/>
      <c r="O284" s="38"/>
      <c r="P284" s="38"/>
      <c r="Q284" s="38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J284" s="42"/>
    </row>
    <row r="285" spans="1:36" hidden="1">
      <c r="A285" s="1" t="s">
        <v>211</v>
      </c>
      <c r="B285" s="1"/>
      <c r="C285" s="182">
        <v>143.93333333333339</v>
      </c>
      <c r="D285" s="200">
        <v>60</v>
      </c>
      <c r="E285" s="186"/>
      <c r="F285" s="2">
        <f>ROUND(D285*C285,0)</f>
        <v>8636</v>
      </c>
      <c r="G285" s="216">
        <v>60</v>
      </c>
      <c r="H285" s="186"/>
      <c r="I285" s="2">
        <f>ROUND(G285*$C285,0)</f>
        <v>8636</v>
      </c>
      <c r="J285" s="200">
        <f>$G$194</f>
        <v>60</v>
      </c>
      <c r="K285" s="186"/>
      <c r="L285" s="2">
        <f>ROUND(J285*$C285,0)</f>
        <v>8636</v>
      </c>
      <c r="M285" s="11"/>
      <c r="N285" s="11"/>
      <c r="O285" s="38"/>
      <c r="P285" s="38"/>
      <c r="Q285" s="38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J285" s="42"/>
    </row>
    <row r="286" spans="1:36" hidden="1">
      <c r="A286" s="1" t="s">
        <v>212</v>
      </c>
      <c r="B286" s="1"/>
      <c r="C286" s="182">
        <v>1553</v>
      </c>
      <c r="D286" s="202">
        <v>-30</v>
      </c>
      <c r="E286" s="186" t="s">
        <v>178</v>
      </c>
      <c r="F286" s="2">
        <f>ROUND(D286*C286/100,0)</f>
        <v>-466</v>
      </c>
      <c r="G286" s="737">
        <v>-30</v>
      </c>
      <c r="H286" s="186" t="s">
        <v>178</v>
      </c>
      <c r="I286" s="2">
        <f>ROUND(G286*$C286/100,0)</f>
        <v>-466</v>
      </c>
      <c r="J286" s="202">
        <f>$G$195</f>
        <v>-30</v>
      </c>
      <c r="K286" s="186" t="s">
        <v>178</v>
      </c>
      <c r="L286" s="2">
        <f>ROUND(J286*$C286/100,0)</f>
        <v>-466</v>
      </c>
      <c r="M286" s="11"/>
      <c r="N286" s="11"/>
      <c r="O286" s="38"/>
      <c r="P286" s="38"/>
      <c r="Q286" s="38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J286" s="42"/>
    </row>
    <row r="287" spans="1:36" hidden="1">
      <c r="A287" s="1" t="s">
        <v>185</v>
      </c>
      <c r="B287" s="170"/>
      <c r="C287" s="182">
        <f>SUM(C272:C274)</f>
        <v>511667485.17531258</v>
      </c>
      <c r="D287" s="193"/>
      <c r="E287" s="186"/>
      <c r="F287" s="2">
        <f>SUM(F267:F286)</f>
        <v>47645725</v>
      </c>
      <c r="G287" s="733"/>
      <c r="H287" s="186"/>
      <c r="I287" s="2">
        <f>SUM(I267:I286)</f>
        <v>49298381</v>
      </c>
      <c r="J287" s="193"/>
      <c r="K287" s="186"/>
      <c r="L287" s="2">
        <f ca="1">SUM(L267:L286)</f>
        <v>49221633</v>
      </c>
      <c r="M287" s="279"/>
      <c r="N287" s="279"/>
      <c r="O287" s="38"/>
      <c r="P287" s="38"/>
      <c r="Q287" s="38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J287" s="42"/>
    </row>
    <row r="288" spans="1:36" hidden="1">
      <c r="A288" s="1" t="s">
        <v>167</v>
      </c>
      <c r="B288" s="1"/>
      <c r="C288" s="212">
        <v>4703700.3237753101</v>
      </c>
      <c r="D288" s="172"/>
      <c r="E288" s="172"/>
      <c r="F288" s="204">
        <v>624428.93111745664</v>
      </c>
      <c r="G288" s="284"/>
      <c r="H288" s="172"/>
      <c r="I288" s="204">
        <f>F288</f>
        <v>624428.93111745664</v>
      </c>
      <c r="J288" s="172"/>
      <c r="K288" s="172"/>
      <c r="L288" s="204">
        <f>I288</f>
        <v>624428.93111745664</v>
      </c>
      <c r="M288" s="307"/>
      <c r="N288" s="307"/>
      <c r="O288" s="150"/>
      <c r="P288" s="38"/>
      <c r="Q288" s="38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J288" s="42"/>
    </row>
    <row r="289" spans="1:36" ht="16.5" hidden="1" thickBot="1">
      <c r="A289" s="1" t="s">
        <v>186</v>
      </c>
      <c r="B289" s="1"/>
      <c r="C289" s="174">
        <f>SUM(C287:C288)</f>
        <v>516371185.49908787</v>
      </c>
      <c r="D289" s="205"/>
      <c r="E289" s="208"/>
      <c r="F289" s="207">
        <f>F287+F288</f>
        <v>48270153.93111746</v>
      </c>
      <c r="G289" s="741"/>
      <c r="H289" s="208"/>
      <c r="I289" s="207">
        <f>I287+I288</f>
        <v>49922809.93111746</v>
      </c>
      <c r="J289" s="205"/>
      <c r="K289" s="208"/>
      <c r="L289" s="207">
        <f ca="1">L287+L288</f>
        <v>49846061.93111746</v>
      </c>
      <c r="M289" s="274"/>
      <c r="N289" s="274"/>
      <c r="O289" s="333"/>
      <c r="P289" s="38"/>
      <c r="Q289" s="38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J289" s="42"/>
    </row>
    <row r="290" spans="1:36" ht="16.5" hidden="1" thickTop="1">
      <c r="A290" s="1"/>
      <c r="B290" s="1"/>
      <c r="C290" s="12"/>
      <c r="D290" s="200"/>
      <c r="E290" s="1"/>
      <c r="F290" s="2"/>
      <c r="G290" s="216"/>
      <c r="H290" s="1"/>
      <c r="I290" s="2" t="s">
        <v>13</v>
      </c>
      <c r="J290" s="200"/>
      <c r="K290" s="1"/>
      <c r="L290" s="2" t="s">
        <v>13</v>
      </c>
      <c r="M290" s="11"/>
      <c r="N290" s="11"/>
      <c r="O290" s="38"/>
      <c r="P290" s="38"/>
      <c r="Q290" s="38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J290" s="42"/>
    </row>
    <row r="291" spans="1:36" hidden="1">
      <c r="A291" s="156" t="s">
        <v>191</v>
      </c>
      <c r="B291" s="1"/>
      <c r="C291" s="1"/>
      <c r="D291" s="2"/>
      <c r="E291" s="1"/>
      <c r="F291" s="1"/>
      <c r="G291" s="516"/>
      <c r="H291" s="1"/>
      <c r="I291" s="1"/>
      <c r="J291" s="2"/>
      <c r="K291" s="1"/>
      <c r="L291" s="1"/>
      <c r="M291" s="11"/>
      <c r="N291" s="11"/>
      <c r="O291" s="38"/>
      <c r="P291" s="38"/>
      <c r="Q291" s="38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J291" s="42"/>
    </row>
    <row r="292" spans="1:36" hidden="1">
      <c r="A292" s="1" t="s">
        <v>218</v>
      </c>
      <c r="B292" s="1"/>
      <c r="C292" s="12"/>
      <c r="D292" s="2"/>
      <c r="E292" s="1"/>
      <c r="F292" s="1"/>
      <c r="G292" s="516"/>
      <c r="H292" s="1"/>
      <c r="I292" s="1"/>
      <c r="J292" s="2"/>
      <c r="K292" s="1"/>
      <c r="L292" s="1"/>
      <c r="M292" s="11"/>
      <c r="N292" s="11"/>
      <c r="O292" s="38"/>
      <c r="P292" s="38"/>
      <c r="Q292" s="38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J292" s="42"/>
    </row>
    <row r="293" spans="1:36" hidden="1">
      <c r="A293" s="1"/>
      <c r="B293" s="1"/>
      <c r="C293" s="1"/>
      <c r="D293" s="2"/>
      <c r="E293" s="1"/>
      <c r="F293" s="1"/>
      <c r="G293" s="516"/>
      <c r="H293" s="1"/>
      <c r="I293" s="1"/>
      <c r="J293" s="2"/>
      <c r="K293" s="1"/>
      <c r="L293" s="1"/>
      <c r="M293" s="11"/>
      <c r="N293" s="11"/>
      <c r="O293" s="38"/>
      <c r="P293" s="38"/>
      <c r="Q293" s="38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J293" s="42"/>
    </row>
    <row r="294" spans="1:36" hidden="1">
      <c r="A294" s="1" t="s">
        <v>197</v>
      </c>
      <c r="B294" s="1"/>
      <c r="C294" s="182"/>
      <c r="D294" s="2"/>
      <c r="E294" s="1"/>
      <c r="F294" s="1"/>
      <c r="G294" s="516"/>
      <c r="H294" s="1"/>
      <c r="I294" s="1"/>
      <c r="J294" s="2"/>
      <c r="K294" s="1"/>
      <c r="L294" s="1"/>
      <c r="M294" s="11"/>
      <c r="N294" s="11"/>
      <c r="O294" s="38"/>
      <c r="P294" s="38"/>
      <c r="Q294" s="38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J294" s="42"/>
    </row>
    <row r="295" spans="1:36" hidden="1">
      <c r="A295" s="1" t="s">
        <v>194</v>
      </c>
      <c r="B295" s="1"/>
      <c r="C295" s="182">
        <v>1583.7666666666701</v>
      </c>
      <c r="D295" s="161">
        <f>$D$175</f>
        <v>9.86</v>
      </c>
      <c r="E295" s="186"/>
      <c r="F295" s="2">
        <f>ROUND(D295*$C295,0)</f>
        <v>15616</v>
      </c>
      <c r="G295" s="506">
        <v>9.86</v>
      </c>
      <c r="H295" s="186"/>
      <c r="I295" s="2">
        <f>ROUND(G295*$C295,0)</f>
        <v>15616</v>
      </c>
      <c r="J295" s="161">
        <f>$G$175</f>
        <v>9.86</v>
      </c>
      <c r="K295" s="186"/>
      <c r="L295" s="2">
        <f>ROUND(J295*$C295,0)</f>
        <v>15616</v>
      </c>
      <c r="M295" s="11"/>
      <c r="N295" s="11"/>
      <c r="O295" s="38"/>
      <c r="P295" s="38"/>
      <c r="Q295" s="38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J295" s="42"/>
    </row>
    <row r="296" spans="1:36" hidden="1">
      <c r="A296" s="1" t="s">
        <v>195</v>
      </c>
      <c r="B296" s="1"/>
      <c r="C296" s="182">
        <v>2849.4333333333302</v>
      </c>
      <c r="D296" s="161">
        <f>$D$176</f>
        <v>14.7</v>
      </c>
      <c r="E296" s="188"/>
      <c r="F296" s="2">
        <f>ROUND(D296*$C296,0)</f>
        <v>41887</v>
      </c>
      <c r="G296" s="506">
        <v>14.7</v>
      </c>
      <c r="H296" s="188"/>
      <c r="I296" s="2">
        <f>ROUND(G296*$C296,0)</f>
        <v>41887</v>
      </c>
      <c r="J296" s="161">
        <f>$G$176</f>
        <v>14.7</v>
      </c>
      <c r="K296" s="188"/>
      <c r="L296" s="2">
        <f>ROUND(J296*$C296,0)</f>
        <v>41887</v>
      </c>
      <c r="M296" s="11"/>
      <c r="N296" s="11"/>
      <c r="O296" s="38"/>
      <c r="P296" s="38"/>
      <c r="Q296" s="38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J296" s="42"/>
    </row>
    <row r="297" spans="1:36" hidden="1">
      <c r="A297" s="1" t="s">
        <v>196</v>
      </c>
      <c r="B297" s="1"/>
      <c r="C297" s="182">
        <v>57347</v>
      </c>
      <c r="D297" s="161">
        <f>$D$177</f>
        <v>1.04</v>
      </c>
      <c r="E297" s="188"/>
      <c r="F297" s="2">
        <f>ROUND(D297*$C297,0)</f>
        <v>59641</v>
      </c>
      <c r="G297" s="506">
        <v>1.04</v>
      </c>
      <c r="H297" s="188"/>
      <c r="I297" s="2">
        <f>ROUND(G297*$C297,0)</f>
        <v>59641</v>
      </c>
      <c r="J297" s="161">
        <f>$G$177</f>
        <v>1.04</v>
      </c>
      <c r="K297" s="188"/>
      <c r="L297" s="2">
        <f>ROUND(J297*$C297,0)</f>
        <v>59641</v>
      </c>
      <c r="M297" s="11"/>
      <c r="N297" s="11"/>
      <c r="O297" s="38"/>
      <c r="P297" s="38"/>
      <c r="Q297" s="38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J297" s="42"/>
    </row>
    <row r="298" spans="1:36" hidden="1">
      <c r="A298" s="1" t="s">
        <v>198</v>
      </c>
      <c r="B298" s="1"/>
      <c r="C298" s="182">
        <f>SUM(C295:C296)</f>
        <v>4433.2000000000007</v>
      </c>
      <c r="D298" s="161"/>
      <c r="E298" s="186"/>
      <c r="F298" s="2"/>
      <c r="G298" s="506"/>
      <c r="H298" s="186"/>
      <c r="I298" s="2"/>
      <c r="J298" s="161"/>
      <c r="K298" s="186"/>
      <c r="L298" s="2"/>
      <c r="M298" s="11"/>
      <c r="N298" s="11"/>
      <c r="O298" s="38"/>
      <c r="P298" s="38"/>
      <c r="Q298" s="38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J298" s="42"/>
    </row>
    <row r="299" spans="1:36" hidden="1">
      <c r="A299" s="1" t="s">
        <v>199</v>
      </c>
      <c r="B299" s="1"/>
      <c r="C299" s="182">
        <v>35513</v>
      </c>
      <c r="D299" s="189">
        <f>$D$180</f>
        <v>3.81</v>
      </c>
      <c r="E299" s="186"/>
      <c r="F299" s="2">
        <f>ROUND(D299*C299,0)</f>
        <v>135305</v>
      </c>
      <c r="G299" s="216">
        <v>3.81</v>
      </c>
      <c r="H299" s="186"/>
      <c r="I299" s="2">
        <f>ROUND(G299*$C299,0)</f>
        <v>135305</v>
      </c>
      <c r="J299" s="189">
        <f>$G$180</f>
        <v>3.81</v>
      </c>
      <c r="K299" s="186"/>
      <c r="L299" s="2">
        <f>ROUND(J299*$C299,0)</f>
        <v>135305</v>
      </c>
      <c r="M299" s="11"/>
      <c r="N299" s="11"/>
      <c r="O299" s="38"/>
      <c r="P299" s="38"/>
      <c r="Q299" s="38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J299" s="42"/>
    </row>
    <row r="300" spans="1:36" hidden="1">
      <c r="A300" s="1" t="s">
        <v>201</v>
      </c>
      <c r="B300" s="1"/>
      <c r="C300" s="182">
        <v>2997648.9999999972</v>
      </c>
      <c r="D300" s="162">
        <f>$D$181</f>
        <v>10.898999999999999</v>
      </c>
      <c r="E300" s="186" t="s">
        <v>178</v>
      </c>
      <c r="F300" s="2">
        <f>ROUND(D300*C300/100,0)</f>
        <v>326714</v>
      </c>
      <c r="G300" s="731">
        <v>11.222</v>
      </c>
      <c r="H300" s="186" t="s">
        <v>178</v>
      </c>
      <c r="I300" s="2">
        <f t="shared" ref="I300:I303" si="31">ROUND(G300*$C300/100,0)</f>
        <v>336396</v>
      </c>
      <c r="J300" s="162">
        <f ca="1">$J$181</f>
        <v>11.207000000000001</v>
      </c>
      <c r="K300" s="186" t="s">
        <v>178</v>
      </c>
      <c r="L300" s="2">
        <f t="shared" ref="L300:L303" ca="1" si="32">ROUND(J300*$C300/100,0)</f>
        <v>335947</v>
      </c>
      <c r="M300" s="11"/>
      <c r="N300" s="11"/>
      <c r="O300" s="38"/>
      <c r="P300" s="38"/>
      <c r="Q300" s="38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J300" s="42"/>
    </row>
    <row r="301" spans="1:36" hidden="1">
      <c r="A301" s="1" t="s">
        <v>202</v>
      </c>
      <c r="B301" s="1"/>
      <c r="C301" s="182">
        <v>9072829.0000000037</v>
      </c>
      <c r="D301" s="162">
        <f>$D$182</f>
        <v>7.3739999999999997</v>
      </c>
      <c r="E301" s="186" t="s">
        <v>178</v>
      </c>
      <c r="F301" s="2">
        <f>ROUND(D301*C301/100,0)</f>
        <v>669030</v>
      </c>
      <c r="G301" s="731">
        <v>7.6970000000000001</v>
      </c>
      <c r="H301" s="186" t="s">
        <v>178</v>
      </c>
      <c r="I301" s="2">
        <f t="shared" si="31"/>
        <v>698336</v>
      </c>
      <c r="J301" s="162">
        <f ca="1">$J$182</f>
        <v>7.6820000000000004</v>
      </c>
      <c r="K301" s="186" t="s">
        <v>178</v>
      </c>
      <c r="L301" s="2">
        <f t="shared" ca="1" si="32"/>
        <v>696975</v>
      </c>
      <c r="M301" s="11"/>
      <c r="N301" s="11"/>
      <c r="O301" s="38"/>
      <c r="P301" s="38"/>
      <c r="Q301" s="38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J301" s="42"/>
    </row>
    <row r="302" spans="1:36" hidden="1">
      <c r="A302" s="1" t="s">
        <v>203</v>
      </c>
      <c r="B302" s="1"/>
      <c r="C302" s="182">
        <v>4035046</v>
      </c>
      <c r="D302" s="162">
        <f>$D$183</f>
        <v>6.8529999999999998</v>
      </c>
      <c r="E302" s="186" t="s">
        <v>178</v>
      </c>
      <c r="F302" s="2">
        <f>ROUND(D302*C302/100,0)</f>
        <v>276522</v>
      </c>
      <c r="G302" s="731">
        <v>7.1760000000000002</v>
      </c>
      <c r="H302" s="186" t="s">
        <v>178</v>
      </c>
      <c r="I302" s="2">
        <f t="shared" si="31"/>
        <v>289555</v>
      </c>
      <c r="J302" s="162">
        <f ca="1">$J$183</f>
        <v>7.1609999999999996</v>
      </c>
      <c r="K302" s="186" t="s">
        <v>178</v>
      </c>
      <c r="L302" s="2">
        <f t="shared" ca="1" si="32"/>
        <v>288950</v>
      </c>
      <c r="M302" s="11"/>
      <c r="N302" s="11"/>
      <c r="O302" s="38"/>
      <c r="P302" s="38"/>
      <c r="Q302" s="38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J302" s="42"/>
    </row>
    <row r="303" spans="1:36" hidden="1">
      <c r="A303" s="1" t="s">
        <v>204</v>
      </c>
      <c r="B303" s="1"/>
      <c r="C303" s="182">
        <v>14630.9</v>
      </c>
      <c r="D303" s="189">
        <f>$D$184</f>
        <v>58</v>
      </c>
      <c r="E303" s="186" t="s">
        <v>178</v>
      </c>
      <c r="F303" s="2">
        <f>ROUND(D303*C303/100,0)</f>
        <v>8486</v>
      </c>
      <c r="G303" s="733">
        <v>58</v>
      </c>
      <c r="H303" s="186" t="s">
        <v>178</v>
      </c>
      <c r="I303" s="2">
        <f t="shared" si="31"/>
        <v>8486</v>
      </c>
      <c r="J303" s="193">
        <f>$G$184</f>
        <v>58</v>
      </c>
      <c r="K303" s="186" t="s">
        <v>178</v>
      </c>
      <c r="L303" s="2">
        <f t="shared" si="32"/>
        <v>8486</v>
      </c>
      <c r="M303" s="11"/>
      <c r="N303" s="11"/>
      <c r="O303" s="38"/>
      <c r="P303" s="38"/>
      <c r="Q303" s="38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J303" s="42"/>
    </row>
    <row r="304" spans="1:36" hidden="1">
      <c r="A304" s="194" t="s">
        <v>205</v>
      </c>
      <c r="B304" s="1"/>
      <c r="C304" s="182"/>
      <c r="D304" s="195">
        <f>$D$185</f>
        <v>-0.01</v>
      </c>
      <c r="E304" s="186"/>
      <c r="F304" s="2"/>
      <c r="G304" s="734">
        <v>-0.01</v>
      </c>
      <c r="H304" s="186"/>
      <c r="I304" s="2"/>
      <c r="J304" s="195">
        <v>-0.01</v>
      </c>
      <c r="K304" s="186"/>
      <c r="L304" s="2"/>
      <c r="M304" s="11"/>
      <c r="N304" s="11"/>
      <c r="O304" s="38"/>
      <c r="P304" s="38"/>
      <c r="Q304" s="38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J304" s="42"/>
    </row>
    <row r="305" spans="1:36" hidden="1">
      <c r="A305" s="1" t="s">
        <v>194</v>
      </c>
      <c r="B305" s="1"/>
      <c r="C305" s="182">
        <v>0</v>
      </c>
      <c r="D305" s="197">
        <f>$D$210</f>
        <v>9.86</v>
      </c>
      <c r="E305" s="184"/>
      <c r="F305" s="2">
        <f>-ROUND(D305*$C305/100,0)</f>
        <v>0</v>
      </c>
      <c r="G305" s="216">
        <v>9.86</v>
      </c>
      <c r="H305" s="184"/>
      <c r="I305" s="2">
        <f>-ROUND(G305*$C305/100,0)</f>
        <v>0</v>
      </c>
      <c r="J305" s="197">
        <f>J295</f>
        <v>9.86</v>
      </c>
      <c r="K305" s="184"/>
      <c r="L305" s="2">
        <f>-ROUND(J305*$C305/100,0)</f>
        <v>0</v>
      </c>
      <c r="M305" s="11"/>
      <c r="N305" s="11"/>
      <c r="O305" s="38"/>
      <c r="P305" s="38"/>
      <c r="Q305" s="38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J305" s="42"/>
    </row>
    <row r="306" spans="1:36" hidden="1">
      <c r="A306" s="1" t="s">
        <v>195</v>
      </c>
      <c r="B306" s="1"/>
      <c r="C306" s="182">
        <v>12</v>
      </c>
      <c r="D306" s="197">
        <f>$D$211</f>
        <v>14.7</v>
      </c>
      <c r="E306" s="184"/>
      <c r="F306" s="2">
        <f>-ROUND(D306*$C306/100,0)</f>
        <v>-2</v>
      </c>
      <c r="G306" s="216">
        <v>14.7</v>
      </c>
      <c r="H306" s="184"/>
      <c r="I306" s="2">
        <f>-ROUND(G306*$C306/100,0)</f>
        <v>-2</v>
      </c>
      <c r="J306" s="197">
        <f>J296</f>
        <v>14.7</v>
      </c>
      <c r="K306" s="184"/>
      <c r="L306" s="2">
        <f>-ROUND(J306*$C306/100,0)</f>
        <v>-2</v>
      </c>
      <c r="M306" s="11"/>
      <c r="N306" s="11"/>
      <c r="O306" s="38"/>
      <c r="P306" s="38"/>
      <c r="Q306" s="38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J306" s="42"/>
    </row>
    <row r="307" spans="1:36" hidden="1">
      <c r="A307" s="1" t="s">
        <v>206</v>
      </c>
      <c r="B307" s="1"/>
      <c r="C307" s="182">
        <v>3902</v>
      </c>
      <c r="D307" s="197">
        <f>$D$212</f>
        <v>1.04</v>
      </c>
      <c r="E307" s="184"/>
      <c r="F307" s="2">
        <f>-ROUND(D307*$C307/100,0)</f>
        <v>-41</v>
      </c>
      <c r="G307" s="216">
        <v>1.04</v>
      </c>
      <c r="H307" s="184"/>
      <c r="I307" s="2">
        <f>-ROUND(G307*$C307/100,0)</f>
        <v>-41</v>
      </c>
      <c r="J307" s="197">
        <f>J297</f>
        <v>1.04</v>
      </c>
      <c r="K307" s="184"/>
      <c r="L307" s="2">
        <f>-ROUND(J307*$C307/100,0)</f>
        <v>-41</v>
      </c>
      <c r="M307" s="11"/>
      <c r="N307" s="11"/>
      <c r="O307" s="38"/>
      <c r="P307" s="38"/>
      <c r="Q307" s="38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J307" s="42"/>
    </row>
    <row r="308" spans="1:36" hidden="1">
      <c r="A308" s="1" t="s">
        <v>207</v>
      </c>
      <c r="B308" s="1"/>
      <c r="C308" s="182">
        <v>952</v>
      </c>
      <c r="D308" s="197">
        <f>$D$214</f>
        <v>3.81</v>
      </c>
      <c r="E308" s="186"/>
      <c r="F308" s="2">
        <f>-ROUND(D308*$C308/100,0)</f>
        <v>-36</v>
      </c>
      <c r="G308" s="216">
        <v>3.81</v>
      </c>
      <c r="H308" s="186"/>
      <c r="I308" s="2">
        <f>-ROUND(G308*$C308/100,0)</f>
        <v>-36</v>
      </c>
      <c r="J308" s="197">
        <f>J299</f>
        <v>3.81</v>
      </c>
      <c r="K308" s="186"/>
      <c r="L308" s="2">
        <f>-ROUND(J308*$C308/100,0)</f>
        <v>-36</v>
      </c>
      <c r="M308" s="11"/>
      <c r="N308" s="11"/>
      <c r="O308" s="38"/>
      <c r="P308" s="38"/>
      <c r="Q308" s="38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J308" s="42"/>
    </row>
    <row r="309" spans="1:36" hidden="1">
      <c r="A309" s="1" t="s">
        <v>209</v>
      </c>
      <c r="B309" s="1"/>
      <c r="C309" s="182">
        <v>12000</v>
      </c>
      <c r="D309" s="198">
        <f>$D$215</f>
        <v>10.898999999999999</v>
      </c>
      <c r="E309" s="186" t="s">
        <v>178</v>
      </c>
      <c r="F309" s="2">
        <f>ROUND(D309*$C309/100*D304,0)</f>
        <v>-13</v>
      </c>
      <c r="G309" s="735">
        <v>11.222</v>
      </c>
      <c r="H309" s="186" t="s">
        <v>178</v>
      </c>
      <c r="I309" s="2">
        <f>ROUND(G309*$C309/100*G304,0)</f>
        <v>-13</v>
      </c>
      <c r="J309" s="198">
        <f ca="1">J300</f>
        <v>11.207000000000001</v>
      </c>
      <c r="K309" s="186" t="s">
        <v>178</v>
      </c>
      <c r="L309" s="2">
        <f ca="1">ROUND(J309*$C309/100*J304,0)</f>
        <v>-13</v>
      </c>
      <c r="M309" s="11"/>
      <c r="N309" s="11"/>
      <c r="O309" s="38"/>
      <c r="P309" s="38"/>
      <c r="Q309" s="38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J309" s="42"/>
    </row>
    <row r="310" spans="1:36" hidden="1">
      <c r="A310" s="1" t="s">
        <v>202</v>
      </c>
      <c r="B310" s="1"/>
      <c r="C310" s="182">
        <v>91800</v>
      </c>
      <c r="D310" s="198">
        <f>$D$216</f>
        <v>7.3739999999999997</v>
      </c>
      <c r="E310" s="186" t="s">
        <v>178</v>
      </c>
      <c r="F310" s="2">
        <f>ROUND(D310*$C310/100*D304,0)</f>
        <v>-68</v>
      </c>
      <c r="G310" s="735">
        <v>7.6970000000000001</v>
      </c>
      <c r="H310" s="186" t="s">
        <v>178</v>
      </c>
      <c r="I310" s="2">
        <f>ROUND(G310*$C310/100*G304,0)</f>
        <v>-71</v>
      </c>
      <c r="J310" s="198">
        <f ca="1">J301</f>
        <v>7.6820000000000004</v>
      </c>
      <c r="K310" s="186" t="s">
        <v>178</v>
      </c>
      <c r="L310" s="2">
        <f ca="1">ROUND(J310*$C310/100*J304,0)</f>
        <v>-71</v>
      </c>
      <c r="M310" s="11"/>
      <c r="N310" s="11"/>
      <c r="O310" s="38"/>
      <c r="P310" s="38"/>
      <c r="Q310" s="38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J310" s="42"/>
    </row>
    <row r="311" spans="1:36" hidden="1">
      <c r="A311" s="1" t="s">
        <v>203</v>
      </c>
      <c r="B311" s="1"/>
      <c r="C311" s="182">
        <v>59400</v>
      </c>
      <c r="D311" s="198">
        <f>$D$217</f>
        <v>6.8529999999999998</v>
      </c>
      <c r="E311" s="186" t="s">
        <v>178</v>
      </c>
      <c r="F311" s="2">
        <f>ROUND(D311*$C311/100*D304,0)</f>
        <v>-41</v>
      </c>
      <c r="G311" s="735">
        <v>7.1760000000000002</v>
      </c>
      <c r="H311" s="186" t="s">
        <v>178</v>
      </c>
      <c r="I311" s="2">
        <f>ROUND(G311*$C311/100*G304,0)</f>
        <v>-43</v>
      </c>
      <c r="J311" s="198">
        <f ca="1">J302</f>
        <v>7.1609999999999996</v>
      </c>
      <c r="K311" s="186" t="s">
        <v>178</v>
      </c>
      <c r="L311" s="2">
        <f ca="1">ROUND(J311*$C311/100*J304,0)</f>
        <v>-43</v>
      </c>
      <c r="M311" s="11"/>
      <c r="N311" s="11"/>
      <c r="O311" s="38"/>
      <c r="P311" s="38"/>
      <c r="Q311" s="38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J311" s="42"/>
    </row>
    <row r="312" spans="1:36" hidden="1">
      <c r="A312" s="1" t="s">
        <v>204</v>
      </c>
      <c r="B312" s="1"/>
      <c r="C312" s="182">
        <v>425</v>
      </c>
      <c r="D312" s="199">
        <f>$D$218</f>
        <v>58</v>
      </c>
      <c r="E312" s="186" t="s">
        <v>178</v>
      </c>
      <c r="F312" s="2">
        <f>ROUND(D312*$C312/100*D304,0)</f>
        <v>-2</v>
      </c>
      <c r="G312" s="736">
        <v>58</v>
      </c>
      <c r="H312" s="186" t="s">
        <v>178</v>
      </c>
      <c r="I312" s="2">
        <f>ROUND(G312*$C312/100*G304,0)</f>
        <v>-2</v>
      </c>
      <c r="J312" s="199">
        <f>J303</f>
        <v>58</v>
      </c>
      <c r="K312" s="186" t="s">
        <v>178</v>
      </c>
      <c r="L312" s="2">
        <f>ROUND(J312*$C312/100*J304,0)</f>
        <v>-2</v>
      </c>
      <c r="M312" s="11"/>
      <c r="N312" s="11"/>
      <c r="O312" s="38"/>
      <c r="P312" s="38"/>
      <c r="Q312" s="38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J312" s="42"/>
    </row>
    <row r="313" spans="1:36" hidden="1">
      <c r="A313" s="1" t="s">
        <v>211</v>
      </c>
      <c r="B313" s="1"/>
      <c r="C313" s="182">
        <v>12</v>
      </c>
      <c r="D313" s="200">
        <v>60</v>
      </c>
      <c r="E313" s="186"/>
      <c r="F313" s="2">
        <f>ROUND(D313*C313,0)</f>
        <v>720</v>
      </c>
      <c r="G313" s="216">
        <v>60</v>
      </c>
      <c r="H313" s="186"/>
      <c r="I313" s="2">
        <f>ROUND(G313*$C313,0)</f>
        <v>720</v>
      </c>
      <c r="J313" s="200">
        <f>$G$194</f>
        <v>60</v>
      </c>
      <c r="K313" s="186"/>
      <c r="L313" s="2">
        <f>ROUND(J313*$C313,0)</f>
        <v>720</v>
      </c>
      <c r="M313" s="11"/>
      <c r="N313" s="11"/>
      <c r="O313" s="38"/>
      <c r="P313" s="38"/>
      <c r="Q313" s="38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J313" s="42"/>
    </row>
    <row r="314" spans="1:36" hidden="1">
      <c r="A314" s="1" t="s">
        <v>212</v>
      </c>
      <c r="B314" s="1"/>
      <c r="C314" s="182">
        <v>3902</v>
      </c>
      <c r="D314" s="202">
        <v>-30</v>
      </c>
      <c r="E314" s="186" t="s">
        <v>178</v>
      </c>
      <c r="F314" s="2">
        <f>ROUND(D314*C314/100,0)</f>
        <v>-1171</v>
      </c>
      <c r="G314" s="737">
        <v>-30</v>
      </c>
      <c r="H314" s="186" t="s">
        <v>178</v>
      </c>
      <c r="I314" s="2">
        <f>ROUND(G314*$C314/100,0)</f>
        <v>-1171</v>
      </c>
      <c r="J314" s="202">
        <f>$G$195</f>
        <v>-30</v>
      </c>
      <c r="K314" s="186" t="s">
        <v>178</v>
      </c>
      <c r="L314" s="2">
        <f>ROUND(J314*$C314/100,0)</f>
        <v>-1171</v>
      </c>
      <c r="M314" s="11"/>
      <c r="N314" s="11"/>
      <c r="O314" s="38"/>
      <c r="P314" s="38"/>
      <c r="Q314" s="38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J314" s="42"/>
    </row>
    <row r="315" spans="1:36" hidden="1">
      <c r="A315" s="1" t="s">
        <v>185</v>
      </c>
      <c r="B315" s="1"/>
      <c r="C315" s="182">
        <f>SUM(C300:C302)</f>
        <v>16105524</v>
      </c>
      <c r="D315" s="193"/>
      <c r="E315" s="186"/>
      <c r="F315" s="2">
        <f>SUM(F295:F314)</f>
        <v>1532547</v>
      </c>
      <c r="G315" s="733"/>
      <c r="H315" s="186"/>
      <c r="I315" s="2">
        <f>SUM(I295:I314)</f>
        <v>1584563</v>
      </c>
      <c r="J315" s="193"/>
      <c r="K315" s="186"/>
      <c r="L315" s="2">
        <f ca="1">SUM(L295:L314)</f>
        <v>1582148</v>
      </c>
      <c r="M315" s="11"/>
      <c r="N315" s="11"/>
      <c r="O315" s="38"/>
      <c r="P315" s="38"/>
      <c r="Q315" s="38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J315" s="42"/>
    </row>
    <row r="316" spans="1:36" hidden="1">
      <c r="A316" s="1" t="s">
        <v>167</v>
      </c>
      <c r="B316" s="1"/>
      <c r="C316" s="212">
        <v>300686.69518359675</v>
      </c>
      <c r="D316" s="172"/>
      <c r="E316" s="172"/>
      <c r="F316" s="204">
        <v>9128.2704464299368</v>
      </c>
      <c r="G316" s="284"/>
      <c r="H316" s="172"/>
      <c r="I316" s="204">
        <f>F316</f>
        <v>9128.2704464299368</v>
      </c>
      <c r="J316" s="172"/>
      <c r="K316" s="172"/>
      <c r="L316" s="204">
        <f>I316</f>
        <v>9128.2704464299368</v>
      </c>
      <c r="M316" s="307"/>
      <c r="N316" s="307"/>
      <c r="O316" s="150"/>
      <c r="P316" s="38"/>
      <c r="Q316" s="38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J316" s="42"/>
    </row>
    <row r="317" spans="1:36" ht="16.5" hidden="1" thickBot="1">
      <c r="A317" s="1" t="s">
        <v>186</v>
      </c>
      <c r="B317" s="1"/>
      <c r="C317" s="174">
        <f>SUM(C315:C316)</f>
        <v>16406210.695183598</v>
      </c>
      <c r="D317" s="205"/>
      <c r="E317" s="208"/>
      <c r="F317" s="207">
        <f>F315+F316</f>
        <v>1541675.27044643</v>
      </c>
      <c r="G317" s="741"/>
      <c r="H317" s="208"/>
      <c r="I317" s="207">
        <f>I315+I316</f>
        <v>1593691.27044643</v>
      </c>
      <c r="J317" s="205"/>
      <c r="K317" s="208"/>
      <c r="L317" s="207">
        <f ca="1">L315+L316</f>
        <v>1591276.27044643</v>
      </c>
      <c r="M317" s="274"/>
      <c r="N317" s="274"/>
      <c r="O317" s="333"/>
      <c r="P317" s="38"/>
      <c r="Q317" s="38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J317" s="42"/>
    </row>
    <row r="318" spans="1:36" ht="16.5" hidden="1" thickTop="1">
      <c r="A318" s="1"/>
      <c r="B318" s="1"/>
      <c r="C318" s="213"/>
      <c r="D318" s="214"/>
      <c r="E318" s="14"/>
      <c r="F318" s="185"/>
      <c r="G318" s="742"/>
      <c r="H318" s="14"/>
      <c r="I318" s="185"/>
      <c r="J318" s="214"/>
      <c r="K318" s="14"/>
      <c r="L318" s="185"/>
      <c r="M318" s="11"/>
      <c r="N318" s="11"/>
      <c r="O318" s="38"/>
      <c r="P318" s="38"/>
      <c r="Q318" s="38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J318" s="42"/>
    </row>
    <row r="319" spans="1:36" hidden="1">
      <c r="A319" s="156" t="s">
        <v>219</v>
      </c>
      <c r="B319" s="1"/>
      <c r="C319" s="1"/>
      <c r="D319" s="2"/>
      <c r="E319" s="1"/>
      <c r="F319" s="1"/>
      <c r="G319" s="516"/>
      <c r="H319" s="1"/>
      <c r="I319" s="1"/>
      <c r="J319" s="2"/>
      <c r="K319" s="1"/>
      <c r="L319" s="1"/>
      <c r="M319" s="11"/>
      <c r="N319" s="11"/>
      <c r="O319" s="38"/>
      <c r="P319" s="38"/>
      <c r="Q319" s="38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J319" s="42"/>
    </row>
    <row r="320" spans="1:36" hidden="1">
      <c r="A320" s="1" t="s">
        <v>214</v>
      </c>
      <c r="B320" s="1"/>
      <c r="C320" s="1"/>
      <c r="D320" s="2"/>
      <c r="E320" s="1"/>
      <c r="F320" s="1"/>
      <c r="G320" s="516"/>
      <c r="H320" s="1"/>
      <c r="I320" s="1"/>
      <c r="J320" s="2"/>
      <c r="K320" s="1"/>
      <c r="L320" s="1"/>
      <c r="M320" s="11"/>
      <c r="N320" s="11"/>
      <c r="O320" s="38"/>
      <c r="P320" s="38"/>
      <c r="Q320" s="38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J320" s="42"/>
    </row>
    <row r="321" spans="1:36" hidden="1">
      <c r="A321" s="1"/>
      <c r="B321" s="1"/>
      <c r="C321" s="1"/>
      <c r="D321" s="2"/>
      <c r="E321" s="1"/>
      <c r="F321" s="1"/>
      <c r="G321" s="516"/>
      <c r="H321" s="1"/>
      <c r="I321" s="1"/>
      <c r="J321" s="2"/>
      <c r="K321" s="1"/>
      <c r="L321" s="1"/>
      <c r="M321" s="11"/>
      <c r="N321" s="11"/>
      <c r="O321" s="38"/>
      <c r="P321" s="38"/>
      <c r="Q321" s="38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J321" s="42"/>
    </row>
    <row r="322" spans="1:36" hidden="1">
      <c r="A322" s="1" t="s">
        <v>197</v>
      </c>
      <c r="B322" s="1"/>
      <c r="C322" s="182"/>
      <c r="D322" s="2"/>
      <c r="E322" s="1"/>
      <c r="F322" s="1"/>
      <c r="G322" s="516"/>
      <c r="H322" s="1"/>
      <c r="I322" s="1"/>
      <c r="J322" s="2"/>
      <c r="K322" s="1"/>
      <c r="L322" s="1"/>
      <c r="M322" s="11"/>
      <c r="N322" s="11"/>
      <c r="O322" s="38"/>
      <c r="P322" s="38"/>
      <c r="Q322" s="38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J322" s="42"/>
    </row>
    <row r="323" spans="1:36" hidden="1">
      <c r="A323" s="1" t="s">
        <v>220</v>
      </c>
      <c r="B323" s="1"/>
      <c r="C323" s="182">
        <f>C352+C381</f>
        <v>4428.0001738685805</v>
      </c>
      <c r="D323" s="161">
        <f>$D$175</f>
        <v>9.86</v>
      </c>
      <c r="E323" s="186"/>
      <c r="F323" s="2">
        <f>ROUND(D323*$C323,0)</f>
        <v>43660</v>
      </c>
      <c r="G323" s="506">
        <v>9.86</v>
      </c>
      <c r="H323" s="186"/>
      <c r="I323" s="2">
        <f>I352+I381</f>
        <v>43660</v>
      </c>
      <c r="J323" s="161">
        <f>$G$175</f>
        <v>9.86</v>
      </c>
      <c r="K323" s="186"/>
      <c r="L323" s="2">
        <f>L352+L381</f>
        <v>43660</v>
      </c>
      <c r="M323" s="11"/>
      <c r="N323" s="11"/>
      <c r="O323" s="38"/>
      <c r="P323" s="38"/>
      <c r="Q323" s="38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J323" s="42"/>
    </row>
    <row r="324" spans="1:36" hidden="1">
      <c r="A324" s="1" t="s">
        <v>195</v>
      </c>
      <c r="B324" s="1"/>
      <c r="C324" s="182">
        <f>C353+C382</f>
        <v>0</v>
      </c>
      <c r="D324" s="161">
        <f>$D$176</f>
        <v>14.7</v>
      </c>
      <c r="E324" s="188"/>
      <c r="F324" s="2">
        <f>ROUND(D324*$C324,0)</f>
        <v>0</v>
      </c>
      <c r="G324" s="506">
        <v>14.7</v>
      </c>
      <c r="H324" s="188"/>
      <c r="I324" s="2">
        <f>I353+I382</f>
        <v>0</v>
      </c>
      <c r="J324" s="161">
        <f>$G$176</f>
        <v>14.7</v>
      </c>
      <c r="K324" s="188"/>
      <c r="L324" s="2">
        <f>L353+L382</f>
        <v>0</v>
      </c>
      <c r="M324" s="11"/>
      <c r="N324" s="11"/>
      <c r="O324" s="38"/>
      <c r="P324" s="38"/>
      <c r="Q324" s="38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J324" s="42"/>
    </row>
    <row r="325" spans="1:36" hidden="1">
      <c r="A325" s="1" t="s">
        <v>196</v>
      </c>
      <c r="B325" s="1"/>
      <c r="C325" s="182">
        <f>C354+C383</f>
        <v>0</v>
      </c>
      <c r="D325" s="161">
        <f>$D$177</f>
        <v>1.04</v>
      </c>
      <c r="E325" s="188"/>
      <c r="F325" s="2">
        <f>ROUND(D325*$C325,0)</f>
        <v>0</v>
      </c>
      <c r="G325" s="506">
        <v>1.04</v>
      </c>
      <c r="H325" s="188"/>
      <c r="I325" s="2">
        <f>I354+I383</f>
        <v>0</v>
      </c>
      <c r="J325" s="161">
        <f>$G$177</f>
        <v>1.04</v>
      </c>
      <c r="K325" s="188"/>
      <c r="L325" s="2">
        <f>L354+L383</f>
        <v>0</v>
      </c>
      <c r="M325" s="11"/>
      <c r="N325" s="11"/>
      <c r="O325" s="38"/>
      <c r="P325" s="38"/>
      <c r="Q325" s="38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J325" s="42"/>
    </row>
    <row r="326" spans="1:36" hidden="1">
      <c r="A326" s="1" t="s">
        <v>198</v>
      </c>
      <c r="B326" s="1"/>
      <c r="C326" s="182">
        <f>SUM(C323:C324)</f>
        <v>4428.0001738685805</v>
      </c>
      <c r="D326" s="161"/>
      <c r="E326" s="186"/>
      <c r="F326" s="2"/>
      <c r="G326" s="506"/>
      <c r="H326" s="186"/>
      <c r="I326" s="2"/>
      <c r="J326" s="161"/>
      <c r="K326" s="186"/>
      <c r="L326" s="2"/>
      <c r="M326" s="11"/>
      <c r="N326" s="11"/>
      <c r="O326" s="38"/>
      <c r="P326" s="38"/>
      <c r="Q326" s="38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J326" s="42"/>
    </row>
    <row r="327" spans="1:36" hidden="1">
      <c r="A327" s="1" t="s">
        <v>166</v>
      </c>
      <c r="B327" s="1"/>
      <c r="C327" s="182">
        <f t="shared" ref="C327:C332" si="33">C356+C385</f>
        <v>1371.2</v>
      </c>
      <c r="D327" s="161"/>
      <c r="E327" s="186"/>
      <c r="F327" s="2"/>
      <c r="G327" s="506"/>
      <c r="H327" s="186"/>
      <c r="I327" s="2"/>
      <c r="J327" s="161"/>
      <c r="K327" s="186"/>
      <c r="L327" s="2"/>
      <c r="M327" s="11"/>
      <c r="N327" s="11"/>
      <c r="O327" s="38"/>
      <c r="P327" s="38"/>
      <c r="Q327" s="38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J327" s="42"/>
    </row>
    <row r="328" spans="1:36" hidden="1">
      <c r="A328" s="1" t="s">
        <v>199</v>
      </c>
      <c r="B328" s="1"/>
      <c r="C328" s="182">
        <f t="shared" si="33"/>
        <v>0</v>
      </c>
      <c r="D328" s="189">
        <f>$D$180</f>
        <v>3.81</v>
      </c>
      <c r="E328" s="186"/>
      <c r="F328" s="2">
        <f>ROUND(D328*C328,0)</f>
        <v>0</v>
      </c>
      <c r="G328" s="216">
        <v>3.81</v>
      </c>
      <c r="H328" s="186"/>
      <c r="I328" s="2">
        <f>I357+I386</f>
        <v>0</v>
      </c>
      <c r="J328" s="189">
        <f>$G$180</f>
        <v>3.81</v>
      </c>
      <c r="K328" s="186"/>
      <c r="L328" s="2">
        <f>L357+L386</f>
        <v>0</v>
      </c>
      <c r="M328" s="11"/>
      <c r="N328" s="11"/>
      <c r="O328" s="38"/>
      <c r="P328" s="38"/>
      <c r="Q328" s="38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J328" s="42"/>
    </row>
    <row r="329" spans="1:36" hidden="1">
      <c r="A329" s="1" t="s">
        <v>201</v>
      </c>
      <c r="B329" s="1"/>
      <c r="C329" s="182">
        <f t="shared" si="33"/>
        <v>1204399.1537199491</v>
      </c>
      <c r="D329" s="162">
        <f>$D$181</f>
        <v>10.898999999999999</v>
      </c>
      <c r="E329" s="186" t="s">
        <v>178</v>
      </c>
      <c r="F329" s="2">
        <f>F358+F387</f>
        <v>131268</v>
      </c>
      <c r="G329" s="731">
        <v>11.222</v>
      </c>
      <c r="H329" s="186" t="s">
        <v>178</v>
      </c>
      <c r="I329" s="2">
        <f>I358+I387</f>
        <v>135157</v>
      </c>
      <c r="J329" s="162">
        <f ca="1">$J$181</f>
        <v>11.207000000000001</v>
      </c>
      <c r="K329" s="186" t="s">
        <v>178</v>
      </c>
      <c r="L329" s="2">
        <f ca="1">L358+L387</f>
        <v>134977</v>
      </c>
      <c r="M329" s="11"/>
      <c r="N329" s="11"/>
      <c r="O329" s="38"/>
      <c r="P329" s="38"/>
      <c r="Q329" s="38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J329" s="42"/>
    </row>
    <row r="330" spans="1:36" hidden="1">
      <c r="A330" s="1" t="s">
        <v>202</v>
      </c>
      <c r="B330" s="1"/>
      <c r="C330" s="182">
        <f t="shared" si="33"/>
        <v>55032</v>
      </c>
      <c r="D330" s="162">
        <f>$D$182</f>
        <v>7.3739999999999997</v>
      </c>
      <c r="E330" s="186" t="s">
        <v>178</v>
      </c>
      <c r="F330" s="2">
        <f>ROUND(D330*C330/100,0)</f>
        <v>4058</v>
      </c>
      <c r="G330" s="731">
        <v>7.6970000000000001</v>
      </c>
      <c r="H330" s="186" t="s">
        <v>178</v>
      </c>
      <c r="I330" s="2">
        <f>I359+I388</f>
        <v>4236</v>
      </c>
      <c r="J330" s="162">
        <f ca="1">$J$182</f>
        <v>7.6820000000000004</v>
      </c>
      <c r="K330" s="186" t="s">
        <v>178</v>
      </c>
      <c r="L330" s="2">
        <f ca="1">L359+L388</f>
        <v>4228</v>
      </c>
      <c r="M330" s="11"/>
      <c r="N330" s="11"/>
      <c r="O330" s="38"/>
      <c r="P330" s="38"/>
      <c r="Q330" s="38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J330" s="42"/>
    </row>
    <row r="331" spans="1:36" hidden="1">
      <c r="A331" s="1" t="s">
        <v>203</v>
      </c>
      <c r="B331" s="1"/>
      <c r="C331" s="182">
        <f t="shared" si="33"/>
        <v>0</v>
      </c>
      <c r="D331" s="162">
        <f>$D$183</f>
        <v>6.8529999999999998</v>
      </c>
      <c r="E331" s="186" t="s">
        <v>178</v>
      </c>
      <c r="F331" s="2">
        <f>ROUND(D331*C331/100,0)</f>
        <v>0</v>
      </c>
      <c r="G331" s="731">
        <v>7.1760000000000002</v>
      </c>
      <c r="H331" s="186" t="s">
        <v>178</v>
      </c>
      <c r="I331" s="2">
        <f>I360+I389</f>
        <v>0</v>
      </c>
      <c r="J331" s="162">
        <f ca="1">$J$183</f>
        <v>7.1609999999999996</v>
      </c>
      <c r="K331" s="186" t="s">
        <v>178</v>
      </c>
      <c r="L331" s="2">
        <f ca="1">L360+L389</f>
        <v>0</v>
      </c>
      <c r="M331" s="11"/>
      <c r="N331" s="11"/>
      <c r="O331" s="38"/>
      <c r="P331" s="38"/>
      <c r="Q331" s="38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J331" s="42"/>
    </row>
    <row r="332" spans="1:36" hidden="1">
      <c r="A332" s="1" t="s">
        <v>204</v>
      </c>
      <c r="B332" s="1"/>
      <c r="C332" s="182">
        <f t="shared" si="33"/>
        <v>0</v>
      </c>
      <c r="D332" s="189">
        <f>$D$184</f>
        <v>58</v>
      </c>
      <c r="E332" s="186" t="s">
        <v>178</v>
      </c>
      <c r="F332" s="2">
        <f>ROUND(D332*C332/100,0)</f>
        <v>0</v>
      </c>
      <c r="G332" s="733">
        <v>58</v>
      </c>
      <c r="H332" s="186" t="s">
        <v>178</v>
      </c>
      <c r="I332" s="2">
        <f>I361+I390</f>
        <v>0</v>
      </c>
      <c r="J332" s="193">
        <f>$G$184</f>
        <v>58</v>
      </c>
      <c r="K332" s="186" t="s">
        <v>178</v>
      </c>
      <c r="L332" s="2">
        <f>L361+L390</f>
        <v>0</v>
      </c>
      <c r="M332" s="11"/>
      <c r="N332" s="11"/>
      <c r="O332" s="38"/>
      <c r="P332" s="38"/>
      <c r="Q332" s="38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J332" s="42"/>
    </row>
    <row r="333" spans="1:36" hidden="1">
      <c r="A333" s="194" t="s">
        <v>205</v>
      </c>
      <c r="B333" s="1"/>
      <c r="C333" s="182"/>
      <c r="D333" s="195">
        <f>$D$185</f>
        <v>-0.01</v>
      </c>
      <c r="E333" s="186"/>
      <c r="F333" s="2"/>
      <c r="G333" s="734">
        <v>-0.01</v>
      </c>
      <c r="H333" s="186"/>
      <c r="I333" s="2"/>
      <c r="J333" s="195">
        <v>-0.01</v>
      </c>
      <c r="K333" s="186"/>
      <c r="L333" s="2"/>
      <c r="M333" s="11"/>
      <c r="N333" s="11"/>
      <c r="O333" s="38"/>
      <c r="P333" s="38"/>
      <c r="Q333" s="38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J333" s="42"/>
    </row>
    <row r="334" spans="1:36" hidden="1">
      <c r="A334" s="1" t="s">
        <v>194</v>
      </c>
      <c r="B334" s="1"/>
      <c r="C334" s="182">
        <v>0</v>
      </c>
      <c r="D334" s="197">
        <f>$D$210</f>
        <v>9.86</v>
      </c>
      <c r="E334" s="184"/>
      <c r="F334" s="2">
        <f>-ROUND(D334*$C334/100,0)</f>
        <v>0</v>
      </c>
      <c r="G334" s="216">
        <v>9.86</v>
      </c>
      <c r="H334" s="184"/>
      <c r="I334" s="2">
        <f t="shared" ref="I334:I344" si="34">I363+I392</f>
        <v>0</v>
      </c>
      <c r="J334" s="197">
        <f>J323</f>
        <v>9.86</v>
      </c>
      <c r="K334" s="184"/>
      <c r="L334" s="2">
        <f t="shared" ref="L334:L344" si="35">L363+L392</f>
        <v>0</v>
      </c>
      <c r="M334" s="11"/>
      <c r="N334" s="11"/>
      <c r="O334" s="38"/>
      <c r="P334" s="38"/>
      <c r="Q334" s="38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J334" s="42"/>
    </row>
    <row r="335" spans="1:36" hidden="1">
      <c r="A335" s="1" t="s">
        <v>195</v>
      </c>
      <c r="B335" s="1"/>
      <c r="C335" s="182">
        <v>0</v>
      </c>
      <c r="D335" s="197">
        <f>$D$211</f>
        <v>14.7</v>
      </c>
      <c r="E335" s="184"/>
      <c r="F335" s="2">
        <f>-ROUND(D335*$C335/100,0)</f>
        <v>0</v>
      </c>
      <c r="G335" s="216">
        <v>14.7</v>
      </c>
      <c r="H335" s="184"/>
      <c r="I335" s="2">
        <f t="shared" si="34"/>
        <v>0</v>
      </c>
      <c r="J335" s="197">
        <f>J324</f>
        <v>14.7</v>
      </c>
      <c r="K335" s="184"/>
      <c r="L335" s="2">
        <f t="shared" si="35"/>
        <v>0</v>
      </c>
      <c r="M335" s="11"/>
      <c r="N335" s="11"/>
      <c r="O335" s="38"/>
      <c r="P335" s="38"/>
      <c r="Q335" s="38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J335" s="42"/>
    </row>
    <row r="336" spans="1:36" hidden="1">
      <c r="A336" s="1" t="s">
        <v>206</v>
      </c>
      <c r="B336" s="1"/>
      <c r="C336" s="182">
        <v>0</v>
      </c>
      <c r="D336" s="197">
        <f>$D$212</f>
        <v>1.04</v>
      </c>
      <c r="E336" s="184"/>
      <c r="F336" s="2">
        <f>-ROUND(D336*$C336/100,0)</f>
        <v>0</v>
      </c>
      <c r="G336" s="216">
        <v>1.04</v>
      </c>
      <c r="H336" s="184"/>
      <c r="I336" s="2">
        <f t="shared" si="34"/>
        <v>0</v>
      </c>
      <c r="J336" s="197">
        <f>J325</f>
        <v>1.04</v>
      </c>
      <c r="K336" s="184"/>
      <c r="L336" s="2">
        <f t="shared" si="35"/>
        <v>0</v>
      </c>
      <c r="M336" s="11"/>
      <c r="N336" s="11"/>
      <c r="O336" s="38"/>
      <c r="P336" s="38"/>
      <c r="Q336" s="38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J336" s="42"/>
    </row>
    <row r="337" spans="1:36" hidden="1">
      <c r="A337" s="1" t="s">
        <v>207</v>
      </c>
      <c r="B337" s="1"/>
      <c r="C337" s="182">
        <v>0</v>
      </c>
      <c r="D337" s="197">
        <f>$D$214</f>
        <v>3.81</v>
      </c>
      <c r="E337" s="186"/>
      <c r="F337" s="2">
        <f>-ROUND(D337*$C337/100,0)</f>
        <v>0</v>
      </c>
      <c r="G337" s="216">
        <v>3.81</v>
      </c>
      <c r="H337" s="186"/>
      <c r="I337" s="2">
        <f t="shared" si="34"/>
        <v>0</v>
      </c>
      <c r="J337" s="197">
        <f>J328</f>
        <v>3.81</v>
      </c>
      <c r="K337" s="186"/>
      <c r="L337" s="2">
        <f t="shared" si="35"/>
        <v>0</v>
      </c>
      <c r="M337" s="11"/>
      <c r="N337" s="11"/>
      <c r="O337" s="38"/>
      <c r="P337" s="38"/>
      <c r="Q337" s="38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J337" s="42"/>
    </row>
    <row r="338" spans="1:36" hidden="1">
      <c r="A338" s="1" t="s">
        <v>209</v>
      </c>
      <c r="B338" s="1"/>
      <c r="C338" s="182">
        <v>0</v>
      </c>
      <c r="D338" s="198">
        <f>$D$215</f>
        <v>10.898999999999999</v>
      </c>
      <c r="E338" s="186" t="s">
        <v>178</v>
      </c>
      <c r="F338" s="2">
        <f>ROUND(D338*$C338/100*D333,0)</f>
        <v>0</v>
      </c>
      <c r="G338" s="735">
        <v>11.222</v>
      </c>
      <c r="H338" s="186" t="s">
        <v>178</v>
      </c>
      <c r="I338" s="2">
        <f t="shared" si="34"/>
        <v>0</v>
      </c>
      <c r="J338" s="198">
        <f ca="1">J329</f>
        <v>11.207000000000001</v>
      </c>
      <c r="K338" s="186" t="s">
        <v>178</v>
      </c>
      <c r="L338" s="2">
        <f t="shared" ca="1" si="35"/>
        <v>0</v>
      </c>
      <c r="M338" s="11"/>
      <c r="N338" s="11"/>
      <c r="O338" s="38"/>
      <c r="P338" s="38"/>
      <c r="Q338" s="38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J338" s="42"/>
    </row>
    <row r="339" spans="1:36" hidden="1">
      <c r="A339" s="1" t="s">
        <v>202</v>
      </c>
      <c r="B339" s="1"/>
      <c r="C339" s="182">
        <v>0</v>
      </c>
      <c r="D339" s="198">
        <f>$D$216</f>
        <v>7.3739999999999997</v>
      </c>
      <c r="E339" s="186" t="s">
        <v>178</v>
      </c>
      <c r="F339" s="2">
        <f>ROUND(D339*$C339/100*D333,0)</f>
        <v>0</v>
      </c>
      <c r="G339" s="735">
        <v>7.6970000000000001</v>
      </c>
      <c r="H339" s="186" t="s">
        <v>178</v>
      </c>
      <c r="I339" s="2">
        <f t="shared" si="34"/>
        <v>0</v>
      </c>
      <c r="J339" s="198">
        <f ca="1">J330</f>
        <v>7.6820000000000004</v>
      </c>
      <c r="K339" s="186" t="s">
        <v>178</v>
      </c>
      <c r="L339" s="2">
        <f t="shared" ca="1" si="35"/>
        <v>0</v>
      </c>
      <c r="M339" s="11"/>
      <c r="N339" s="11"/>
      <c r="O339" s="38"/>
      <c r="P339" s="38"/>
      <c r="Q339" s="38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J339" s="42"/>
    </row>
    <row r="340" spans="1:36" hidden="1">
      <c r="A340" s="1" t="s">
        <v>203</v>
      </c>
      <c r="B340" s="1"/>
      <c r="C340" s="182">
        <v>0</v>
      </c>
      <c r="D340" s="198">
        <f>$D$217</f>
        <v>6.8529999999999998</v>
      </c>
      <c r="E340" s="186" t="s">
        <v>178</v>
      </c>
      <c r="F340" s="2">
        <f>ROUND(D340*$C340/100*D333,0)</f>
        <v>0</v>
      </c>
      <c r="G340" s="735">
        <v>7.1760000000000002</v>
      </c>
      <c r="H340" s="186" t="s">
        <v>178</v>
      </c>
      <c r="I340" s="2">
        <f t="shared" si="34"/>
        <v>0</v>
      </c>
      <c r="J340" s="198">
        <f ca="1">J331</f>
        <v>7.1609999999999996</v>
      </c>
      <c r="K340" s="186" t="s">
        <v>178</v>
      </c>
      <c r="L340" s="2">
        <f t="shared" ca="1" si="35"/>
        <v>0</v>
      </c>
      <c r="M340" s="11"/>
      <c r="N340" s="11"/>
      <c r="O340" s="38"/>
      <c r="P340" s="38"/>
      <c r="Q340" s="38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J340" s="42"/>
    </row>
    <row r="341" spans="1:36" hidden="1">
      <c r="A341" s="1" t="s">
        <v>204</v>
      </c>
      <c r="B341" s="1"/>
      <c r="C341" s="182">
        <v>0</v>
      </c>
      <c r="D341" s="199">
        <f>$D$218</f>
        <v>58</v>
      </c>
      <c r="E341" s="186" t="s">
        <v>178</v>
      </c>
      <c r="F341" s="2">
        <f>ROUND(D341*$C341/100*D333,0)</f>
        <v>0</v>
      </c>
      <c r="G341" s="736">
        <v>58</v>
      </c>
      <c r="H341" s="186" t="s">
        <v>178</v>
      </c>
      <c r="I341" s="2">
        <f t="shared" si="34"/>
        <v>0</v>
      </c>
      <c r="J341" s="199">
        <f>J332</f>
        <v>58</v>
      </c>
      <c r="K341" s="186" t="s">
        <v>178</v>
      </c>
      <c r="L341" s="2">
        <f t="shared" si="35"/>
        <v>0</v>
      </c>
      <c r="M341" s="11"/>
      <c r="N341" s="11"/>
      <c r="O341" s="38"/>
      <c r="P341" s="38"/>
      <c r="Q341" s="38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J341" s="42"/>
    </row>
    <row r="342" spans="1:36" hidden="1">
      <c r="A342" s="1" t="s">
        <v>211</v>
      </c>
      <c r="B342" s="1"/>
      <c r="C342" s="182">
        <v>0</v>
      </c>
      <c r="D342" s="200">
        <v>60</v>
      </c>
      <c r="E342" s="186"/>
      <c r="F342" s="2">
        <f>ROUND(D342*C342,0)</f>
        <v>0</v>
      </c>
      <c r="G342" s="216">
        <v>60</v>
      </c>
      <c r="H342" s="186"/>
      <c r="I342" s="2">
        <f t="shared" si="34"/>
        <v>0</v>
      </c>
      <c r="J342" s="200">
        <f>$G$194</f>
        <v>60</v>
      </c>
      <c r="K342" s="186"/>
      <c r="L342" s="2">
        <f t="shared" si="35"/>
        <v>0</v>
      </c>
      <c r="M342" s="11"/>
      <c r="N342" s="11"/>
      <c r="O342" s="38"/>
      <c r="P342" s="38"/>
      <c r="Q342" s="38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J342" s="42"/>
    </row>
    <row r="343" spans="1:36" hidden="1">
      <c r="A343" s="1" t="s">
        <v>212</v>
      </c>
      <c r="B343" s="1"/>
      <c r="C343" s="182">
        <v>0</v>
      </c>
      <c r="D343" s="202">
        <v>-30</v>
      </c>
      <c r="E343" s="186" t="s">
        <v>178</v>
      </c>
      <c r="F343" s="2">
        <f>ROUND(D343*C343/100,0)</f>
        <v>0</v>
      </c>
      <c r="G343" s="737">
        <v>-30</v>
      </c>
      <c r="H343" s="186" t="s">
        <v>178</v>
      </c>
      <c r="I343" s="2">
        <f t="shared" si="34"/>
        <v>0</v>
      </c>
      <c r="J343" s="202">
        <f>$G$195</f>
        <v>-30</v>
      </c>
      <c r="K343" s="186" t="s">
        <v>178</v>
      </c>
      <c r="L343" s="2">
        <f t="shared" si="35"/>
        <v>0</v>
      </c>
      <c r="M343" s="11"/>
      <c r="N343" s="11"/>
      <c r="O343" s="38"/>
      <c r="P343" s="38"/>
      <c r="Q343" s="38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J343" s="42"/>
    </row>
    <row r="344" spans="1:36" hidden="1">
      <c r="A344" s="1" t="s">
        <v>185</v>
      </c>
      <c r="B344" s="1"/>
      <c r="C344" s="182">
        <f>C373+C402</f>
        <v>1259431.1537199491</v>
      </c>
      <c r="D344" s="193"/>
      <c r="E344" s="186"/>
      <c r="F344" s="2">
        <f>F373+F402</f>
        <v>178986</v>
      </c>
      <c r="G344" s="733"/>
      <c r="H344" s="186"/>
      <c r="I344" s="2">
        <f t="shared" si="34"/>
        <v>183053</v>
      </c>
      <c r="J344" s="193"/>
      <c r="K344" s="186"/>
      <c r="L344" s="2">
        <f t="shared" ca="1" si="35"/>
        <v>182865</v>
      </c>
      <c r="M344" s="11"/>
      <c r="N344" s="11"/>
      <c r="O344" s="38"/>
      <c r="P344" s="38"/>
      <c r="Q344" s="38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J344" s="42"/>
    </row>
    <row r="345" spans="1:36" hidden="1">
      <c r="A345" s="1" t="s">
        <v>167</v>
      </c>
      <c r="B345" s="1"/>
      <c r="C345" s="203">
        <f>C374+C403</f>
        <v>11778.668952023776</v>
      </c>
      <c r="D345" s="172"/>
      <c r="E345" s="172"/>
      <c r="F345" s="204">
        <f>F374+F403</f>
        <v>2289.9420988606521</v>
      </c>
      <c r="G345" s="284"/>
      <c r="H345" s="172"/>
      <c r="I345" s="204">
        <f>F345</f>
        <v>2289.9420988606521</v>
      </c>
      <c r="J345" s="172"/>
      <c r="K345" s="172"/>
      <c r="L345" s="204">
        <f>I345</f>
        <v>2289.9420988606521</v>
      </c>
      <c r="M345" s="307"/>
      <c r="N345" s="307"/>
      <c r="O345" s="150"/>
      <c r="P345" s="38"/>
      <c r="Q345" s="38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J345" s="42"/>
    </row>
    <row r="346" spans="1:36" ht="16.5" hidden="1" thickBot="1">
      <c r="A346" s="1" t="s">
        <v>186</v>
      </c>
      <c r="B346" s="1"/>
      <c r="C346" s="174">
        <f>SUM(C344:C345)</f>
        <v>1271209.8226719729</v>
      </c>
      <c r="D346" s="205"/>
      <c r="E346" s="208"/>
      <c r="F346" s="207">
        <f>F344+F345</f>
        <v>181275.94209886066</v>
      </c>
      <c r="G346" s="741"/>
      <c r="H346" s="208"/>
      <c r="I346" s="207">
        <f>I344+I345</f>
        <v>185342.94209886066</v>
      </c>
      <c r="J346" s="205"/>
      <c r="K346" s="208"/>
      <c r="L346" s="207">
        <f ca="1">L344+L345</f>
        <v>185154.94209886066</v>
      </c>
      <c r="M346" s="274"/>
      <c r="N346" s="274"/>
      <c r="O346" s="333"/>
      <c r="P346" s="38"/>
      <c r="Q346" s="38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J346" s="42"/>
    </row>
    <row r="347" spans="1:36" ht="16.5" hidden="1" thickTop="1">
      <c r="A347" s="1"/>
      <c r="B347" s="1"/>
      <c r="C347" s="12"/>
      <c r="D347" s="200"/>
      <c r="E347" s="1"/>
      <c r="F347" s="2"/>
      <c r="G347" s="216"/>
      <c r="H347" s="1"/>
      <c r="I347" s="2" t="s">
        <v>13</v>
      </c>
      <c r="J347" s="200"/>
      <c r="K347" s="1"/>
      <c r="L347" s="2" t="s">
        <v>13</v>
      </c>
      <c r="M347" s="11"/>
      <c r="N347" s="11"/>
      <c r="O347" s="38"/>
      <c r="P347" s="38"/>
      <c r="Q347" s="38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J347" s="42"/>
    </row>
    <row r="348" spans="1:36" hidden="1">
      <c r="A348" s="156" t="s">
        <v>219</v>
      </c>
      <c r="B348" s="1"/>
      <c r="C348" s="1"/>
      <c r="D348" s="2"/>
      <c r="E348" s="1"/>
      <c r="F348" s="1"/>
      <c r="G348" s="516"/>
      <c r="H348" s="1"/>
      <c r="I348" s="1"/>
      <c r="J348" s="2"/>
      <c r="K348" s="1"/>
      <c r="L348" s="1"/>
      <c r="M348" s="11"/>
      <c r="N348" s="11"/>
      <c r="O348" s="38"/>
      <c r="P348" s="38"/>
      <c r="Q348" s="38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J348" s="42"/>
    </row>
    <row r="349" spans="1:36" hidden="1">
      <c r="A349" s="1" t="s">
        <v>215</v>
      </c>
      <c r="B349" s="1"/>
      <c r="C349" s="1"/>
      <c r="D349" s="2"/>
      <c r="E349" s="1"/>
      <c r="F349" s="1"/>
      <c r="G349" s="516"/>
      <c r="H349" s="1"/>
      <c r="I349" s="1"/>
      <c r="J349" s="2"/>
      <c r="K349" s="1"/>
      <c r="L349" s="1"/>
      <c r="M349" s="11"/>
      <c r="N349" s="11"/>
      <c r="O349" s="38"/>
      <c r="P349" s="38"/>
      <c r="Q349" s="38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J349" s="42"/>
    </row>
    <row r="350" spans="1:36" hidden="1">
      <c r="A350" s="1"/>
      <c r="B350" s="1"/>
      <c r="C350" s="1"/>
      <c r="D350" s="2"/>
      <c r="E350" s="1"/>
      <c r="F350" s="1"/>
      <c r="G350" s="516"/>
      <c r="H350" s="1"/>
      <c r="I350" s="1"/>
      <c r="J350" s="2"/>
      <c r="K350" s="1"/>
      <c r="L350" s="1"/>
      <c r="M350" s="11"/>
      <c r="N350" s="11"/>
      <c r="O350" s="38"/>
      <c r="P350" s="38"/>
      <c r="Q350" s="38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J350" s="42"/>
    </row>
    <row r="351" spans="1:36" hidden="1">
      <c r="A351" s="1" t="s">
        <v>197</v>
      </c>
      <c r="B351" s="1"/>
      <c r="C351" s="182"/>
      <c r="D351" s="2"/>
      <c r="E351" s="1"/>
      <c r="F351" s="1"/>
      <c r="G351" s="516"/>
      <c r="H351" s="1"/>
      <c r="I351" s="1"/>
      <c r="J351" s="2"/>
      <c r="K351" s="1"/>
      <c r="L351" s="1"/>
      <c r="M351" s="11"/>
      <c r="N351" s="11"/>
      <c r="O351" s="38"/>
      <c r="P351" s="38"/>
      <c r="Q351" s="38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J351" s="42"/>
    </row>
    <row r="352" spans="1:36" hidden="1">
      <c r="A352" s="1" t="s">
        <v>220</v>
      </c>
      <c r="B352" s="1"/>
      <c r="C352" s="182">
        <v>3912.0001738685801</v>
      </c>
      <c r="D352" s="161">
        <f>$D$175</f>
        <v>9.86</v>
      </c>
      <c r="E352" s="186"/>
      <c r="F352" s="2">
        <f>ROUND(D352*$C352,0)</f>
        <v>38572</v>
      </c>
      <c r="G352" s="506">
        <v>9.86</v>
      </c>
      <c r="H352" s="186"/>
      <c r="I352" s="2">
        <f>ROUND(G352*$C352,0)</f>
        <v>38572</v>
      </c>
      <c r="J352" s="161">
        <f>$G$175</f>
        <v>9.86</v>
      </c>
      <c r="K352" s="186"/>
      <c r="L352" s="2">
        <f>ROUND(J352*$C352,0)</f>
        <v>38572</v>
      </c>
      <c r="M352" s="11"/>
      <c r="N352" s="11"/>
      <c r="O352" s="38"/>
      <c r="P352" s="38"/>
      <c r="Q352" s="38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J352" s="42"/>
    </row>
    <row r="353" spans="1:36" hidden="1">
      <c r="A353" s="1" t="s">
        <v>195</v>
      </c>
      <c r="B353" s="1"/>
      <c r="C353" s="182">
        <v>0</v>
      </c>
      <c r="D353" s="161">
        <f>$D$176</f>
        <v>14.7</v>
      </c>
      <c r="E353" s="188"/>
      <c r="F353" s="2">
        <f>ROUND(D353*$C353,0)</f>
        <v>0</v>
      </c>
      <c r="G353" s="506">
        <v>14.7</v>
      </c>
      <c r="H353" s="188"/>
      <c r="I353" s="2">
        <f>ROUND(G353*$C353,0)</f>
        <v>0</v>
      </c>
      <c r="J353" s="161">
        <f>$G$176</f>
        <v>14.7</v>
      </c>
      <c r="K353" s="188"/>
      <c r="L353" s="2">
        <f>ROUND(J353*$C353,0)</f>
        <v>0</v>
      </c>
      <c r="M353" s="11"/>
      <c r="N353" s="11"/>
      <c r="O353" s="38"/>
      <c r="P353" s="38"/>
      <c r="Q353" s="38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J353" s="42"/>
    </row>
    <row r="354" spans="1:36" hidden="1">
      <c r="A354" s="1" t="s">
        <v>196</v>
      </c>
      <c r="B354" s="1"/>
      <c r="C354" s="182">
        <v>0</v>
      </c>
      <c r="D354" s="161">
        <f>$D$177</f>
        <v>1.04</v>
      </c>
      <c r="E354" s="188"/>
      <c r="F354" s="2">
        <f>ROUND(D354*$C354,0)</f>
        <v>0</v>
      </c>
      <c r="G354" s="506">
        <v>1.04</v>
      </c>
      <c r="H354" s="188"/>
      <c r="I354" s="2">
        <f>ROUND(G354*$C354,0)</f>
        <v>0</v>
      </c>
      <c r="J354" s="161">
        <f>$G$177</f>
        <v>1.04</v>
      </c>
      <c r="K354" s="188"/>
      <c r="L354" s="2">
        <f>ROUND(J354*$C354,0)</f>
        <v>0</v>
      </c>
      <c r="M354" s="11"/>
      <c r="N354" s="11"/>
      <c r="O354" s="38"/>
      <c r="P354" s="38"/>
      <c r="Q354" s="38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J354" s="42"/>
    </row>
    <row r="355" spans="1:36" hidden="1">
      <c r="A355" s="1" t="s">
        <v>198</v>
      </c>
      <c r="B355" s="1"/>
      <c r="C355" s="182">
        <f>SUM(C352:C353)</f>
        <v>3912.0001738685801</v>
      </c>
      <c r="D355" s="161"/>
      <c r="E355" s="186"/>
      <c r="F355" s="2"/>
      <c r="G355" s="506"/>
      <c r="H355" s="186"/>
      <c r="I355" s="2"/>
      <c r="J355" s="161"/>
      <c r="K355" s="186"/>
      <c r="L355" s="2"/>
      <c r="M355" s="11"/>
      <c r="N355" s="11"/>
      <c r="O355" s="38"/>
      <c r="P355" s="38"/>
      <c r="Q355" s="38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J355" s="42"/>
    </row>
    <row r="356" spans="1:36" hidden="1">
      <c r="A356" s="1" t="s">
        <v>166</v>
      </c>
      <c r="B356" s="1"/>
      <c r="C356" s="182">
        <v>1323.2</v>
      </c>
      <c r="D356" s="161"/>
      <c r="E356" s="186"/>
      <c r="F356" s="2"/>
      <c r="G356" s="506"/>
      <c r="H356" s="186"/>
      <c r="I356" s="2"/>
      <c r="J356" s="161"/>
      <c r="K356" s="186"/>
      <c r="L356" s="2"/>
      <c r="M356" s="11"/>
      <c r="N356" s="11"/>
      <c r="O356" s="38"/>
      <c r="P356" s="38"/>
      <c r="Q356" s="38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J356" s="42"/>
    </row>
    <row r="357" spans="1:36" hidden="1">
      <c r="A357" s="1" t="s">
        <v>199</v>
      </c>
      <c r="B357" s="1"/>
      <c r="C357" s="182">
        <v>0</v>
      </c>
      <c r="D357" s="189">
        <f>$D$180</f>
        <v>3.81</v>
      </c>
      <c r="E357" s="186"/>
      <c r="F357" s="2">
        <f>ROUND(D357*C357,0)</f>
        <v>0</v>
      </c>
      <c r="G357" s="216">
        <v>3.81</v>
      </c>
      <c r="H357" s="186"/>
      <c r="I357" s="2">
        <f>ROUND(G357*$C357,0)</f>
        <v>0</v>
      </c>
      <c r="J357" s="189">
        <f>$G$180</f>
        <v>3.81</v>
      </c>
      <c r="K357" s="186"/>
      <c r="L357" s="2">
        <f>ROUND(J357*$C357,0)</f>
        <v>0</v>
      </c>
      <c r="M357" s="11"/>
      <c r="N357" s="11"/>
      <c r="O357" s="38"/>
      <c r="P357" s="38"/>
      <c r="Q357" s="38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J357" s="42"/>
    </row>
    <row r="358" spans="1:36" hidden="1">
      <c r="A358" s="1" t="s">
        <v>201</v>
      </c>
      <c r="B358" s="1"/>
      <c r="C358" s="182">
        <v>1171087.1537199491</v>
      </c>
      <c r="D358" s="162">
        <f>$D$181</f>
        <v>10.898999999999999</v>
      </c>
      <c r="E358" s="186" t="s">
        <v>178</v>
      </c>
      <c r="F358" s="2">
        <f>ROUND(D358*C358/100,0)</f>
        <v>127637</v>
      </c>
      <c r="G358" s="731">
        <v>11.222</v>
      </c>
      <c r="H358" s="186" t="s">
        <v>178</v>
      </c>
      <c r="I358" s="2">
        <f t="shared" ref="I358:I361" si="36">ROUND(G358*$C358/100,0)</f>
        <v>131419</v>
      </c>
      <c r="J358" s="162">
        <f ca="1">$J$181</f>
        <v>11.207000000000001</v>
      </c>
      <c r="K358" s="186" t="s">
        <v>178</v>
      </c>
      <c r="L358" s="2">
        <f t="shared" ref="L358:L361" ca="1" si="37">ROUND(J358*$C358/100,0)</f>
        <v>131244</v>
      </c>
      <c r="M358" s="11"/>
      <c r="N358" s="11"/>
      <c r="O358" s="38"/>
      <c r="P358" s="38"/>
      <c r="Q358" s="38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J358" s="42"/>
    </row>
    <row r="359" spans="1:36" hidden="1">
      <c r="A359" s="1" t="s">
        <v>202</v>
      </c>
      <c r="B359" s="12"/>
      <c r="C359" s="182">
        <v>55032</v>
      </c>
      <c r="D359" s="162">
        <f>$D$182</f>
        <v>7.3739999999999997</v>
      </c>
      <c r="E359" s="186" t="s">
        <v>178</v>
      </c>
      <c r="F359" s="2">
        <f>ROUND(D359*C359/100,0)</f>
        <v>4058</v>
      </c>
      <c r="G359" s="731">
        <v>7.6970000000000001</v>
      </c>
      <c r="H359" s="186" t="s">
        <v>178</v>
      </c>
      <c r="I359" s="2">
        <f t="shared" si="36"/>
        <v>4236</v>
      </c>
      <c r="J359" s="162">
        <f ca="1">$J$182</f>
        <v>7.6820000000000004</v>
      </c>
      <c r="K359" s="186" t="s">
        <v>178</v>
      </c>
      <c r="L359" s="2">
        <f t="shared" ca="1" si="37"/>
        <v>4228</v>
      </c>
      <c r="M359" s="11"/>
      <c r="N359" s="11"/>
      <c r="O359" s="38"/>
      <c r="P359" s="38"/>
      <c r="Q359" s="38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J359" s="42"/>
    </row>
    <row r="360" spans="1:36" hidden="1">
      <c r="A360" s="1" t="s">
        <v>203</v>
      </c>
      <c r="B360" s="1"/>
      <c r="C360" s="182">
        <v>0</v>
      </c>
      <c r="D360" s="162">
        <f>$D$183</f>
        <v>6.8529999999999998</v>
      </c>
      <c r="E360" s="186" t="s">
        <v>178</v>
      </c>
      <c r="F360" s="2">
        <f>ROUND(D360*C360/100,0)</f>
        <v>0</v>
      </c>
      <c r="G360" s="731">
        <v>7.1760000000000002</v>
      </c>
      <c r="H360" s="186" t="s">
        <v>178</v>
      </c>
      <c r="I360" s="2">
        <f t="shared" si="36"/>
        <v>0</v>
      </c>
      <c r="J360" s="162">
        <f ca="1">$J$183</f>
        <v>7.1609999999999996</v>
      </c>
      <c r="K360" s="186" t="s">
        <v>178</v>
      </c>
      <c r="L360" s="2">
        <f t="shared" ca="1" si="37"/>
        <v>0</v>
      </c>
      <c r="M360" s="11"/>
      <c r="N360" s="11"/>
      <c r="O360" s="38"/>
      <c r="P360" s="38"/>
      <c r="Q360" s="38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J360" s="42"/>
    </row>
    <row r="361" spans="1:36" hidden="1">
      <c r="A361" s="1" t="s">
        <v>204</v>
      </c>
      <c r="B361" s="1"/>
      <c r="C361" s="182">
        <v>0</v>
      </c>
      <c r="D361" s="189">
        <f>$D$184</f>
        <v>58</v>
      </c>
      <c r="E361" s="186" t="s">
        <v>178</v>
      </c>
      <c r="F361" s="2">
        <f>ROUND(D361*C361/100,0)</f>
        <v>0</v>
      </c>
      <c r="G361" s="733">
        <v>58</v>
      </c>
      <c r="H361" s="186" t="s">
        <v>178</v>
      </c>
      <c r="I361" s="2">
        <f t="shared" si="36"/>
        <v>0</v>
      </c>
      <c r="J361" s="193">
        <f>$G$184</f>
        <v>58</v>
      </c>
      <c r="K361" s="186" t="s">
        <v>178</v>
      </c>
      <c r="L361" s="2">
        <f t="shared" si="37"/>
        <v>0</v>
      </c>
      <c r="M361" s="11"/>
      <c r="N361" s="11"/>
      <c r="O361" s="38"/>
      <c r="P361" s="38"/>
      <c r="Q361" s="38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J361" s="42"/>
    </row>
    <row r="362" spans="1:36" hidden="1">
      <c r="A362" s="194" t="s">
        <v>205</v>
      </c>
      <c r="B362" s="1"/>
      <c r="C362" s="182"/>
      <c r="D362" s="195">
        <f>$D$185</f>
        <v>-0.01</v>
      </c>
      <c r="E362" s="186"/>
      <c r="F362" s="2"/>
      <c r="G362" s="734">
        <v>-0.01</v>
      </c>
      <c r="H362" s="186"/>
      <c r="I362" s="2"/>
      <c r="J362" s="195">
        <v>-0.01</v>
      </c>
      <c r="K362" s="186"/>
      <c r="L362" s="2"/>
      <c r="M362" s="11"/>
      <c r="N362" s="11"/>
      <c r="O362" s="38"/>
      <c r="P362" s="38"/>
      <c r="Q362" s="38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J362" s="42"/>
    </row>
    <row r="363" spans="1:36" hidden="1">
      <c r="A363" s="1" t="s">
        <v>194</v>
      </c>
      <c r="B363" s="1"/>
      <c r="C363" s="182">
        <v>0</v>
      </c>
      <c r="D363" s="197">
        <f>$D$210</f>
        <v>9.86</v>
      </c>
      <c r="E363" s="184"/>
      <c r="F363" s="2">
        <f>-ROUND(D363*$C363/100,0)</f>
        <v>0</v>
      </c>
      <c r="G363" s="216">
        <v>9.86</v>
      </c>
      <c r="H363" s="184"/>
      <c r="I363" s="2">
        <f>-ROUND(G363*$C363/100,0)</f>
        <v>0</v>
      </c>
      <c r="J363" s="197">
        <f>J352</f>
        <v>9.86</v>
      </c>
      <c r="K363" s="184"/>
      <c r="L363" s="2">
        <f>-ROUND(J363*$C363/100,0)</f>
        <v>0</v>
      </c>
      <c r="M363" s="11"/>
      <c r="N363" s="11"/>
      <c r="O363" s="38"/>
      <c r="P363" s="38"/>
      <c r="Q363" s="38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J363" s="42"/>
    </row>
    <row r="364" spans="1:36" hidden="1">
      <c r="A364" s="1" t="s">
        <v>195</v>
      </c>
      <c r="B364" s="1"/>
      <c r="C364" s="182">
        <v>0</v>
      </c>
      <c r="D364" s="197">
        <f>$D$211</f>
        <v>14.7</v>
      </c>
      <c r="E364" s="184"/>
      <c r="F364" s="2">
        <f>-ROUND(D364*$C364/100,0)</f>
        <v>0</v>
      </c>
      <c r="G364" s="216">
        <v>14.7</v>
      </c>
      <c r="H364" s="184"/>
      <c r="I364" s="2">
        <f>-ROUND(G364*$C364/100,0)</f>
        <v>0</v>
      </c>
      <c r="J364" s="197">
        <f>J353</f>
        <v>14.7</v>
      </c>
      <c r="K364" s="184"/>
      <c r="L364" s="2">
        <f>-ROUND(J364*$C364/100,0)</f>
        <v>0</v>
      </c>
      <c r="M364" s="11"/>
      <c r="N364" s="11"/>
      <c r="O364" s="38"/>
      <c r="P364" s="38"/>
      <c r="Q364" s="38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J364" s="42"/>
    </row>
    <row r="365" spans="1:36" hidden="1">
      <c r="A365" s="1" t="s">
        <v>206</v>
      </c>
      <c r="B365" s="1"/>
      <c r="C365" s="182">
        <v>0</v>
      </c>
      <c r="D365" s="197">
        <f>$D$212</f>
        <v>1.04</v>
      </c>
      <c r="E365" s="184"/>
      <c r="F365" s="2">
        <f>-ROUND(D365*$C365/100,0)</f>
        <v>0</v>
      </c>
      <c r="G365" s="216">
        <v>1.04</v>
      </c>
      <c r="H365" s="184"/>
      <c r="I365" s="2">
        <f>-ROUND(G365*$C365/100,0)</f>
        <v>0</v>
      </c>
      <c r="J365" s="197">
        <f>J354</f>
        <v>1.04</v>
      </c>
      <c r="K365" s="184"/>
      <c r="L365" s="2">
        <f>-ROUND(J365*$C365/100,0)</f>
        <v>0</v>
      </c>
      <c r="M365" s="11"/>
      <c r="N365" s="11"/>
      <c r="O365" s="38"/>
      <c r="P365" s="38"/>
      <c r="Q365" s="38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J365" s="42"/>
    </row>
    <row r="366" spans="1:36" hidden="1">
      <c r="A366" s="1" t="s">
        <v>207</v>
      </c>
      <c r="B366" s="1"/>
      <c r="C366" s="182">
        <v>0</v>
      </c>
      <c r="D366" s="197">
        <f>$D$214</f>
        <v>3.81</v>
      </c>
      <c r="E366" s="186"/>
      <c r="F366" s="2">
        <f>-ROUND(D366*$C366/100,0)</f>
        <v>0</v>
      </c>
      <c r="G366" s="216">
        <v>3.81</v>
      </c>
      <c r="H366" s="186"/>
      <c r="I366" s="2">
        <f>-ROUND(G366*$C366/100,0)</f>
        <v>0</v>
      </c>
      <c r="J366" s="197">
        <f>J357</f>
        <v>3.81</v>
      </c>
      <c r="K366" s="186"/>
      <c r="L366" s="2">
        <f>-ROUND(J366*$C366/100,0)</f>
        <v>0</v>
      </c>
      <c r="M366" s="11"/>
      <c r="N366" s="11"/>
      <c r="O366" s="38"/>
      <c r="P366" s="38"/>
      <c r="Q366" s="38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J366" s="42"/>
    </row>
    <row r="367" spans="1:36" hidden="1">
      <c r="A367" s="1" t="s">
        <v>209</v>
      </c>
      <c r="B367" s="1"/>
      <c r="C367" s="182">
        <v>0</v>
      </c>
      <c r="D367" s="198">
        <f>$D$215</f>
        <v>10.898999999999999</v>
      </c>
      <c r="E367" s="186" t="s">
        <v>178</v>
      </c>
      <c r="F367" s="2">
        <f>ROUND(D367*$C367/100*D362,0)</f>
        <v>0</v>
      </c>
      <c r="G367" s="735">
        <v>11.222</v>
      </c>
      <c r="H367" s="186" t="s">
        <v>178</v>
      </c>
      <c r="I367" s="2">
        <f>ROUND(G367*$C367/100*G362,0)</f>
        <v>0</v>
      </c>
      <c r="J367" s="198">
        <f ca="1">J358</f>
        <v>11.207000000000001</v>
      </c>
      <c r="K367" s="186" t="s">
        <v>178</v>
      </c>
      <c r="L367" s="2">
        <f ca="1">ROUND(J367*$C367/100*J362,0)</f>
        <v>0</v>
      </c>
      <c r="M367" s="11"/>
      <c r="N367" s="11"/>
      <c r="O367" s="38"/>
      <c r="P367" s="38"/>
      <c r="Q367" s="38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J367" s="42"/>
    </row>
    <row r="368" spans="1:36" hidden="1">
      <c r="A368" s="1" t="s">
        <v>202</v>
      </c>
      <c r="B368" s="1"/>
      <c r="C368" s="182">
        <v>0</v>
      </c>
      <c r="D368" s="198">
        <f>$D$216</f>
        <v>7.3739999999999997</v>
      </c>
      <c r="E368" s="186" t="s">
        <v>178</v>
      </c>
      <c r="F368" s="2">
        <f>ROUND(D368*$C368/100*D362,0)</f>
        <v>0</v>
      </c>
      <c r="G368" s="735">
        <v>7.6970000000000001</v>
      </c>
      <c r="H368" s="186" t="s">
        <v>178</v>
      </c>
      <c r="I368" s="2">
        <f>ROUND(G368*$C368/100*G362,0)</f>
        <v>0</v>
      </c>
      <c r="J368" s="198">
        <f ca="1">J359</f>
        <v>7.6820000000000004</v>
      </c>
      <c r="K368" s="186" t="s">
        <v>178</v>
      </c>
      <c r="L368" s="2">
        <f ca="1">ROUND(J368*$C368/100*J362,0)</f>
        <v>0</v>
      </c>
      <c r="M368" s="11"/>
      <c r="N368" s="11"/>
      <c r="O368" s="38"/>
      <c r="P368" s="38"/>
      <c r="Q368" s="38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J368" s="42"/>
    </row>
    <row r="369" spans="1:36" hidden="1">
      <c r="A369" s="1" t="s">
        <v>203</v>
      </c>
      <c r="B369" s="1"/>
      <c r="C369" s="182">
        <v>0</v>
      </c>
      <c r="D369" s="198">
        <f>$D$217</f>
        <v>6.8529999999999998</v>
      </c>
      <c r="E369" s="186" t="s">
        <v>178</v>
      </c>
      <c r="F369" s="2">
        <f>ROUND(D369*$C369/100*D362,0)</f>
        <v>0</v>
      </c>
      <c r="G369" s="735">
        <v>7.1760000000000002</v>
      </c>
      <c r="H369" s="186" t="s">
        <v>178</v>
      </c>
      <c r="I369" s="2">
        <f>ROUND(G369*$C369/100*G362,0)</f>
        <v>0</v>
      </c>
      <c r="J369" s="198">
        <f ca="1">J360</f>
        <v>7.1609999999999996</v>
      </c>
      <c r="K369" s="186" t="s">
        <v>178</v>
      </c>
      <c r="L369" s="2">
        <f ca="1">ROUND(J369*$C369/100*J362,0)</f>
        <v>0</v>
      </c>
      <c r="M369" s="11"/>
      <c r="N369" s="11"/>
      <c r="O369" s="38"/>
      <c r="P369" s="38"/>
      <c r="Q369" s="38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J369" s="42"/>
    </row>
    <row r="370" spans="1:36" hidden="1">
      <c r="A370" s="1" t="s">
        <v>204</v>
      </c>
      <c r="B370" s="1"/>
      <c r="C370" s="182">
        <v>0</v>
      </c>
      <c r="D370" s="199">
        <f>$D$218</f>
        <v>58</v>
      </c>
      <c r="E370" s="186" t="s">
        <v>178</v>
      </c>
      <c r="F370" s="2">
        <f>ROUND(D370*$C370/100*D362,0)</f>
        <v>0</v>
      </c>
      <c r="G370" s="736">
        <v>58</v>
      </c>
      <c r="H370" s="186" t="s">
        <v>178</v>
      </c>
      <c r="I370" s="2">
        <f>ROUND(G370*$C370/100*G362,0)</f>
        <v>0</v>
      </c>
      <c r="J370" s="199">
        <f>J361</f>
        <v>58</v>
      </c>
      <c r="K370" s="186" t="s">
        <v>178</v>
      </c>
      <c r="L370" s="2">
        <f>ROUND(J370*$C370/100*J362,0)</f>
        <v>0</v>
      </c>
      <c r="M370" s="11"/>
      <c r="N370" s="11"/>
      <c r="O370" s="38"/>
      <c r="P370" s="38"/>
      <c r="Q370" s="38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J370" s="42"/>
    </row>
    <row r="371" spans="1:36" hidden="1">
      <c r="A371" s="1" t="s">
        <v>211</v>
      </c>
      <c r="B371" s="1"/>
      <c r="C371" s="182">
        <v>0</v>
      </c>
      <c r="D371" s="200">
        <v>60</v>
      </c>
      <c r="E371" s="186"/>
      <c r="F371" s="2">
        <f>ROUND(D371*C371,0)</f>
        <v>0</v>
      </c>
      <c r="G371" s="216">
        <v>60</v>
      </c>
      <c r="H371" s="186"/>
      <c r="I371" s="2">
        <f>ROUND(G371*$C371,0)</f>
        <v>0</v>
      </c>
      <c r="J371" s="200">
        <f>$G$194</f>
        <v>60</v>
      </c>
      <c r="K371" s="186"/>
      <c r="L371" s="2">
        <f>ROUND(J371*$C371,0)</f>
        <v>0</v>
      </c>
      <c r="M371" s="11"/>
      <c r="N371" s="11"/>
      <c r="O371" s="38"/>
      <c r="P371" s="38"/>
      <c r="Q371" s="38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J371" s="42"/>
    </row>
    <row r="372" spans="1:36" hidden="1">
      <c r="A372" s="1" t="s">
        <v>212</v>
      </c>
      <c r="B372" s="1"/>
      <c r="C372" s="182">
        <v>0</v>
      </c>
      <c r="D372" s="202">
        <v>-30</v>
      </c>
      <c r="E372" s="186" t="s">
        <v>178</v>
      </c>
      <c r="F372" s="2">
        <f>ROUND(D372*C372/100,0)</f>
        <v>0</v>
      </c>
      <c r="G372" s="737">
        <v>-30</v>
      </c>
      <c r="H372" s="186" t="s">
        <v>178</v>
      </c>
      <c r="I372" s="2">
        <f>ROUND(G372*$C372/100,0)</f>
        <v>0</v>
      </c>
      <c r="J372" s="202">
        <f>$G$195</f>
        <v>-30</v>
      </c>
      <c r="K372" s="186" t="s">
        <v>178</v>
      </c>
      <c r="L372" s="2">
        <f>ROUND(J372*$C372/100,0)</f>
        <v>0</v>
      </c>
      <c r="M372" s="11"/>
      <c r="N372" s="11"/>
      <c r="O372" s="38"/>
      <c r="P372" s="38"/>
      <c r="Q372" s="38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J372" s="42"/>
    </row>
    <row r="373" spans="1:36" hidden="1">
      <c r="A373" s="1" t="s">
        <v>185</v>
      </c>
      <c r="B373" s="1"/>
      <c r="C373" s="182">
        <f>SUM(C358:C360)</f>
        <v>1226119.1537199491</v>
      </c>
      <c r="D373" s="193"/>
      <c r="E373" s="186"/>
      <c r="F373" s="2">
        <f>SUM(F352:F372)</f>
        <v>170267</v>
      </c>
      <c r="G373" s="733"/>
      <c r="H373" s="186"/>
      <c r="I373" s="2">
        <f>SUM(I352:I372)</f>
        <v>174227</v>
      </c>
      <c r="J373" s="193"/>
      <c r="K373" s="186"/>
      <c r="L373" s="2">
        <f ca="1">SUM(L352:L372)</f>
        <v>174044</v>
      </c>
      <c r="M373" s="11"/>
      <c r="N373" s="11"/>
      <c r="O373" s="38"/>
      <c r="P373" s="38"/>
      <c r="Q373" s="38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J373" s="42"/>
    </row>
    <row r="374" spans="1:36" hidden="1">
      <c r="A374" s="1" t="s">
        <v>167</v>
      </c>
      <c r="B374" s="1"/>
      <c r="C374" s="212">
        <v>11154.755411402928</v>
      </c>
      <c r="D374" s="172"/>
      <c r="E374" s="172"/>
      <c r="F374" s="204">
        <v>2236.8149479250023</v>
      </c>
      <c r="G374" s="284"/>
      <c r="H374" s="172"/>
      <c r="I374" s="204">
        <f>F374</f>
        <v>2236.8149479250023</v>
      </c>
      <c r="J374" s="172"/>
      <c r="K374" s="172"/>
      <c r="L374" s="204">
        <f>I374</f>
        <v>2236.8149479250023</v>
      </c>
      <c r="M374" s="307"/>
      <c r="N374" s="307"/>
      <c r="O374" s="150"/>
      <c r="P374" s="38"/>
      <c r="Q374" s="38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J374" s="42"/>
    </row>
    <row r="375" spans="1:36" ht="16.5" hidden="1" thickBot="1">
      <c r="A375" s="1" t="s">
        <v>186</v>
      </c>
      <c r="B375" s="1"/>
      <c r="C375" s="174">
        <f>SUM(C373:C374)</f>
        <v>1237273.9091313521</v>
      </c>
      <c r="D375" s="205"/>
      <c r="E375" s="208"/>
      <c r="F375" s="207">
        <f>F373+F374</f>
        <v>172503.81494792501</v>
      </c>
      <c r="G375" s="741"/>
      <c r="H375" s="208"/>
      <c r="I375" s="207">
        <f>I373+I374</f>
        <v>176463.81494792501</v>
      </c>
      <c r="J375" s="205"/>
      <c r="K375" s="208"/>
      <c r="L375" s="207">
        <f ca="1">L373+L374</f>
        <v>176280.81494792501</v>
      </c>
      <c r="M375" s="274"/>
      <c r="N375" s="274"/>
      <c r="O375" s="333"/>
      <c r="P375" s="38"/>
      <c r="Q375" s="38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J375" s="42"/>
    </row>
    <row r="376" spans="1:36" ht="16.5" hidden="1" thickTop="1">
      <c r="A376" s="1"/>
      <c r="B376" s="1"/>
      <c r="C376" s="12"/>
      <c r="D376" s="200"/>
      <c r="E376" s="1"/>
      <c r="F376" s="2"/>
      <c r="G376" s="216"/>
      <c r="H376" s="1"/>
      <c r="I376" s="2" t="s">
        <v>13</v>
      </c>
      <c r="J376" s="200"/>
      <c r="K376" s="1"/>
      <c r="L376" s="2" t="s">
        <v>13</v>
      </c>
      <c r="M376" s="11"/>
      <c r="N376" s="11"/>
      <c r="O376" s="38"/>
      <c r="P376" s="38"/>
      <c r="Q376" s="38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J376" s="42"/>
    </row>
    <row r="377" spans="1:36" hidden="1">
      <c r="A377" s="156" t="s">
        <v>219</v>
      </c>
      <c r="B377" s="1"/>
      <c r="C377" s="1"/>
      <c r="D377" s="2"/>
      <c r="E377" s="1"/>
      <c r="F377" s="1"/>
      <c r="G377" s="516"/>
      <c r="H377" s="1"/>
      <c r="I377" s="1"/>
      <c r="J377" s="2"/>
      <c r="K377" s="1"/>
      <c r="L377" s="1"/>
      <c r="M377" s="11"/>
      <c r="N377" s="11"/>
      <c r="O377" s="38"/>
      <c r="P377" s="38"/>
      <c r="Q377" s="38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J377" s="42"/>
    </row>
    <row r="378" spans="1:36" hidden="1">
      <c r="A378" s="1" t="s">
        <v>218</v>
      </c>
      <c r="B378" s="1"/>
      <c r="C378" s="1"/>
      <c r="D378" s="2"/>
      <c r="E378" s="1"/>
      <c r="F378" s="1"/>
      <c r="G378" s="516"/>
      <c r="H378" s="1"/>
      <c r="I378" s="1"/>
      <c r="J378" s="2"/>
      <c r="K378" s="1"/>
      <c r="L378" s="1"/>
      <c r="M378" s="11"/>
      <c r="N378" s="11"/>
      <c r="O378" s="38"/>
      <c r="P378" s="38"/>
      <c r="Q378" s="38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J378" s="42"/>
    </row>
    <row r="379" spans="1:36" hidden="1">
      <c r="A379" s="1"/>
      <c r="B379" s="1"/>
      <c r="C379" s="1"/>
      <c r="D379" s="2"/>
      <c r="E379" s="1"/>
      <c r="F379" s="1"/>
      <c r="G379" s="516"/>
      <c r="H379" s="1"/>
      <c r="I379" s="1"/>
      <c r="J379" s="2"/>
      <c r="K379" s="1"/>
      <c r="L379" s="1"/>
      <c r="M379" s="11"/>
      <c r="N379" s="11"/>
      <c r="O379" s="38"/>
      <c r="P379" s="38"/>
      <c r="Q379" s="38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J379" s="42"/>
    </row>
    <row r="380" spans="1:36" hidden="1">
      <c r="A380" s="1" t="s">
        <v>197</v>
      </c>
      <c r="B380" s="1"/>
      <c r="C380" s="182"/>
      <c r="D380" s="2"/>
      <c r="E380" s="1"/>
      <c r="F380" s="1"/>
      <c r="G380" s="516"/>
      <c r="H380" s="1"/>
      <c r="I380" s="1"/>
      <c r="J380" s="2"/>
      <c r="K380" s="1"/>
      <c r="L380" s="1"/>
      <c r="M380" s="11"/>
      <c r="N380" s="11"/>
      <c r="O380" s="38"/>
      <c r="P380" s="38"/>
      <c r="Q380" s="38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J380" s="42"/>
    </row>
    <row r="381" spans="1:36" hidden="1">
      <c r="A381" s="1" t="s">
        <v>220</v>
      </c>
      <c r="B381" s="1"/>
      <c r="C381" s="182">
        <v>516</v>
      </c>
      <c r="D381" s="161">
        <f>$D$175</f>
        <v>9.86</v>
      </c>
      <c r="E381" s="186"/>
      <c r="F381" s="2">
        <f>ROUND(D381*$C381,0)</f>
        <v>5088</v>
      </c>
      <c r="G381" s="506">
        <v>9.86</v>
      </c>
      <c r="H381" s="186"/>
      <c r="I381" s="2">
        <f>ROUND(G381*$C381,0)</f>
        <v>5088</v>
      </c>
      <c r="J381" s="161">
        <f>$G$175</f>
        <v>9.86</v>
      </c>
      <c r="K381" s="186"/>
      <c r="L381" s="2">
        <f>ROUND(J381*$C381,0)</f>
        <v>5088</v>
      </c>
      <c r="M381" s="11"/>
      <c r="N381" s="11"/>
      <c r="O381" s="38"/>
      <c r="P381" s="38"/>
      <c r="Q381" s="38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J381" s="42"/>
    </row>
    <row r="382" spans="1:36" hidden="1">
      <c r="A382" s="1" t="s">
        <v>195</v>
      </c>
      <c r="B382" s="1"/>
      <c r="C382" s="182">
        <v>0</v>
      </c>
      <c r="D382" s="161">
        <f>$D$176</f>
        <v>14.7</v>
      </c>
      <c r="E382" s="188"/>
      <c r="F382" s="2">
        <f>ROUND(D382*$C382,0)</f>
        <v>0</v>
      </c>
      <c r="G382" s="506">
        <v>14.7</v>
      </c>
      <c r="H382" s="188"/>
      <c r="I382" s="2">
        <f>ROUND(G382*$C382,0)</f>
        <v>0</v>
      </c>
      <c r="J382" s="161">
        <f>$G$176</f>
        <v>14.7</v>
      </c>
      <c r="K382" s="188"/>
      <c r="L382" s="2">
        <f>ROUND(J382*$C382,0)</f>
        <v>0</v>
      </c>
      <c r="M382" s="11"/>
      <c r="N382" s="11"/>
      <c r="O382" s="38"/>
      <c r="P382" s="38"/>
      <c r="Q382" s="38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J382" s="42"/>
    </row>
    <row r="383" spans="1:36" hidden="1">
      <c r="A383" s="1" t="s">
        <v>196</v>
      </c>
      <c r="B383" s="1"/>
      <c r="C383" s="182">
        <v>0</v>
      </c>
      <c r="D383" s="161">
        <f>$D$177</f>
        <v>1.04</v>
      </c>
      <c r="E383" s="188"/>
      <c r="F383" s="2">
        <f>ROUND(D383*$C383,0)</f>
        <v>0</v>
      </c>
      <c r="G383" s="506">
        <v>1.04</v>
      </c>
      <c r="H383" s="188"/>
      <c r="I383" s="2">
        <f>ROUND(G383*$C383,0)</f>
        <v>0</v>
      </c>
      <c r="J383" s="161">
        <f>$G$177</f>
        <v>1.04</v>
      </c>
      <c r="K383" s="188"/>
      <c r="L383" s="2">
        <f>ROUND(J383*$C383,0)</f>
        <v>0</v>
      </c>
      <c r="M383" s="11"/>
      <c r="N383" s="11"/>
      <c r="O383" s="38"/>
      <c r="P383" s="38"/>
      <c r="Q383" s="38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J383" s="42"/>
    </row>
    <row r="384" spans="1:36" hidden="1">
      <c r="A384" s="1" t="s">
        <v>198</v>
      </c>
      <c r="B384" s="1"/>
      <c r="C384" s="182">
        <f>SUM(C381:C382)</f>
        <v>516</v>
      </c>
      <c r="D384" s="161"/>
      <c r="E384" s="186"/>
      <c r="F384" s="2"/>
      <c r="G384" s="506"/>
      <c r="H384" s="186"/>
      <c r="I384" s="2"/>
      <c r="J384" s="161"/>
      <c r="K384" s="186"/>
      <c r="L384" s="2"/>
      <c r="M384" s="11"/>
      <c r="N384" s="11"/>
      <c r="O384" s="38"/>
      <c r="P384" s="38"/>
      <c r="Q384" s="38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J384" s="42"/>
    </row>
    <row r="385" spans="1:36" hidden="1">
      <c r="A385" s="1" t="s">
        <v>166</v>
      </c>
      <c r="B385" s="1"/>
      <c r="C385" s="182">
        <v>48</v>
      </c>
      <c r="D385" s="161"/>
      <c r="E385" s="186"/>
      <c r="F385" s="2"/>
      <c r="G385" s="506"/>
      <c r="H385" s="186"/>
      <c r="I385" s="2"/>
      <c r="J385" s="161"/>
      <c r="K385" s="186"/>
      <c r="L385" s="2"/>
      <c r="M385" s="11"/>
      <c r="N385" s="11"/>
      <c r="O385" s="38"/>
      <c r="P385" s="38"/>
      <c r="Q385" s="38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J385" s="42"/>
    </row>
    <row r="386" spans="1:36" hidden="1">
      <c r="A386" s="1" t="s">
        <v>199</v>
      </c>
      <c r="B386" s="1"/>
      <c r="C386" s="182">
        <v>0</v>
      </c>
      <c r="D386" s="189">
        <f>$D$180</f>
        <v>3.81</v>
      </c>
      <c r="E386" s="186"/>
      <c r="F386" s="2">
        <f>ROUND(D386*C386,0)</f>
        <v>0</v>
      </c>
      <c r="G386" s="216">
        <v>3.81</v>
      </c>
      <c r="H386" s="186"/>
      <c r="I386" s="2">
        <f>ROUND(G386*$C386,0)</f>
        <v>0</v>
      </c>
      <c r="J386" s="189">
        <f>$G$180</f>
        <v>3.81</v>
      </c>
      <c r="K386" s="186"/>
      <c r="L386" s="2">
        <f>ROUND(J386*$C386,0)</f>
        <v>0</v>
      </c>
      <c r="M386" s="11"/>
      <c r="N386" s="11"/>
      <c r="O386" s="38"/>
      <c r="P386" s="38"/>
      <c r="Q386" s="38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J386" s="42"/>
    </row>
    <row r="387" spans="1:36" hidden="1">
      <c r="A387" s="1" t="s">
        <v>201</v>
      </c>
      <c r="B387" s="1"/>
      <c r="C387" s="182">
        <v>33312</v>
      </c>
      <c r="D387" s="162">
        <f>$D$181</f>
        <v>10.898999999999999</v>
      </c>
      <c r="E387" s="186" t="s">
        <v>178</v>
      </c>
      <c r="F387" s="2">
        <f>ROUND(D387*C387/100,0)</f>
        <v>3631</v>
      </c>
      <c r="G387" s="731">
        <v>11.222</v>
      </c>
      <c r="H387" s="186" t="s">
        <v>178</v>
      </c>
      <c r="I387" s="2">
        <f t="shared" ref="I387:I390" si="38">ROUND(G387*$C387/100,0)</f>
        <v>3738</v>
      </c>
      <c r="J387" s="162">
        <f ca="1">$J$181</f>
        <v>11.207000000000001</v>
      </c>
      <c r="K387" s="186" t="s">
        <v>178</v>
      </c>
      <c r="L387" s="2">
        <f t="shared" ref="L387:L390" ca="1" si="39">ROUND(J387*$C387/100,0)</f>
        <v>3733</v>
      </c>
      <c r="M387" s="11"/>
      <c r="N387" s="11"/>
      <c r="O387" s="38"/>
      <c r="P387" s="38"/>
      <c r="Q387" s="38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J387" s="42"/>
    </row>
    <row r="388" spans="1:36" hidden="1">
      <c r="A388" s="1" t="s">
        <v>202</v>
      </c>
      <c r="B388" s="1"/>
      <c r="C388" s="182">
        <v>0</v>
      </c>
      <c r="D388" s="162">
        <f>$D$182</f>
        <v>7.3739999999999997</v>
      </c>
      <c r="E388" s="186" t="s">
        <v>178</v>
      </c>
      <c r="F388" s="2">
        <f>ROUND(D388*C388/100,0)</f>
        <v>0</v>
      </c>
      <c r="G388" s="731">
        <v>7.6970000000000001</v>
      </c>
      <c r="H388" s="186" t="s">
        <v>178</v>
      </c>
      <c r="I388" s="2">
        <f t="shared" si="38"/>
        <v>0</v>
      </c>
      <c r="J388" s="162">
        <f ca="1">$J$182</f>
        <v>7.6820000000000004</v>
      </c>
      <c r="K388" s="186" t="s">
        <v>178</v>
      </c>
      <c r="L388" s="2">
        <f t="shared" ca="1" si="39"/>
        <v>0</v>
      </c>
      <c r="M388" s="11"/>
      <c r="N388" s="11"/>
      <c r="O388" s="38"/>
      <c r="P388" s="38"/>
      <c r="Q388" s="38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J388" s="42"/>
    </row>
    <row r="389" spans="1:36" hidden="1">
      <c r="A389" s="1" t="s">
        <v>203</v>
      </c>
      <c r="B389" s="1"/>
      <c r="C389" s="182">
        <v>0</v>
      </c>
      <c r="D389" s="162">
        <f>$D$183</f>
        <v>6.8529999999999998</v>
      </c>
      <c r="E389" s="186" t="s">
        <v>178</v>
      </c>
      <c r="F389" s="2">
        <f>ROUND(D389*C389/100,0)</f>
        <v>0</v>
      </c>
      <c r="G389" s="731">
        <v>7.1760000000000002</v>
      </c>
      <c r="H389" s="186" t="s">
        <v>178</v>
      </c>
      <c r="I389" s="2">
        <f t="shared" si="38"/>
        <v>0</v>
      </c>
      <c r="J389" s="162">
        <f ca="1">$J$183</f>
        <v>7.1609999999999996</v>
      </c>
      <c r="K389" s="186" t="s">
        <v>178</v>
      </c>
      <c r="L389" s="2">
        <f t="shared" ca="1" si="39"/>
        <v>0</v>
      </c>
      <c r="M389" s="11"/>
      <c r="N389" s="11"/>
      <c r="O389" s="38"/>
      <c r="P389" s="38"/>
      <c r="Q389" s="38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J389" s="42"/>
    </row>
    <row r="390" spans="1:36" hidden="1">
      <c r="A390" s="1" t="s">
        <v>204</v>
      </c>
      <c r="B390" s="1"/>
      <c r="C390" s="182">
        <v>0</v>
      </c>
      <c r="D390" s="189">
        <f>$D$184</f>
        <v>58</v>
      </c>
      <c r="E390" s="186" t="s">
        <v>178</v>
      </c>
      <c r="F390" s="2">
        <f>ROUND(D390*C390/100,0)</f>
        <v>0</v>
      </c>
      <c r="G390" s="733">
        <v>58</v>
      </c>
      <c r="H390" s="186" t="s">
        <v>178</v>
      </c>
      <c r="I390" s="2">
        <f t="shared" si="38"/>
        <v>0</v>
      </c>
      <c r="J390" s="193">
        <f>$G$184</f>
        <v>58</v>
      </c>
      <c r="K390" s="186" t="s">
        <v>178</v>
      </c>
      <c r="L390" s="2">
        <f t="shared" si="39"/>
        <v>0</v>
      </c>
      <c r="M390" s="11"/>
      <c r="N390" s="11"/>
      <c r="O390" s="38"/>
      <c r="P390" s="38"/>
      <c r="Q390" s="38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J390" s="42"/>
    </row>
    <row r="391" spans="1:36" hidden="1">
      <c r="A391" s="194" t="s">
        <v>205</v>
      </c>
      <c r="B391" s="1"/>
      <c r="C391" s="182"/>
      <c r="D391" s="195">
        <f>$D$185</f>
        <v>-0.01</v>
      </c>
      <c r="E391" s="186"/>
      <c r="F391" s="2"/>
      <c r="G391" s="734">
        <v>-0.01</v>
      </c>
      <c r="H391" s="186"/>
      <c r="I391" s="2"/>
      <c r="J391" s="195">
        <v>-0.01</v>
      </c>
      <c r="K391" s="186"/>
      <c r="L391" s="2"/>
      <c r="M391" s="11"/>
      <c r="N391" s="11"/>
      <c r="O391" s="38"/>
      <c r="P391" s="38"/>
      <c r="Q391" s="38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J391" s="42"/>
    </row>
    <row r="392" spans="1:36" hidden="1">
      <c r="A392" s="1" t="s">
        <v>194</v>
      </c>
      <c r="B392" s="1"/>
      <c r="C392" s="182">
        <v>0</v>
      </c>
      <c r="D392" s="197">
        <f>$D$210</f>
        <v>9.86</v>
      </c>
      <c r="E392" s="184"/>
      <c r="F392" s="2">
        <f>-ROUND(D392*$C392/100,0)</f>
        <v>0</v>
      </c>
      <c r="G392" s="216">
        <v>9.86</v>
      </c>
      <c r="H392" s="184"/>
      <c r="I392" s="2">
        <f>-ROUND(G392*$C392/100,0)</f>
        <v>0</v>
      </c>
      <c r="J392" s="197">
        <f>J381</f>
        <v>9.86</v>
      </c>
      <c r="K392" s="184"/>
      <c r="L392" s="2">
        <f>-ROUND(J392*$C392/100,0)</f>
        <v>0</v>
      </c>
      <c r="M392" s="11"/>
      <c r="N392" s="11"/>
      <c r="O392" s="38"/>
      <c r="P392" s="38"/>
      <c r="Q392" s="38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J392" s="42"/>
    </row>
    <row r="393" spans="1:36" hidden="1">
      <c r="A393" s="1" t="s">
        <v>195</v>
      </c>
      <c r="B393" s="1"/>
      <c r="C393" s="182">
        <v>0</v>
      </c>
      <c r="D393" s="197">
        <f>$D$211</f>
        <v>14.7</v>
      </c>
      <c r="E393" s="184"/>
      <c r="F393" s="2">
        <f>-ROUND(D393*$C393/100,0)</f>
        <v>0</v>
      </c>
      <c r="G393" s="216">
        <v>14.7</v>
      </c>
      <c r="H393" s="184"/>
      <c r="I393" s="2">
        <f>-ROUND(G393*$C393/100,0)</f>
        <v>0</v>
      </c>
      <c r="J393" s="197">
        <f>J382</f>
        <v>14.7</v>
      </c>
      <c r="K393" s="184"/>
      <c r="L393" s="2">
        <f>-ROUND(J393*$C393/100,0)</f>
        <v>0</v>
      </c>
      <c r="M393" s="11"/>
      <c r="N393" s="11"/>
      <c r="O393" s="38"/>
      <c r="P393" s="38"/>
      <c r="Q393" s="38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J393" s="42"/>
    </row>
    <row r="394" spans="1:36" hidden="1">
      <c r="A394" s="1" t="s">
        <v>206</v>
      </c>
      <c r="B394" s="1"/>
      <c r="C394" s="182">
        <v>0</v>
      </c>
      <c r="D394" s="197">
        <f>$D$212</f>
        <v>1.04</v>
      </c>
      <c r="E394" s="184"/>
      <c r="F394" s="2">
        <f>-ROUND(D394*$C394/100,0)</f>
        <v>0</v>
      </c>
      <c r="G394" s="216">
        <v>1.04</v>
      </c>
      <c r="H394" s="184"/>
      <c r="I394" s="2">
        <f>-ROUND(G394*$C394/100,0)</f>
        <v>0</v>
      </c>
      <c r="J394" s="197">
        <f>J383</f>
        <v>1.04</v>
      </c>
      <c r="K394" s="184"/>
      <c r="L394" s="2">
        <f>-ROUND(J394*$C394/100,0)</f>
        <v>0</v>
      </c>
      <c r="M394" s="11"/>
      <c r="N394" s="11"/>
      <c r="O394" s="38"/>
      <c r="P394" s="38"/>
      <c r="Q394" s="38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J394" s="42"/>
    </row>
    <row r="395" spans="1:36" hidden="1">
      <c r="A395" s="1" t="s">
        <v>207</v>
      </c>
      <c r="B395" s="1"/>
      <c r="C395" s="182">
        <v>0</v>
      </c>
      <c r="D395" s="197">
        <f>$D$214</f>
        <v>3.81</v>
      </c>
      <c r="E395" s="186"/>
      <c r="F395" s="2">
        <f>-ROUND(D395*$C395/100,0)</f>
        <v>0</v>
      </c>
      <c r="G395" s="216">
        <v>3.81</v>
      </c>
      <c r="H395" s="186"/>
      <c r="I395" s="2">
        <f>-ROUND(G395*$C395/100,0)</f>
        <v>0</v>
      </c>
      <c r="J395" s="197">
        <f>J386</f>
        <v>3.81</v>
      </c>
      <c r="K395" s="186"/>
      <c r="L395" s="2">
        <f>-ROUND(J395*$C395/100,0)</f>
        <v>0</v>
      </c>
      <c r="M395" s="11"/>
      <c r="N395" s="11"/>
      <c r="O395" s="38"/>
      <c r="P395" s="38"/>
      <c r="Q395" s="38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J395" s="42"/>
    </row>
    <row r="396" spans="1:36" hidden="1">
      <c r="A396" s="1" t="s">
        <v>209</v>
      </c>
      <c r="B396" s="1"/>
      <c r="C396" s="182">
        <v>0</v>
      </c>
      <c r="D396" s="198">
        <f>$D$215</f>
        <v>10.898999999999999</v>
      </c>
      <c r="E396" s="186" t="s">
        <v>178</v>
      </c>
      <c r="F396" s="2">
        <f>ROUND(D396*$C396/100*D391,0)</f>
        <v>0</v>
      </c>
      <c r="G396" s="735">
        <v>11.222</v>
      </c>
      <c r="H396" s="186" t="s">
        <v>178</v>
      </c>
      <c r="I396" s="2">
        <f>ROUND(G396*$C396/100*G391,0)</f>
        <v>0</v>
      </c>
      <c r="J396" s="198">
        <f ca="1">J387</f>
        <v>11.207000000000001</v>
      </c>
      <c r="K396" s="186" t="s">
        <v>178</v>
      </c>
      <c r="L396" s="2">
        <f ca="1">ROUND(J396*$C396/100*J391,0)</f>
        <v>0</v>
      </c>
      <c r="M396" s="11"/>
      <c r="N396" s="11"/>
      <c r="O396" s="38"/>
      <c r="P396" s="38"/>
      <c r="Q396" s="38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J396" s="42"/>
    </row>
    <row r="397" spans="1:36" hidden="1">
      <c r="A397" s="1" t="s">
        <v>202</v>
      </c>
      <c r="B397" s="1"/>
      <c r="C397" s="182">
        <v>0</v>
      </c>
      <c r="D397" s="198">
        <f>$D$216</f>
        <v>7.3739999999999997</v>
      </c>
      <c r="E397" s="186" t="s">
        <v>178</v>
      </c>
      <c r="F397" s="2">
        <f>ROUND(D397*$C397/100*D391,0)</f>
        <v>0</v>
      </c>
      <c r="G397" s="735">
        <v>7.6970000000000001</v>
      </c>
      <c r="H397" s="186" t="s">
        <v>178</v>
      </c>
      <c r="I397" s="2">
        <f>ROUND(G397*$C397/100*G391,0)</f>
        <v>0</v>
      </c>
      <c r="J397" s="198">
        <f ca="1">J388</f>
        <v>7.6820000000000004</v>
      </c>
      <c r="K397" s="186" t="s">
        <v>178</v>
      </c>
      <c r="L397" s="2">
        <f ca="1">ROUND(J397*$C397/100*J391,0)</f>
        <v>0</v>
      </c>
      <c r="M397" s="11"/>
      <c r="N397" s="11"/>
      <c r="O397" s="38"/>
      <c r="P397" s="38"/>
      <c r="Q397" s="38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J397" s="42"/>
    </row>
    <row r="398" spans="1:36" hidden="1">
      <c r="A398" s="1" t="s">
        <v>203</v>
      </c>
      <c r="B398" s="1"/>
      <c r="C398" s="182">
        <v>0</v>
      </c>
      <c r="D398" s="198">
        <f>$D$217</f>
        <v>6.8529999999999998</v>
      </c>
      <c r="E398" s="186" t="s">
        <v>178</v>
      </c>
      <c r="F398" s="2">
        <f>ROUND(D398*$C398/100*D391,0)</f>
        <v>0</v>
      </c>
      <c r="G398" s="735">
        <v>7.1760000000000002</v>
      </c>
      <c r="H398" s="186" t="s">
        <v>178</v>
      </c>
      <c r="I398" s="2">
        <f>ROUND(G398*$C398/100*G391,0)</f>
        <v>0</v>
      </c>
      <c r="J398" s="198">
        <f ca="1">J389</f>
        <v>7.1609999999999996</v>
      </c>
      <c r="K398" s="186" t="s">
        <v>178</v>
      </c>
      <c r="L398" s="2">
        <f ca="1">ROUND(J398*$C398/100*J391,0)</f>
        <v>0</v>
      </c>
      <c r="M398" s="11"/>
      <c r="N398" s="11"/>
      <c r="O398" s="38"/>
      <c r="P398" s="38"/>
      <c r="Q398" s="38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J398" s="42"/>
    </row>
    <row r="399" spans="1:36" hidden="1">
      <c r="A399" s="1" t="s">
        <v>204</v>
      </c>
      <c r="B399" s="1"/>
      <c r="C399" s="182">
        <v>0</v>
      </c>
      <c r="D399" s="199">
        <f>$D$218</f>
        <v>58</v>
      </c>
      <c r="E399" s="186" t="s">
        <v>178</v>
      </c>
      <c r="F399" s="2">
        <f>ROUND(D399*$C399/100*D391,0)</f>
        <v>0</v>
      </c>
      <c r="G399" s="736">
        <v>58</v>
      </c>
      <c r="H399" s="186" t="s">
        <v>178</v>
      </c>
      <c r="I399" s="2">
        <f>ROUND(G399*$C399/100*G391,0)</f>
        <v>0</v>
      </c>
      <c r="J399" s="199">
        <f>J390</f>
        <v>58</v>
      </c>
      <c r="K399" s="186" t="s">
        <v>178</v>
      </c>
      <c r="L399" s="2">
        <f>ROUND(J399*$C399/100*J391,0)</f>
        <v>0</v>
      </c>
      <c r="M399" s="11"/>
      <c r="N399" s="11"/>
      <c r="O399" s="38"/>
      <c r="P399" s="38"/>
      <c r="Q399" s="38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J399" s="42"/>
    </row>
    <row r="400" spans="1:36" hidden="1">
      <c r="A400" s="1" t="s">
        <v>211</v>
      </c>
      <c r="B400" s="1"/>
      <c r="C400" s="182">
        <v>0</v>
      </c>
      <c r="D400" s="200">
        <v>60</v>
      </c>
      <c r="E400" s="186"/>
      <c r="F400" s="2">
        <f>ROUND(D400*C400,0)</f>
        <v>0</v>
      </c>
      <c r="G400" s="216">
        <v>60</v>
      </c>
      <c r="H400" s="186"/>
      <c r="I400" s="2">
        <f>ROUND(G400*$C400,0)</f>
        <v>0</v>
      </c>
      <c r="J400" s="200">
        <f>$G$194</f>
        <v>60</v>
      </c>
      <c r="K400" s="186"/>
      <c r="L400" s="2">
        <f>ROUND(J400*$C400,0)</f>
        <v>0</v>
      </c>
      <c r="M400" s="11"/>
      <c r="N400" s="11"/>
      <c r="O400" s="38"/>
      <c r="P400" s="38"/>
      <c r="Q400" s="38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J400" s="42"/>
    </row>
    <row r="401" spans="1:36" hidden="1">
      <c r="A401" s="1" t="s">
        <v>212</v>
      </c>
      <c r="B401" s="1"/>
      <c r="C401" s="182">
        <v>0</v>
      </c>
      <c r="D401" s="202">
        <v>-30</v>
      </c>
      <c r="E401" s="186" t="s">
        <v>178</v>
      </c>
      <c r="F401" s="2">
        <f>ROUND(D401*C401/100,0)</f>
        <v>0</v>
      </c>
      <c r="G401" s="737">
        <v>-30</v>
      </c>
      <c r="H401" s="186" t="s">
        <v>178</v>
      </c>
      <c r="I401" s="2">
        <f>ROUND(G401*$C401/100,0)</f>
        <v>0</v>
      </c>
      <c r="J401" s="202">
        <f>$G$195</f>
        <v>-30</v>
      </c>
      <c r="K401" s="186" t="s">
        <v>178</v>
      </c>
      <c r="L401" s="2">
        <f>ROUND(J401*$C401/100,0)</f>
        <v>0</v>
      </c>
      <c r="M401" s="11"/>
      <c r="N401" s="11"/>
      <c r="O401" s="38"/>
      <c r="P401" s="38"/>
      <c r="Q401" s="38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J401" s="42"/>
    </row>
    <row r="402" spans="1:36" hidden="1">
      <c r="A402" s="1" t="s">
        <v>185</v>
      </c>
      <c r="B402" s="1"/>
      <c r="C402" s="182">
        <f>SUM(C387:C389)</f>
        <v>33312</v>
      </c>
      <c r="D402" s="193"/>
      <c r="E402" s="186"/>
      <c r="F402" s="2">
        <f>SUM(F381:F401)</f>
        <v>8719</v>
      </c>
      <c r="G402" s="733"/>
      <c r="H402" s="186"/>
      <c r="I402" s="2">
        <f>SUM(I381:I401)</f>
        <v>8826</v>
      </c>
      <c r="J402" s="193"/>
      <c r="K402" s="186"/>
      <c r="L402" s="2">
        <f ca="1">SUM(L381:L401)</f>
        <v>8821</v>
      </c>
      <c r="M402" s="11"/>
      <c r="N402" s="11"/>
      <c r="O402" s="38"/>
      <c r="P402" s="38"/>
      <c r="Q402" s="38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J402" s="42"/>
    </row>
    <row r="403" spans="1:36" hidden="1">
      <c r="A403" s="1" t="s">
        <v>167</v>
      </c>
      <c r="B403" s="1"/>
      <c r="C403" s="212">
        <v>623.9135406208477</v>
      </c>
      <c r="D403" s="172"/>
      <c r="E403" s="172"/>
      <c r="F403" s="204">
        <v>53.127150935649873</v>
      </c>
      <c r="G403" s="284"/>
      <c r="H403" s="172"/>
      <c r="I403" s="204">
        <f>F403</f>
        <v>53.127150935649873</v>
      </c>
      <c r="J403" s="172"/>
      <c r="K403" s="172"/>
      <c r="L403" s="204">
        <f>I403</f>
        <v>53.127150935649873</v>
      </c>
      <c r="M403" s="307"/>
      <c r="N403" s="307"/>
      <c r="O403" s="150"/>
      <c r="P403" s="38"/>
      <c r="Q403" s="38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J403" s="42"/>
    </row>
    <row r="404" spans="1:36" ht="16.5" hidden="1" thickBot="1">
      <c r="A404" s="1" t="s">
        <v>186</v>
      </c>
      <c r="B404" s="1"/>
      <c r="C404" s="174">
        <f>SUM(C402:C403)</f>
        <v>33935.913540620844</v>
      </c>
      <c r="D404" s="205"/>
      <c r="E404" s="208"/>
      <c r="F404" s="207">
        <f>F402+F403</f>
        <v>8772.1271509356502</v>
      </c>
      <c r="G404" s="741"/>
      <c r="H404" s="208"/>
      <c r="I404" s="207">
        <f>I402+I403</f>
        <v>8879.1271509356502</v>
      </c>
      <c r="J404" s="205"/>
      <c r="K404" s="208"/>
      <c r="L404" s="207">
        <f ca="1">L402+L403</f>
        <v>8874.1271509356502</v>
      </c>
      <c r="M404" s="274"/>
      <c r="N404" s="274"/>
      <c r="O404" s="333"/>
      <c r="P404" s="38"/>
      <c r="Q404" s="38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J404" s="42"/>
    </row>
    <row r="405" spans="1:36" ht="16.5" hidden="1" thickTop="1">
      <c r="A405" s="1"/>
      <c r="B405" s="1"/>
      <c r="C405" s="12"/>
      <c r="D405" s="200" t="s">
        <v>13</v>
      </c>
      <c r="E405" s="1"/>
      <c r="F405" s="2"/>
      <c r="G405" s="216" t="s">
        <v>13</v>
      </c>
      <c r="H405" s="1"/>
      <c r="I405" s="2" t="s">
        <v>13</v>
      </c>
      <c r="J405" s="216" t="s">
        <v>13</v>
      </c>
      <c r="K405" s="1"/>
      <c r="L405" s="2" t="s">
        <v>13</v>
      </c>
      <c r="M405" s="11"/>
      <c r="N405" s="11"/>
      <c r="O405" s="38"/>
      <c r="P405" s="38"/>
      <c r="Q405" s="38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J405" s="42"/>
    </row>
    <row r="406" spans="1:36" hidden="1">
      <c r="A406" s="1"/>
      <c r="B406" s="1"/>
      <c r="C406" s="12"/>
      <c r="D406" s="200" t="s">
        <v>13</v>
      </c>
      <c r="E406" s="1"/>
      <c r="F406" s="2"/>
      <c r="G406" s="216" t="s">
        <v>13</v>
      </c>
      <c r="H406" s="1"/>
      <c r="I406" s="2" t="s">
        <v>13</v>
      </c>
      <c r="J406" s="216" t="s">
        <v>13</v>
      </c>
      <c r="K406" s="1"/>
      <c r="L406" s="2" t="s">
        <v>13</v>
      </c>
      <c r="M406" s="11"/>
      <c r="N406" s="11"/>
      <c r="O406" s="38"/>
      <c r="P406" s="38"/>
      <c r="Q406" s="38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J406" s="42"/>
    </row>
    <row r="407" spans="1:36" hidden="1">
      <c r="A407" s="156" t="s">
        <v>221</v>
      </c>
      <c r="B407" s="1"/>
      <c r="C407" s="1"/>
      <c r="D407" s="2"/>
      <c r="E407" s="1"/>
      <c r="F407" s="1"/>
      <c r="G407" s="516"/>
      <c r="H407" s="1"/>
      <c r="I407" s="1"/>
      <c r="J407" s="2"/>
      <c r="K407" s="1"/>
      <c r="L407" s="1"/>
      <c r="M407" s="11"/>
      <c r="N407" s="11"/>
      <c r="O407" s="38"/>
      <c r="P407" s="38"/>
      <c r="Q407" s="38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J407" s="42"/>
    </row>
    <row r="408" spans="1:36" hidden="1">
      <c r="A408" s="1" t="s">
        <v>214</v>
      </c>
      <c r="B408" s="1"/>
      <c r="C408" s="1"/>
      <c r="D408" s="2"/>
      <c r="E408" s="1"/>
      <c r="F408" s="1"/>
      <c r="G408" s="516"/>
      <c r="H408" s="1"/>
      <c r="I408" s="1"/>
      <c r="J408" s="2"/>
      <c r="K408" s="1"/>
      <c r="L408" s="1"/>
      <c r="M408" s="11"/>
      <c r="N408" s="11"/>
      <c r="O408" s="38"/>
      <c r="P408" s="38"/>
      <c r="Q408" s="38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6" hidden="1">
      <c r="A409" s="1" t="s">
        <v>222</v>
      </c>
      <c r="B409" s="1"/>
      <c r="C409" s="1"/>
      <c r="D409" s="2"/>
      <c r="E409" s="1"/>
      <c r="F409" s="1"/>
      <c r="G409" s="516"/>
      <c r="H409" s="1"/>
      <c r="I409" s="1"/>
      <c r="J409" s="2"/>
      <c r="K409" s="1"/>
      <c r="L409" s="1"/>
      <c r="M409" s="11"/>
      <c r="N409" s="11"/>
      <c r="O409" s="38"/>
      <c r="P409" s="38"/>
      <c r="Q409" s="38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6" hidden="1">
      <c r="A410" s="1" t="s">
        <v>197</v>
      </c>
      <c r="B410" s="1"/>
      <c r="C410" s="182"/>
      <c r="D410" s="2"/>
      <c r="E410" s="1"/>
      <c r="F410" s="1"/>
      <c r="G410" s="516"/>
      <c r="H410" s="1"/>
      <c r="I410" s="1"/>
      <c r="J410" s="2"/>
      <c r="K410" s="1"/>
      <c r="L410" s="1"/>
      <c r="M410" s="11"/>
      <c r="N410" s="11"/>
      <c r="O410" s="38"/>
      <c r="P410" s="38"/>
      <c r="Q410" s="38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6" hidden="1">
      <c r="A411" s="1" t="s">
        <v>194</v>
      </c>
      <c r="B411" s="1"/>
      <c r="C411" s="182">
        <f t="shared" ref="C411:C420" si="40">C440+C469</f>
        <v>3</v>
      </c>
      <c r="D411" s="161">
        <f>$D$171</f>
        <v>118.32</v>
      </c>
      <c r="E411" s="186"/>
      <c r="F411" s="2">
        <f>F440+F469</f>
        <v>355</v>
      </c>
      <c r="G411" s="506">
        <v>118.32</v>
      </c>
      <c r="H411" s="186"/>
      <c r="I411" s="2">
        <f>I440+I469</f>
        <v>355</v>
      </c>
      <c r="J411" s="161">
        <f>$G$171</f>
        <v>118.32</v>
      </c>
      <c r="K411" s="186"/>
      <c r="L411" s="2">
        <f>L440+L469</f>
        <v>355</v>
      </c>
      <c r="M411" s="11"/>
      <c r="N411" s="11"/>
      <c r="O411" s="38"/>
      <c r="P411" s="38"/>
      <c r="Q411" s="38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6" hidden="1">
      <c r="A412" s="1" t="s">
        <v>195</v>
      </c>
      <c r="B412" s="1"/>
      <c r="C412" s="182">
        <f t="shared" si="40"/>
        <v>74.671232876712295</v>
      </c>
      <c r="D412" s="161">
        <f>$D$172</f>
        <v>176.39999999999998</v>
      </c>
      <c r="E412" s="188"/>
      <c r="F412" s="2">
        <f>F441+F470</f>
        <v>13172</v>
      </c>
      <c r="G412" s="506">
        <v>176.39999999999998</v>
      </c>
      <c r="H412" s="188"/>
      <c r="I412" s="2">
        <f>I441+I470</f>
        <v>13172</v>
      </c>
      <c r="J412" s="161">
        <f>$G$172</f>
        <v>176.39999999999998</v>
      </c>
      <c r="K412" s="188"/>
      <c r="L412" s="2">
        <f>L441+L470</f>
        <v>13172</v>
      </c>
      <c r="M412" s="11"/>
      <c r="N412" s="11"/>
      <c r="O412" s="38"/>
      <c r="P412" s="38"/>
      <c r="Q412" s="38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6" hidden="1">
      <c r="A413" s="1" t="s">
        <v>196</v>
      </c>
      <c r="B413" s="1"/>
      <c r="C413" s="182">
        <f t="shared" si="40"/>
        <v>2454.0986301369899</v>
      </c>
      <c r="D413" s="161">
        <f>$D$173</f>
        <v>12.48</v>
      </c>
      <c r="E413" s="188"/>
      <c r="F413" s="2">
        <f>F442+F471</f>
        <v>30627</v>
      </c>
      <c r="G413" s="506">
        <v>12.48</v>
      </c>
      <c r="H413" s="188"/>
      <c r="I413" s="2">
        <f>I442+I471</f>
        <v>30627</v>
      </c>
      <c r="J413" s="161">
        <f>$G$173</f>
        <v>12.48</v>
      </c>
      <c r="K413" s="188"/>
      <c r="L413" s="2">
        <f>L442+L471</f>
        <v>30627</v>
      </c>
      <c r="M413" s="11"/>
      <c r="N413" s="11"/>
      <c r="O413" s="38"/>
      <c r="P413" s="38"/>
      <c r="Q413" s="38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6" hidden="1">
      <c r="A414" s="1" t="s">
        <v>198</v>
      </c>
      <c r="B414" s="1"/>
      <c r="C414" s="182">
        <f t="shared" si="40"/>
        <v>77.671232876712295</v>
      </c>
      <c r="D414" s="161"/>
      <c r="E414" s="186"/>
      <c r="F414" s="2"/>
      <c r="G414" s="506"/>
      <c r="H414" s="186"/>
      <c r="I414" s="2"/>
      <c r="J414" s="161"/>
      <c r="K414" s="186"/>
      <c r="L414" s="2"/>
      <c r="M414" s="11"/>
      <c r="N414" s="11"/>
      <c r="O414" s="38"/>
      <c r="P414" s="38"/>
      <c r="Q414" s="38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6" hidden="1">
      <c r="A415" s="1" t="s">
        <v>223</v>
      </c>
      <c r="B415" s="1"/>
      <c r="C415" s="182">
        <f t="shared" si="40"/>
        <v>862.95333333333394</v>
      </c>
      <c r="D415" s="161"/>
      <c r="E415" s="186"/>
      <c r="F415" s="2"/>
      <c r="G415" s="506"/>
      <c r="H415" s="186"/>
      <c r="I415" s="2"/>
      <c r="J415" s="161"/>
      <c r="K415" s="186"/>
      <c r="L415" s="2"/>
      <c r="M415" s="11"/>
      <c r="N415" s="11"/>
      <c r="O415" s="38"/>
      <c r="P415" s="38"/>
      <c r="Q415" s="38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6" hidden="1">
      <c r="A416" s="1" t="s">
        <v>199</v>
      </c>
      <c r="B416" s="1"/>
      <c r="C416" s="182">
        <f t="shared" si="40"/>
        <v>3462.2</v>
      </c>
      <c r="D416" s="189">
        <f>$D$180</f>
        <v>3.81</v>
      </c>
      <c r="E416" s="186"/>
      <c r="F416" s="2">
        <f>F445+F474</f>
        <v>13191</v>
      </c>
      <c r="G416" s="216">
        <v>3.81</v>
      </c>
      <c r="H416" s="186"/>
      <c r="I416" s="2">
        <f>I445+I474</f>
        <v>13191</v>
      </c>
      <c r="J416" s="189">
        <f>$G$180</f>
        <v>3.81</v>
      </c>
      <c r="K416" s="186"/>
      <c r="L416" s="2">
        <f>L445+L474</f>
        <v>13191</v>
      </c>
      <c r="M416" s="11"/>
      <c r="N416" s="11"/>
      <c r="O416" s="38"/>
      <c r="P416" s="38"/>
      <c r="Q416" s="38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idden="1">
      <c r="A417" s="1" t="s">
        <v>201</v>
      </c>
      <c r="B417" s="1"/>
      <c r="C417" s="182">
        <f t="shared" si="40"/>
        <v>86775</v>
      </c>
      <c r="D417" s="162">
        <f>$D$181</f>
        <v>10.898999999999999</v>
      </c>
      <c r="E417" s="186" t="s">
        <v>178</v>
      </c>
      <c r="F417" s="2">
        <f>F446+F475</f>
        <v>9458</v>
      </c>
      <c r="G417" s="731">
        <v>11.222</v>
      </c>
      <c r="H417" s="186" t="s">
        <v>178</v>
      </c>
      <c r="I417" s="2">
        <f>I446+I475</f>
        <v>9737</v>
      </c>
      <c r="J417" s="162">
        <f ca="1">$J$181</f>
        <v>11.207000000000001</v>
      </c>
      <c r="K417" s="186" t="s">
        <v>178</v>
      </c>
      <c r="L417" s="2">
        <f ca="1">L446+L475</f>
        <v>9725</v>
      </c>
      <c r="M417" s="11"/>
      <c r="N417" s="11"/>
      <c r="O417" s="38"/>
      <c r="P417" s="38"/>
      <c r="Q417" s="38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idden="1">
      <c r="A418" s="1" t="s">
        <v>202</v>
      </c>
      <c r="B418" s="1"/>
      <c r="C418" s="182">
        <f t="shared" si="40"/>
        <v>47493</v>
      </c>
      <c r="D418" s="162">
        <f>$D$182</f>
        <v>7.3739999999999997</v>
      </c>
      <c r="E418" s="186" t="s">
        <v>178</v>
      </c>
      <c r="F418" s="2">
        <f>F447+F476</f>
        <v>3502</v>
      </c>
      <c r="G418" s="731">
        <v>7.6970000000000001</v>
      </c>
      <c r="H418" s="186" t="s">
        <v>178</v>
      </c>
      <c r="I418" s="2">
        <f>I447+I476</f>
        <v>3655</v>
      </c>
      <c r="J418" s="162">
        <f ca="1">$J$182</f>
        <v>7.6820000000000004</v>
      </c>
      <c r="K418" s="186" t="s">
        <v>178</v>
      </c>
      <c r="L418" s="2">
        <f ca="1">L447+L476</f>
        <v>3648</v>
      </c>
      <c r="M418" s="11"/>
      <c r="N418" s="11"/>
      <c r="O418" s="38"/>
      <c r="P418" s="38"/>
      <c r="Q418" s="38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idden="1">
      <c r="A419" s="1" t="s">
        <v>203</v>
      </c>
      <c r="B419" s="1"/>
      <c r="C419" s="182">
        <f t="shared" si="40"/>
        <v>0</v>
      </c>
      <c r="D419" s="162">
        <f>$D$183</f>
        <v>6.8529999999999998</v>
      </c>
      <c r="E419" s="186" t="s">
        <v>178</v>
      </c>
      <c r="F419" s="2">
        <f>F448+F477</f>
        <v>0</v>
      </c>
      <c r="G419" s="731">
        <v>7.1760000000000002</v>
      </c>
      <c r="H419" s="186" t="s">
        <v>178</v>
      </c>
      <c r="I419" s="2">
        <f>I448+I477</f>
        <v>0</v>
      </c>
      <c r="J419" s="162">
        <f ca="1">$J$183</f>
        <v>7.1609999999999996</v>
      </c>
      <c r="K419" s="186" t="s">
        <v>178</v>
      </c>
      <c r="L419" s="2">
        <f ca="1">L448+L477</f>
        <v>0</v>
      </c>
      <c r="M419" s="11"/>
      <c r="N419" s="11"/>
      <c r="O419" s="38"/>
      <c r="P419" s="38"/>
      <c r="Q419" s="38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idden="1">
      <c r="A420" s="1" t="s">
        <v>204</v>
      </c>
      <c r="B420" s="1"/>
      <c r="C420" s="182">
        <f t="shared" si="40"/>
        <v>783.52388888888902</v>
      </c>
      <c r="D420" s="193">
        <f>$D$184</f>
        <v>58</v>
      </c>
      <c r="E420" s="186" t="s">
        <v>178</v>
      </c>
      <c r="F420" s="2">
        <f>F449+F478</f>
        <v>454</v>
      </c>
      <c r="G420" s="733">
        <v>58</v>
      </c>
      <c r="H420" s="186" t="s">
        <v>178</v>
      </c>
      <c r="I420" s="2">
        <f>I449+I478</f>
        <v>454</v>
      </c>
      <c r="J420" s="193">
        <f>$G$184</f>
        <v>58</v>
      </c>
      <c r="K420" s="186" t="s">
        <v>178</v>
      </c>
      <c r="L420" s="2">
        <f>L449+L478</f>
        <v>454</v>
      </c>
      <c r="M420" s="11"/>
      <c r="N420" s="11"/>
      <c r="O420" s="38"/>
      <c r="P420" s="38"/>
      <c r="Q420" s="38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idden="1">
      <c r="A421" s="194" t="s">
        <v>205</v>
      </c>
      <c r="B421" s="1"/>
      <c r="C421" s="182"/>
      <c r="D421" s="195">
        <f>$D$185</f>
        <v>-0.01</v>
      </c>
      <c r="E421" s="186"/>
      <c r="F421" s="2"/>
      <c r="G421" s="734">
        <v>-0.01</v>
      </c>
      <c r="H421" s="186"/>
      <c r="I421" s="2"/>
      <c r="J421" s="195">
        <v>-0.01</v>
      </c>
      <c r="K421" s="186"/>
      <c r="L421" s="2"/>
      <c r="M421" s="11"/>
      <c r="N421" s="11"/>
      <c r="O421" s="38"/>
      <c r="P421" s="38"/>
      <c r="Q421" s="38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idden="1">
      <c r="A422" s="1" t="s">
        <v>194</v>
      </c>
      <c r="B422" s="1"/>
      <c r="C422" s="182">
        <v>0</v>
      </c>
      <c r="D422" s="197">
        <f>D411</f>
        <v>118.32</v>
      </c>
      <c r="E422" s="184"/>
      <c r="F422" s="2">
        <f t="shared" ref="F422:F433" si="41">F451+F480</f>
        <v>0</v>
      </c>
      <c r="G422" s="216">
        <v>118.32</v>
      </c>
      <c r="H422" s="184"/>
      <c r="I422" s="2">
        <f t="shared" ref="I422:I432" si="42">I451+I480</f>
        <v>0</v>
      </c>
      <c r="J422" s="197">
        <f>J411</f>
        <v>118.32</v>
      </c>
      <c r="K422" s="184"/>
      <c r="L422" s="2">
        <f t="shared" ref="L422:L432" si="43">L451+L480</f>
        <v>0</v>
      </c>
      <c r="M422" s="11"/>
      <c r="N422" s="11"/>
      <c r="O422" s="38"/>
      <c r="P422" s="38"/>
      <c r="Q422" s="38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idden="1">
      <c r="A423" s="1" t="s">
        <v>195</v>
      </c>
      <c r="B423" s="1"/>
      <c r="C423" s="182">
        <v>0</v>
      </c>
      <c r="D423" s="197">
        <f>D412</f>
        <v>176.39999999999998</v>
      </c>
      <c r="E423" s="184"/>
      <c r="F423" s="2">
        <f t="shared" si="41"/>
        <v>0</v>
      </c>
      <c r="G423" s="216">
        <v>176.39999999999998</v>
      </c>
      <c r="H423" s="184"/>
      <c r="I423" s="2">
        <f t="shared" si="42"/>
        <v>0</v>
      </c>
      <c r="J423" s="197">
        <f>J412</f>
        <v>176.39999999999998</v>
      </c>
      <c r="K423" s="184"/>
      <c r="L423" s="2">
        <f t="shared" si="43"/>
        <v>0</v>
      </c>
      <c r="M423" s="11"/>
      <c r="N423" s="11"/>
      <c r="O423" s="38"/>
      <c r="P423" s="17"/>
      <c r="Q423" s="38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idden="1">
      <c r="A424" s="1" t="s">
        <v>206</v>
      </c>
      <c r="B424" s="1"/>
      <c r="C424" s="182">
        <v>0</v>
      </c>
      <c r="D424" s="197">
        <f>D413</f>
        <v>12.48</v>
      </c>
      <c r="E424" s="184"/>
      <c r="F424" s="2">
        <f t="shared" si="41"/>
        <v>0</v>
      </c>
      <c r="G424" s="216">
        <v>12.48</v>
      </c>
      <c r="H424" s="184"/>
      <c r="I424" s="2">
        <f t="shared" si="42"/>
        <v>0</v>
      </c>
      <c r="J424" s="197">
        <f>J413</f>
        <v>12.48</v>
      </c>
      <c r="K424" s="184"/>
      <c r="L424" s="2">
        <f t="shared" si="43"/>
        <v>0</v>
      </c>
      <c r="M424" s="11"/>
      <c r="N424" s="11"/>
      <c r="O424" s="38"/>
      <c r="P424" s="38"/>
      <c r="Q424" s="38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idden="1">
      <c r="A425" s="1" t="s">
        <v>207</v>
      </c>
      <c r="B425" s="1"/>
      <c r="C425" s="182">
        <v>0</v>
      </c>
      <c r="D425" s="197">
        <f>D416</f>
        <v>3.81</v>
      </c>
      <c r="E425" s="186"/>
      <c r="F425" s="2">
        <f t="shared" si="41"/>
        <v>0</v>
      </c>
      <c r="G425" s="216">
        <v>3.81</v>
      </c>
      <c r="H425" s="186"/>
      <c r="I425" s="2">
        <f t="shared" si="42"/>
        <v>0</v>
      </c>
      <c r="J425" s="197">
        <f>J416</f>
        <v>3.81</v>
      </c>
      <c r="K425" s="186"/>
      <c r="L425" s="2">
        <f t="shared" si="43"/>
        <v>0</v>
      </c>
      <c r="M425" s="11"/>
      <c r="N425" s="11"/>
      <c r="O425" s="38"/>
      <c r="P425" s="38"/>
      <c r="Q425" s="38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idden="1">
      <c r="A426" s="1" t="s">
        <v>209</v>
      </c>
      <c r="B426" s="1"/>
      <c r="C426" s="182">
        <v>0</v>
      </c>
      <c r="D426" s="198">
        <f>D417</f>
        <v>10.898999999999999</v>
      </c>
      <c r="E426" s="186" t="s">
        <v>178</v>
      </c>
      <c r="F426" s="2">
        <f t="shared" si="41"/>
        <v>0</v>
      </c>
      <c r="G426" s="735">
        <v>11.222</v>
      </c>
      <c r="H426" s="186" t="s">
        <v>178</v>
      </c>
      <c r="I426" s="2">
        <f t="shared" si="42"/>
        <v>0</v>
      </c>
      <c r="J426" s="198">
        <f ca="1">J417</f>
        <v>11.207000000000001</v>
      </c>
      <c r="K426" s="186" t="s">
        <v>178</v>
      </c>
      <c r="L426" s="2">
        <f t="shared" ca="1" si="43"/>
        <v>0</v>
      </c>
      <c r="M426" s="11"/>
      <c r="N426" s="11"/>
      <c r="O426" s="38"/>
      <c r="P426" s="38"/>
      <c r="Q426" s="38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idden="1">
      <c r="A427" s="1" t="s">
        <v>202</v>
      </c>
      <c r="B427" s="1"/>
      <c r="C427" s="182">
        <v>0</v>
      </c>
      <c r="D427" s="198">
        <f>D418</f>
        <v>7.3739999999999997</v>
      </c>
      <c r="E427" s="186" t="s">
        <v>178</v>
      </c>
      <c r="F427" s="2">
        <f t="shared" si="41"/>
        <v>0</v>
      </c>
      <c r="G427" s="735">
        <v>7.6970000000000001</v>
      </c>
      <c r="H427" s="186" t="s">
        <v>178</v>
      </c>
      <c r="I427" s="2">
        <f t="shared" si="42"/>
        <v>0</v>
      </c>
      <c r="J427" s="198">
        <f ca="1">J418</f>
        <v>7.6820000000000004</v>
      </c>
      <c r="K427" s="186" t="s">
        <v>178</v>
      </c>
      <c r="L427" s="2">
        <f t="shared" ca="1" si="43"/>
        <v>0</v>
      </c>
      <c r="M427" s="11"/>
      <c r="N427" s="11"/>
      <c r="O427" s="38"/>
      <c r="P427" s="38"/>
      <c r="Q427" s="38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idden="1">
      <c r="A428" s="1" t="s">
        <v>203</v>
      </c>
      <c r="B428" s="1"/>
      <c r="C428" s="182">
        <v>0</v>
      </c>
      <c r="D428" s="198">
        <f>D419</f>
        <v>6.8529999999999998</v>
      </c>
      <c r="E428" s="186" t="s">
        <v>178</v>
      </c>
      <c r="F428" s="2">
        <f t="shared" si="41"/>
        <v>0</v>
      </c>
      <c r="G428" s="735">
        <v>7.1760000000000002</v>
      </c>
      <c r="H428" s="186" t="s">
        <v>178</v>
      </c>
      <c r="I428" s="2">
        <f t="shared" si="42"/>
        <v>0</v>
      </c>
      <c r="J428" s="198">
        <f ca="1">J419</f>
        <v>7.1609999999999996</v>
      </c>
      <c r="K428" s="186" t="s">
        <v>178</v>
      </c>
      <c r="L428" s="2">
        <f t="shared" ca="1" si="43"/>
        <v>0</v>
      </c>
      <c r="M428" s="11"/>
      <c r="N428" s="11"/>
      <c r="O428" s="38"/>
      <c r="P428" s="38"/>
      <c r="Q428" s="38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idden="1">
      <c r="A429" s="1" t="s">
        <v>204</v>
      </c>
      <c r="B429" s="1"/>
      <c r="C429" s="182">
        <v>0</v>
      </c>
      <c r="D429" s="199">
        <f>D420</f>
        <v>58</v>
      </c>
      <c r="E429" s="186" t="s">
        <v>178</v>
      </c>
      <c r="F429" s="2">
        <f t="shared" si="41"/>
        <v>0</v>
      </c>
      <c r="G429" s="736">
        <v>58</v>
      </c>
      <c r="H429" s="186" t="s">
        <v>178</v>
      </c>
      <c r="I429" s="2">
        <f t="shared" si="42"/>
        <v>0</v>
      </c>
      <c r="J429" s="199">
        <f>J420</f>
        <v>58</v>
      </c>
      <c r="K429" s="186" t="s">
        <v>178</v>
      </c>
      <c r="L429" s="2">
        <f t="shared" si="43"/>
        <v>0</v>
      </c>
      <c r="M429" s="11"/>
      <c r="N429" s="11"/>
      <c r="O429" s="38"/>
      <c r="P429" s="38"/>
      <c r="Q429" s="38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idden="1">
      <c r="A430" s="1" t="s">
        <v>211</v>
      </c>
      <c r="B430" s="1"/>
      <c r="C430" s="182">
        <v>0</v>
      </c>
      <c r="D430" s="200">
        <v>60</v>
      </c>
      <c r="E430" s="186"/>
      <c r="F430" s="2">
        <f t="shared" si="41"/>
        <v>0</v>
      </c>
      <c r="G430" s="216">
        <v>60</v>
      </c>
      <c r="H430" s="186"/>
      <c r="I430" s="2">
        <f t="shared" si="42"/>
        <v>0</v>
      </c>
      <c r="J430" s="200">
        <f>$G$194</f>
        <v>60</v>
      </c>
      <c r="K430" s="186"/>
      <c r="L430" s="2">
        <f t="shared" si="43"/>
        <v>0</v>
      </c>
      <c r="M430" s="11"/>
      <c r="N430" s="11"/>
      <c r="O430" s="38"/>
      <c r="P430" s="38"/>
      <c r="Q430" s="38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idden="1">
      <c r="A431" s="1" t="s">
        <v>212</v>
      </c>
      <c r="B431" s="1"/>
      <c r="C431" s="182">
        <v>0</v>
      </c>
      <c r="D431" s="202">
        <v>-30</v>
      </c>
      <c r="E431" s="186" t="s">
        <v>178</v>
      </c>
      <c r="F431" s="2">
        <f t="shared" si="41"/>
        <v>0</v>
      </c>
      <c r="G431" s="737">
        <v>-30</v>
      </c>
      <c r="H431" s="186" t="s">
        <v>178</v>
      </c>
      <c r="I431" s="2">
        <f t="shared" si="42"/>
        <v>0</v>
      </c>
      <c r="J431" s="202">
        <f>$G$195</f>
        <v>-30</v>
      </c>
      <c r="K431" s="186" t="s">
        <v>178</v>
      </c>
      <c r="L431" s="2">
        <f t="shared" si="43"/>
        <v>0</v>
      </c>
      <c r="M431" s="11"/>
      <c r="N431" s="11"/>
      <c r="O431" s="38"/>
      <c r="P431" s="38"/>
      <c r="Q431" s="38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idden="1">
      <c r="A432" s="1" t="s">
        <v>185</v>
      </c>
      <c r="B432" s="1"/>
      <c r="C432" s="182">
        <f>C461+C490</f>
        <v>134268</v>
      </c>
      <c r="D432" s="187"/>
      <c r="E432" s="186"/>
      <c r="F432" s="2">
        <f t="shared" si="41"/>
        <v>70759</v>
      </c>
      <c r="G432" s="516"/>
      <c r="H432" s="186"/>
      <c r="I432" s="2">
        <f t="shared" si="42"/>
        <v>71191</v>
      </c>
      <c r="J432" s="2"/>
      <c r="K432" s="186"/>
      <c r="L432" s="2">
        <f t="shared" ca="1" si="43"/>
        <v>71172</v>
      </c>
      <c r="M432" s="11"/>
      <c r="N432" s="11"/>
      <c r="O432" s="38"/>
      <c r="P432" s="38"/>
      <c r="Q432" s="38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idden="1">
      <c r="A433" s="1" t="s">
        <v>167</v>
      </c>
      <c r="B433" s="1"/>
      <c r="C433" s="203">
        <f>C462+C491</f>
        <v>1269.5530254389409</v>
      </c>
      <c r="D433" s="172"/>
      <c r="E433" s="172"/>
      <c r="F433" s="204">
        <f t="shared" si="41"/>
        <v>913.92011363057588</v>
      </c>
      <c r="G433" s="284"/>
      <c r="H433" s="172"/>
      <c r="I433" s="204">
        <f>F433</f>
        <v>913.92011363057588</v>
      </c>
      <c r="J433" s="172"/>
      <c r="K433" s="172"/>
      <c r="L433" s="204">
        <f>I433</f>
        <v>913.92011363057588</v>
      </c>
      <c r="M433" s="307"/>
      <c r="N433" s="307"/>
      <c r="O433" s="150"/>
      <c r="P433" s="38"/>
      <c r="Q433" s="38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6.5" hidden="1" thickBot="1">
      <c r="A434" s="1" t="s">
        <v>186</v>
      </c>
      <c r="B434" s="1"/>
      <c r="C434" s="174">
        <f>SUM(C432:C433)</f>
        <v>135537.55302543895</v>
      </c>
      <c r="D434" s="205"/>
      <c r="E434" s="208"/>
      <c r="F434" s="207">
        <f>F432+F433</f>
        <v>71672.920113630578</v>
      </c>
      <c r="G434" s="741"/>
      <c r="H434" s="208"/>
      <c r="I434" s="207">
        <f>I432+I433</f>
        <v>72104.920113630578</v>
      </c>
      <c r="J434" s="205"/>
      <c r="K434" s="208"/>
      <c r="L434" s="207">
        <f ca="1">L432+L433</f>
        <v>72085.920113630578</v>
      </c>
      <c r="M434" s="274"/>
      <c r="N434" s="274"/>
      <c r="O434" s="333"/>
      <c r="P434" s="38"/>
      <c r="Q434" s="38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6.5" hidden="1" thickTop="1">
      <c r="A435" s="1"/>
      <c r="B435" s="1"/>
      <c r="C435" s="12"/>
      <c r="D435" s="200" t="s">
        <v>13</v>
      </c>
      <c r="E435" s="1"/>
      <c r="F435" s="2"/>
      <c r="G435" s="216" t="s">
        <v>13</v>
      </c>
      <c r="H435" s="1"/>
      <c r="I435" s="2" t="s">
        <v>13</v>
      </c>
      <c r="J435" s="216" t="s">
        <v>13</v>
      </c>
      <c r="K435" s="1"/>
      <c r="L435" s="2" t="s">
        <v>13</v>
      </c>
      <c r="M435" s="11"/>
      <c r="N435" s="11"/>
      <c r="O435" s="38"/>
      <c r="P435" s="38"/>
      <c r="Q435" s="38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idden="1">
      <c r="A436" s="156" t="s">
        <v>221</v>
      </c>
      <c r="B436" s="1"/>
      <c r="C436" s="1"/>
      <c r="D436" s="2"/>
      <c r="E436" s="1"/>
      <c r="F436" s="1"/>
      <c r="G436" s="516"/>
      <c r="H436" s="1"/>
      <c r="I436" s="1"/>
      <c r="J436" s="2"/>
      <c r="K436" s="1"/>
      <c r="L436" s="1"/>
      <c r="M436" s="11"/>
      <c r="N436" s="11"/>
      <c r="O436" s="38"/>
      <c r="P436" s="38"/>
      <c r="Q436" s="38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idden="1">
      <c r="A437" s="1" t="s">
        <v>215</v>
      </c>
      <c r="B437" s="1"/>
      <c r="C437" s="1"/>
      <c r="D437" s="2"/>
      <c r="E437" s="1"/>
      <c r="F437" s="1"/>
      <c r="G437" s="516"/>
      <c r="H437" s="1"/>
      <c r="I437" s="1"/>
      <c r="J437" s="2"/>
      <c r="K437" s="1"/>
      <c r="L437" s="1"/>
      <c r="M437" s="11"/>
      <c r="N437" s="11"/>
      <c r="O437" s="38"/>
      <c r="P437" s="38"/>
      <c r="Q437" s="38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idden="1">
      <c r="A438" s="1" t="s">
        <v>222</v>
      </c>
      <c r="B438" s="1"/>
      <c r="C438" s="1"/>
      <c r="D438" s="2"/>
      <c r="E438" s="1"/>
      <c r="F438" s="1"/>
      <c r="G438" s="516"/>
      <c r="H438" s="1"/>
      <c r="I438" s="1"/>
      <c r="J438" s="2"/>
      <c r="K438" s="1"/>
      <c r="L438" s="1"/>
      <c r="M438" s="11"/>
      <c r="N438" s="11"/>
      <c r="O438" s="38"/>
      <c r="P438" s="38"/>
      <c r="Q438" s="38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idden="1">
      <c r="A439" s="1" t="s">
        <v>197</v>
      </c>
      <c r="B439" s="1"/>
      <c r="C439" s="182"/>
      <c r="D439" s="2"/>
      <c r="E439" s="1"/>
      <c r="F439" s="1"/>
      <c r="G439" s="516"/>
      <c r="H439" s="1"/>
      <c r="I439" s="1"/>
      <c r="J439" s="2"/>
      <c r="K439" s="1"/>
      <c r="L439" s="1"/>
      <c r="M439" s="11"/>
      <c r="N439" s="11"/>
      <c r="O439" s="38"/>
      <c r="P439" s="38"/>
      <c r="Q439" s="38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idden="1">
      <c r="A440" s="1" t="s">
        <v>194</v>
      </c>
      <c r="B440" s="1"/>
      <c r="C440" s="182">
        <v>3</v>
      </c>
      <c r="D440" s="161">
        <f>$D$171</f>
        <v>118.32</v>
      </c>
      <c r="E440" s="186"/>
      <c r="F440" s="2">
        <f>ROUND(D440*$C440,0)</f>
        <v>355</v>
      </c>
      <c r="G440" s="506">
        <v>118.32</v>
      </c>
      <c r="H440" s="186"/>
      <c r="I440" s="2">
        <f>ROUND(G440*$C440,0)</f>
        <v>355</v>
      </c>
      <c r="J440" s="161">
        <f>$G$171</f>
        <v>118.32</v>
      </c>
      <c r="K440" s="186"/>
      <c r="L440" s="2">
        <f>ROUND(J440*$C440,0)</f>
        <v>355</v>
      </c>
      <c r="M440" s="11"/>
      <c r="N440" s="11"/>
      <c r="O440" s="38"/>
      <c r="P440" s="38"/>
      <c r="Q440" s="38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idden="1">
      <c r="A441" s="1" t="s">
        <v>195</v>
      </c>
      <c r="B441" s="1"/>
      <c r="C441" s="182">
        <v>73.671232876712295</v>
      </c>
      <c r="D441" s="161">
        <f>$D$172</f>
        <v>176.39999999999998</v>
      </c>
      <c r="E441" s="188"/>
      <c r="F441" s="2">
        <f>ROUND(D441*$C441,0)</f>
        <v>12996</v>
      </c>
      <c r="G441" s="506">
        <v>176.39999999999998</v>
      </c>
      <c r="H441" s="188"/>
      <c r="I441" s="2">
        <f>ROUND(G441*$C441,0)</f>
        <v>12996</v>
      </c>
      <c r="J441" s="161">
        <f>$G$172</f>
        <v>176.39999999999998</v>
      </c>
      <c r="K441" s="188"/>
      <c r="L441" s="2">
        <f>ROUND(J441*$C441,0)</f>
        <v>12996</v>
      </c>
      <c r="M441" s="11"/>
      <c r="N441" s="11"/>
      <c r="O441" s="38"/>
      <c r="P441" s="38"/>
      <c r="Q441" s="38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idden="1">
      <c r="A442" s="1" t="s">
        <v>196</v>
      </c>
      <c r="B442" s="1"/>
      <c r="C442" s="182">
        <v>2388.0986301369899</v>
      </c>
      <c r="D442" s="161">
        <f>$D$173</f>
        <v>12.48</v>
      </c>
      <c r="E442" s="188"/>
      <c r="F442" s="2">
        <f>ROUND(D442*$C442,0)</f>
        <v>29803</v>
      </c>
      <c r="G442" s="506">
        <v>12.48</v>
      </c>
      <c r="H442" s="188"/>
      <c r="I442" s="2">
        <f>ROUND(G442*$C442,0)</f>
        <v>29803</v>
      </c>
      <c r="J442" s="161">
        <f>$G$173</f>
        <v>12.48</v>
      </c>
      <c r="K442" s="188"/>
      <c r="L442" s="2">
        <f>ROUND(J442*$C442,0)</f>
        <v>29803</v>
      </c>
      <c r="M442" s="11"/>
      <c r="N442" s="11"/>
      <c r="O442" s="38"/>
      <c r="P442" s="38"/>
      <c r="Q442" s="38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idden="1">
      <c r="A443" s="1" t="s">
        <v>198</v>
      </c>
      <c r="B443" s="1"/>
      <c r="C443" s="182">
        <v>76.671232876712295</v>
      </c>
      <c r="D443" s="161"/>
      <c r="E443" s="186"/>
      <c r="F443" s="2"/>
      <c r="G443" s="506"/>
      <c r="H443" s="186"/>
      <c r="I443" s="2"/>
      <c r="J443" s="161"/>
      <c r="K443" s="186"/>
      <c r="L443" s="2"/>
      <c r="M443" s="11"/>
      <c r="N443" s="11"/>
      <c r="O443" s="38"/>
      <c r="P443" s="38"/>
      <c r="Q443" s="38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idden="1">
      <c r="A444" s="1" t="s">
        <v>223</v>
      </c>
      <c r="B444" s="1"/>
      <c r="C444" s="182">
        <v>851.87000000000069</v>
      </c>
      <c r="D444" s="161"/>
      <c r="E444" s="186"/>
      <c r="F444" s="2"/>
      <c r="G444" s="506"/>
      <c r="H444" s="186"/>
      <c r="I444" s="2"/>
      <c r="J444" s="161"/>
      <c r="K444" s="186"/>
      <c r="L444" s="2"/>
      <c r="M444" s="11"/>
      <c r="N444" s="11"/>
      <c r="O444" s="38"/>
      <c r="P444" s="38"/>
      <c r="Q444" s="38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idden="1">
      <c r="A445" s="1" t="s">
        <v>199</v>
      </c>
      <c r="B445" s="1"/>
      <c r="C445" s="182">
        <v>3462.2</v>
      </c>
      <c r="D445" s="189">
        <f>$D$180</f>
        <v>3.81</v>
      </c>
      <c r="E445" s="186"/>
      <c r="F445" s="2">
        <f>ROUND(D445*C445,0)</f>
        <v>13191</v>
      </c>
      <c r="G445" s="216">
        <v>3.81</v>
      </c>
      <c r="H445" s="186"/>
      <c r="I445" s="2">
        <f>ROUND(G445*$C445,0)</f>
        <v>13191</v>
      </c>
      <c r="J445" s="189">
        <f>$G$180</f>
        <v>3.81</v>
      </c>
      <c r="K445" s="186"/>
      <c r="L445" s="2">
        <f>ROUND(J445*$C445,0)</f>
        <v>13191</v>
      </c>
      <c r="M445" s="11"/>
      <c r="N445" s="11"/>
      <c r="O445" s="38"/>
      <c r="P445" s="38"/>
      <c r="Q445" s="38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idden="1">
      <c r="A446" s="1" t="s">
        <v>201</v>
      </c>
      <c r="B446" s="1"/>
      <c r="C446" s="182">
        <v>82574</v>
      </c>
      <c r="D446" s="162">
        <f>$D$181</f>
        <v>10.898999999999999</v>
      </c>
      <c r="E446" s="186" t="s">
        <v>178</v>
      </c>
      <c r="F446" s="2">
        <f>ROUND(D446*C446/100,0)</f>
        <v>9000</v>
      </c>
      <c r="G446" s="731">
        <v>11.222</v>
      </c>
      <c r="H446" s="186" t="s">
        <v>178</v>
      </c>
      <c r="I446" s="2">
        <f t="shared" ref="I446:I449" si="44">ROUND(G446*$C446/100,0)</f>
        <v>9266</v>
      </c>
      <c r="J446" s="162">
        <f ca="1">$J$181</f>
        <v>11.207000000000001</v>
      </c>
      <c r="K446" s="186" t="s">
        <v>178</v>
      </c>
      <c r="L446" s="2">
        <f t="shared" ref="L446:L449" ca="1" si="45">ROUND(J446*$C446/100,0)</f>
        <v>9254</v>
      </c>
      <c r="M446" s="11"/>
      <c r="N446" s="11"/>
      <c r="O446" s="38"/>
      <c r="P446" s="38"/>
      <c r="Q446" s="38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idden="1">
      <c r="A447" s="1" t="s">
        <v>202</v>
      </c>
      <c r="B447" s="1"/>
      <c r="C447" s="182">
        <v>47297</v>
      </c>
      <c r="D447" s="162">
        <f>$D$182</f>
        <v>7.3739999999999997</v>
      </c>
      <c r="E447" s="186" t="s">
        <v>178</v>
      </c>
      <c r="F447" s="2">
        <f>ROUND(D447*C447/100,0)</f>
        <v>3488</v>
      </c>
      <c r="G447" s="731">
        <v>7.6970000000000001</v>
      </c>
      <c r="H447" s="186" t="s">
        <v>178</v>
      </c>
      <c r="I447" s="2">
        <f t="shared" si="44"/>
        <v>3640</v>
      </c>
      <c r="J447" s="162">
        <f ca="1">$J$182</f>
        <v>7.6820000000000004</v>
      </c>
      <c r="K447" s="186" t="s">
        <v>178</v>
      </c>
      <c r="L447" s="2">
        <f t="shared" ca="1" si="45"/>
        <v>3633</v>
      </c>
      <c r="M447" s="11"/>
      <c r="N447" s="11"/>
      <c r="O447" s="38"/>
      <c r="P447" s="38"/>
      <c r="Q447" s="38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idden="1">
      <c r="A448" s="1" t="s">
        <v>203</v>
      </c>
      <c r="B448" s="1"/>
      <c r="C448" s="182">
        <v>0</v>
      </c>
      <c r="D448" s="162">
        <f>$D$183</f>
        <v>6.8529999999999998</v>
      </c>
      <c r="E448" s="186" t="s">
        <v>178</v>
      </c>
      <c r="F448" s="2">
        <f>ROUND(D448*C448/100,0)</f>
        <v>0</v>
      </c>
      <c r="G448" s="731">
        <v>7.1760000000000002</v>
      </c>
      <c r="H448" s="186" t="s">
        <v>178</v>
      </c>
      <c r="I448" s="2">
        <f t="shared" si="44"/>
        <v>0</v>
      </c>
      <c r="J448" s="162">
        <f ca="1">$J$183</f>
        <v>7.1609999999999996</v>
      </c>
      <c r="K448" s="186" t="s">
        <v>178</v>
      </c>
      <c r="L448" s="2">
        <f t="shared" ca="1" si="45"/>
        <v>0</v>
      </c>
      <c r="M448" s="11"/>
      <c r="N448" s="11"/>
      <c r="O448" s="38"/>
      <c r="P448" s="38"/>
      <c r="Q448" s="38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idden="1">
      <c r="A449" s="1" t="s">
        <v>204</v>
      </c>
      <c r="B449" s="1"/>
      <c r="C449" s="182">
        <v>775.923888888889</v>
      </c>
      <c r="D449" s="193">
        <f>$D$184</f>
        <v>58</v>
      </c>
      <c r="E449" s="186" t="s">
        <v>178</v>
      </c>
      <c r="F449" s="2">
        <f>ROUND(D449*C449/100,0)</f>
        <v>450</v>
      </c>
      <c r="G449" s="733">
        <v>58</v>
      </c>
      <c r="H449" s="186" t="s">
        <v>178</v>
      </c>
      <c r="I449" s="2">
        <f t="shared" si="44"/>
        <v>450</v>
      </c>
      <c r="J449" s="193">
        <f>$G$184</f>
        <v>58</v>
      </c>
      <c r="K449" s="186" t="s">
        <v>178</v>
      </c>
      <c r="L449" s="2">
        <f t="shared" si="45"/>
        <v>450</v>
      </c>
      <c r="M449" s="11"/>
      <c r="N449" s="11"/>
      <c r="O449" s="38"/>
      <c r="P449" s="38"/>
      <c r="Q449" s="38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idden="1">
      <c r="A450" s="194" t="s">
        <v>205</v>
      </c>
      <c r="B450" s="1"/>
      <c r="C450" s="182"/>
      <c r="D450" s="195">
        <f>$D$185</f>
        <v>-0.01</v>
      </c>
      <c r="E450" s="186"/>
      <c r="F450" s="2"/>
      <c r="G450" s="734">
        <v>-0.01</v>
      </c>
      <c r="H450" s="186"/>
      <c r="I450" s="2"/>
      <c r="J450" s="195">
        <v>-0.01</v>
      </c>
      <c r="K450" s="186"/>
      <c r="L450" s="2"/>
      <c r="M450" s="11"/>
      <c r="N450" s="11"/>
      <c r="O450" s="38"/>
      <c r="P450" s="38"/>
      <c r="Q450" s="38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idden="1">
      <c r="A451" s="1" t="s">
        <v>194</v>
      </c>
      <c r="B451" s="1"/>
      <c r="C451" s="182">
        <v>0</v>
      </c>
      <c r="D451" s="197">
        <f>D440</f>
        <v>118.32</v>
      </c>
      <c r="E451" s="184"/>
      <c r="F451" s="2">
        <f>-ROUND(D451*$C451/100,0)</f>
        <v>0</v>
      </c>
      <c r="G451" s="216">
        <v>118.32</v>
      </c>
      <c r="H451" s="184"/>
      <c r="I451" s="2">
        <f>-ROUND(G451*$C451/100,0)</f>
        <v>0</v>
      </c>
      <c r="J451" s="197">
        <f>J440</f>
        <v>118.32</v>
      </c>
      <c r="K451" s="184"/>
      <c r="L451" s="2">
        <f>-ROUND(J451*$C451/100,0)</f>
        <v>0</v>
      </c>
      <c r="M451" s="11"/>
      <c r="N451" s="11"/>
      <c r="O451" s="38"/>
      <c r="P451" s="38"/>
      <c r="Q451" s="38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idden="1">
      <c r="A452" s="1" t="s">
        <v>195</v>
      </c>
      <c r="B452" s="1"/>
      <c r="C452" s="182">
        <v>0</v>
      </c>
      <c r="D452" s="197">
        <f>D441</f>
        <v>176.39999999999998</v>
      </c>
      <c r="E452" s="184"/>
      <c r="F452" s="2">
        <f>-ROUND(D452*$C452/100,0)</f>
        <v>0</v>
      </c>
      <c r="G452" s="216">
        <v>176.39999999999998</v>
      </c>
      <c r="H452" s="184"/>
      <c r="I452" s="2">
        <f>-ROUND(G452*$C452/100,0)</f>
        <v>0</v>
      </c>
      <c r="J452" s="197">
        <f>J441</f>
        <v>176.39999999999998</v>
      </c>
      <c r="K452" s="184"/>
      <c r="L452" s="2">
        <f>-ROUND(J452*$C452/100,0)</f>
        <v>0</v>
      </c>
      <c r="M452" s="11"/>
      <c r="N452" s="11"/>
      <c r="O452" s="38"/>
      <c r="P452" s="38"/>
      <c r="Q452" s="38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idden="1">
      <c r="A453" s="1" t="s">
        <v>206</v>
      </c>
      <c r="B453" s="1"/>
      <c r="C453" s="182">
        <v>0</v>
      </c>
      <c r="D453" s="197">
        <f>D442</f>
        <v>12.48</v>
      </c>
      <c r="E453" s="184"/>
      <c r="F453" s="2">
        <f>-ROUND(D453*$C453/100,0)</f>
        <v>0</v>
      </c>
      <c r="G453" s="216">
        <v>12.48</v>
      </c>
      <c r="H453" s="184"/>
      <c r="I453" s="2">
        <f>-ROUND(G453*$C453/100,0)</f>
        <v>0</v>
      </c>
      <c r="J453" s="197">
        <f>J442</f>
        <v>12.48</v>
      </c>
      <c r="K453" s="184"/>
      <c r="L453" s="2">
        <f>-ROUND(J453*$C453/100,0)</f>
        <v>0</v>
      </c>
      <c r="M453" s="11"/>
      <c r="N453" s="11"/>
      <c r="O453" s="38"/>
      <c r="P453" s="38"/>
      <c r="Q453" s="38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idden="1">
      <c r="A454" s="1" t="s">
        <v>207</v>
      </c>
      <c r="B454" s="1"/>
      <c r="C454" s="182">
        <v>0</v>
      </c>
      <c r="D454" s="197">
        <f>D445</f>
        <v>3.81</v>
      </c>
      <c r="E454" s="186"/>
      <c r="F454" s="2">
        <f>-ROUND(D454*$C454/100,0)</f>
        <v>0</v>
      </c>
      <c r="G454" s="216">
        <v>3.81</v>
      </c>
      <c r="H454" s="186"/>
      <c r="I454" s="2">
        <f>-ROUND(G454*$C454/100,0)</f>
        <v>0</v>
      </c>
      <c r="J454" s="197">
        <f>J445</f>
        <v>3.81</v>
      </c>
      <c r="K454" s="186"/>
      <c r="L454" s="2">
        <f>-ROUND(J454*$C454/100,0)</f>
        <v>0</v>
      </c>
      <c r="M454" s="11"/>
      <c r="N454" s="11"/>
      <c r="O454" s="38"/>
      <c r="P454" s="38"/>
      <c r="Q454" s="38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idden="1">
      <c r="A455" s="1" t="s">
        <v>209</v>
      </c>
      <c r="B455" s="1"/>
      <c r="C455" s="182">
        <v>0</v>
      </c>
      <c r="D455" s="198">
        <f>D446</f>
        <v>10.898999999999999</v>
      </c>
      <c r="E455" s="186" t="s">
        <v>178</v>
      </c>
      <c r="F455" s="2">
        <f>ROUND(D455*$C455/100*D450,0)</f>
        <v>0</v>
      </c>
      <c r="G455" s="735">
        <v>11.222</v>
      </c>
      <c r="H455" s="186" t="s">
        <v>178</v>
      </c>
      <c r="I455" s="2">
        <f>ROUND(G455*$C455/100*G450,0)</f>
        <v>0</v>
      </c>
      <c r="J455" s="198">
        <f ca="1">J446</f>
        <v>11.207000000000001</v>
      </c>
      <c r="K455" s="186" t="s">
        <v>178</v>
      </c>
      <c r="L455" s="2">
        <f ca="1">ROUND(J455*$C455/100*J450,0)</f>
        <v>0</v>
      </c>
      <c r="M455" s="11"/>
      <c r="N455" s="11"/>
      <c r="O455" s="38"/>
      <c r="P455" s="38"/>
      <c r="Q455" s="38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idden="1">
      <c r="A456" s="1" t="s">
        <v>202</v>
      </c>
      <c r="B456" s="1"/>
      <c r="C456" s="182">
        <v>0</v>
      </c>
      <c r="D456" s="198">
        <f>D447</f>
        <v>7.3739999999999997</v>
      </c>
      <c r="E456" s="186" t="s">
        <v>178</v>
      </c>
      <c r="F456" s="2">
        <f>ROUND(D456*$C456/100*D450,0)</f>
        <v>0</v>
      </c>
      <c r="G456" s="735">
        <v>7.6970000000000001</v>
      </c>
      <c r="H456" s="186" t="s">
        <v>178</v>
      </c>
      <c r="I456" s="2">
        <f>ROUND(G456*$C456/100*G450,0)</f>
        <v>0</v>
      </c>
      <c r="J456" s="198">
        <f ca="1">J447</f>
        <v>7.6820000000000004</v>
      </c>
      <c r="K456" s="186" t="s">
        <v>178</v>
      </c>
      <c r="L456" s="2">
        <f ca="1">ROUND(J456*$C456/100*J450,0)</f>
        <v>0</v>
      </c>
      <c r="M456" s="11"/>
      <c r="N456" s="11"/>
      <c r="O456" s="38"/>
      <c r="P456" s="38"/>
      <c r="Q456" s="38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idden="1">
      <c r="A457" s="1" t="s">
        <v>203</v>
      </c>
      <c r="B457" s="1"/>
      <c r="C457" s="182">
        <v>0</v>
      </c>
      <c r="D457" s="198">
        <f>D448</f>
        <v>6.8529999999999998</v>
      </c>
      <c r="E457" s="186" t="s">
        <v>178</v>
      </c>
      <c r="F457" s="2">
        <f>ROUND(D457*$C457/100*D450,0)</f>
        <v>0</v>
      </c>
      <c r="G457" s="735">
        <v>7.1760000000000002</v>
      </c>
      <c r="H457" s="186" t="s">
        <v>178</v>
      </c>
      <c r="I457" s="2">
        <f>ROUND(G457*$C457/100*G450,0)</f>
        <v>0</v>
      </c>
      <c r="J457" s="198">
        <f ca="1">J448</f>
        <v>7.1609999999999996</v>
      </c>
      <c r="K457" s="186" t="s">
        <v>178</v>
      </c>
      <c r="L457" s="2">
        <f ca="1">ROUND(J457*$C457/100*J450,0)</f>
        <v>0</v>
      </c>
      <c r="M457" s="11"/>
      <c r="N457" s="11"/>
      <c r="O457" s="38"/>
      <c r="P457" s="38"/>
      <c r="Q457" s="38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idden="1">
      <c r="A458" s="1" t="s">
        <v>204</v>
      </c>
      <c r="B458" s="1"/>
      <c r="C458" s="182">
        <v>0</v>
      </c>
      <c r="D458" s="199">
        <f>D449</f>
        <v>58</v>
      </c>
      <c r="E458" s="186" t="s">
        <v>178</v>
      </c>
      <c r="F458" s="2">
        <f>ROUND(D458*$C458/100*D450,0)</f>
        <v>0</v>
      </c>
      <c r="G458" s="736">
        <v>58</v>
      </c>
      <c r="H458" s="186" t="s">
        <v>178</v>
      </c>
      <c r="I458" s="2">
        <f>ROUND(G458*$C458/100*G450,0)</f>
        <v>0</v>
      </c>
      <c r="J458" s="199">
        <f>J449</f>
        <v>58</v>
      </c>
      <c r="K458" s="186" t="s">
        <v>178</v>
      </c>
      <c r="L458" s="2">
        <f>ROUND(J458*$C458/100*J450,0)</f>
        <v>0</v>
      </c>
      <c r="M458" s="11"/>
      <c r="N458" s="11"/>
      <c r="O458" s="38"/>
      <c r="P458" s="38"/>
      <c r="Q458" s="38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idden="1">
      <c r="A459" s="1" t="s">
        <v>211</v>
      </c>
      <c r="B459" s="1"/>
      <c r="C459" s="182">
        <v>0</v>
      </c>
      <c r="D459" s="200">
        <v>60</v>
      </c>
      <c r="E459" s="186"/>
      <c r="F459" s="2">
        <f>ROUND(D459*C459,0)</f>
        <v>0</v>
      </c>
      <c r="G459" s="216">
        <v>60</v>
      </c>
      <c r="H459" s="186"/>
      <c r="I459" s="2">
        <f>ROUND(G459*$C459,0)</f>
        <v>0</v>
      </c>
      <c r="J459" s="200">
        <f>$G$194</f>
        <v>60</v>
      </c>
      <c r="K459" s="186"/>
      <c r="L459" s="2">
        <f>ROUND(J459*$C459,0)</f>
        <v>0</v>
      </c>
      <c r="M459" s="11"/>
      <c r="N459" s="11"/>
      <c r="O459" s="38"/>
      <c r="P459" s="38"/>
      <c r="Q459" s="38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idden="1">
      <c r="A460" s="1" t="s">
        <v>212</v>
      </c>
      <c r="B460" s="1"/>
      <c r="C460" s="182">
        <v>0</v>
      </c>
      <c r="D460" s="202">
        <v>-30</v>
      </c>
      <c r="E460" s="186" t="s">
        <v>178</v>
      </c>
      <c r="F460" s="2">
        <f>ROUND(D460*C460/100,0)</f>
        <v>0</v>
      </c>
      <c r="G460" s="737">
        <v>-30</v>
      </c>
      <c r="H460" s="186" t="s">
        <v>178</v>
      </c>
      <c r="I460" s="2">
        <f>ROUND(G460*$C460/100,0)</f>
        <v>0</v>
      </c>
      <c r="J460" s="202">
        <f>$G$195</f>
        <v>-30</v>
      </c>
      <c r="K460" s="186" t="s">
        <v>178</v>
      </c>
      <c r="L460" s="2">
        <f>ROUND(J460*$C460/100,0)</f>
        <v>0</v>
      </c>
      <c r="M460" s="11"/>
      <c r="N460" s="11"/>
      <c r="O460" s="38"/>
      <c r="P460" s="38"/>
      <c r="Q460" s="38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idden="1">
      <c r="A461" s="1" t="s">
        <v>185</v>
      </c>
      <c r="B461" s="1"/>
      <c r="C461" s="182">
        <f>SUM(C446:C448)</f>
        <v>129871</v>
      </c>
      <c r="D461" s="193"/>
      <c r="E461" s="186"/>
      <c r="F461" s="2">
        <f>SUM(F440:F460)</f>
        <v>69283</v>
      </c>
      <c r="G461" s="733"/>
      <c r="H461" s="186"/>
      <c r="I461" s="2">
        <f>SUM(I440:I460)</f>
        <v>69701</v>
      </c>
      <c r="J461" s="193"/>
      <c r="K461" s="186"/>
      <c r="L461" s="2">
        <f ca="1">SUM(L440:L460)</f>
        <v>69682</v>
      </c>
      <c r="M461" s="11"/>
      <c r="N461" s="11"/>
      <c r="O461" s="38"/>
      <c r="P461" s="38"/>
      <c r="Q461" s="38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idden="1">
      <c r="A462" s="1" t="s">
        <v>167</v>
      </c>
      <c r="B462" s="1"/>
      <c r="C462" s="212">
        <v>1187.1998842853066</v>
      </c>
      <c r="D462" s="172"/>
      <c r="E462" s="172"/>
      <c r="F462" s="204">
        <v>905.10456688004149</v>
      </c>
      <c r="G462" s="284"/>
      <c r="H462" s="172"/>
      <c r="I462" s="204">
        <f>F462</f>
        <v>905.10456688004149</v>
      </c>
      <c r="J462" s="172"/>
      <c r="K462" s="172"/>
      <c r="L462" s="204">
        <f>I462</f>
        <v>905.10456688004149</v>
      </c>
      <c r="M462" s="307"/>
      <c r="N462" s="307"/>
      <c r="O462" s="150"/>
      <c r="P462" s="38"/>
      <c r="Q462" s="38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6.5" hidden="1" thickBot="1">
      <c r="A463" s="1" t="s">
        <v>186</v>
      </c>
      <c r="B463" s="1"/>
      <c r="C463" s="174">
        <f>SUM(C461:C462)</f>
        <v>131058.19988428531</v>
      </c>
      <c r="D463" s="205"/>
      <c r="E463" s="208"/>
      <c r="F463" s="207">
        <f>F461+F462</f>
        <v>70188.104566880036</v>
      </c>
      <c r="G463" s="741"/>
      <c r="H463" s="208"/>
      <c r="I463" s="207">
        <f>I461+I462</f>
        <v>70606.104566880036</v>
      </c>
      <c r="J463" s="205"/>
      <c r="K463" s="208"/>
      <c r="L463" s="207">
        <f ca="1">L461+L462</f>
        <v>70587.104566880036</v>
      </c>
      <c r="M463" s="274"/>
      <c r="N463" s="274"/>
      <c r="O463" s="333"/>
      <c r="P463" s="38"/>
      <c r="Q463" s="38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6.5" hidden="1" thickTop="1">
      <c r="A464" s="1"/>
      <c r="B464" s="1"/>
      <c r="C464" s="12"/>
      <c r="D464" s="200" t="s">
        <v>13</v>
      </c>
      <c r="E464" s="1"/>
      <c r="F464" s="2"/>
      <c r="G464" s="216" t="s">
        <v>13</v>
      </c>
      <c r="H464" s="1"/>
      <c r="I464" s="2" t="s">
        <v>13</v>
      </c>
      <c r="J464" s="216" t="s">
        <v>13</v>
      </c>
      <c r="K464" s="1"/>
      <c r="L464" s="2" t="s">
        <v>13</v>
      </c>
      <c r="M464" s="11"/>
      <c r="N464" s="11"/>
      <c r="O464" s="38"/>
      <c r="P464" s="38"/>
      <c r="Q464" s="38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idden="1">
      <c r="A465" s="156" t="s">
        <v>221</v>
      </c>
      <c r="B465" s="1"/>
      <c r="C465" s="1"/>
      <c r="D465" s="2"/>
      <c r="E465" s="1"/>
      <c r="F465" s="1"/>
      <c r="G465" s="516"/>
      <c r="H465" s="1"/>
      <c r="I465" s="1"/>
      <c r="J465" s="2"/>
      <c r="K465" s="1"/>
      <c r="L465" s="1"/>
      <c r="M465" s="11"/>
      <c r="N465" s="11"/>
      <c r="O465" s="38"/>
      <c r="P465" s="38"/>
      <c r="Q465" s="38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idden="1">
      <c r="A466" s="1" t="s">
        <v>218</v>
      </c>
      <c r="B466" s="1"/>
      <c r="C466" s="1"/>
      <c r="D466" s="2"/>
      <c r="E466" s="1"/>
      <c r="F466" s="1"/>
      <c r="G466" s="516"/>
      <c r="H466" s="1"/>
      <c r="I466" s="1"/>
      <c r="J466" s="2"/>
      <c r="K466" s="1"/>
      <c r="L466" s="1"/>
      <c r="M466" s="11"/>
      <c r="N466" s="11"/>
      <c r="O466" s="38"/>
      <c r="P466" s="38"/>
      <c r="Q466" s="38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idden="1">
      <c r="A467" s="1" t="s">
        <v>222</v>
      </c>
      <c r="B467" s="1"/>
      <c r="C467" s="1"/>
      <c r="D467" s="2"/>
      <c r="E467" s="1"/>
      <c r="F467" s="1"/>
      <c r="G467" s="516"/>
      <c r="H467" s="1"/>
      <c r="I467" s="1"/>
      <c r="J467" s="2"/>
      <c r="K467" s="1"/>
      <c r="L467" s="1"/>
      <c r="M467" s="11"/>
      <c r="N467" s="11"/>
      <c r="O467" s="38"/>
      <c r="P467" s="38"/>
      <c r="Q467" s="38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idden="1">
      <c r="A468" s="1" t="s">
        <v>197</v>
      </c>
      <c r="B468" s="1"/>
      <c r="C468" s="182"/>
      <c r="D468" s="2"/>
      <c r="E468" s="1"/>
      <c r="F468" s="1"/>
      <c r="G468" s="516"/>
      <c r="H468" s="1"/>
      <c r="I468" s="1"/>
      <c r="J468" s="2"/>
      <c r="K468" s="1"/>
      <c r="L468" s="1"/>
      <c r="M468" s="11"/>
      <c r="N468" s="11"/>
      <c r="O468" s="38"/>
      <c r="P468" s="38"/>
      <c r="Q468" s="38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idden="1">
      <c r="A469" s="1" t="s">
        <v>194</v>
      </c>
      <c r="B469" s="1"/>
      <c r="C469" s="182">
        <v>0</v>
      </c>
      <c r="D469" s="161">
        <f>D440</f>
        <v>118.32</v>
      </c>
      <c r="E469" s="186"/>
      <c r="F469" s="2">
        <f>ROUND(D469*$C469,0)</f>
        <v>0</v>
      </c>
      <c r="G469" s="506">
        <v>118.32</v>
      </c>
      <c r="H469" s="186"/>
      <c r="I469" s="2">
        <f>ROUND(G469*$C469,0)</f>
        <v>0</v>
      </c>
      <c r="J469" s="161">
        <f>$G$171</f>
        <v>118.32</v>
      </c>
      <c r="K469" s="186"/>
      <c r="L469" s="2">
        <f>ROUND(J469*$C469,0)</f>
        <v>0</v>
      </c>
      <c r="M469" s="11"/>
      <c r="N469" s="11"/>
      <c r="O469" s="38"/>
      <c r="P469" s="38"/>
      <c r="Q469" s="38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idden="1">
      <c r="A470" s="1" t="s">
        <v>195</v>
      </c>
      <c r="B470" s="1"/>
      <c r="C470" s="182">
        <v>1</v>
      </c>
      <c r="D470" s="161">
        <f>D441</f>
        <v>176.39999999999998</v>
      </c>
      <c r="E470" s="188"/>
      <c r="F470" s="2">
        <f>ROUND(D470*$C470,0)</f>
        <v>176</v>
      </c>
      <c r="G470" s="506">
        <v>176.39999999999998</v>
      </c>
      <c r="H470" s="188"/>
      <c r="I470" s="2">
        <f>ROUND(G470*$C470,0)</f>
        <v>176</v>
      </c>
      <c r="J470" s="161">
        <f>$G$172</f>
        <v>176.39999999999998</v>
      </c>
      <c r="K470" s="188"/>
      <c r="L470" s="2">
        <f>ROUND(J470*$C470,0)</f>
        <v>176</v>
      </c>
      <c r="M470" s="11"/>
      <c r="N470" s="11"/>
      <c r="O470" s="38"/>
      <c r="P470" s="38"/>
      <c r="Q470" s="38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idden="1">
      <c r="A471" s="1" t="s">
        <v>196</v>
      </c>
      <c r="B471" s="1"/>
      <c r="C471" s="182">
        <v>66</v>
      </c>
      <c r="D471" s="161">
        <f>D442</f>
        <v>12.48</v>
      </c>
      <c r="E471" s="188"/>
      <c r="F471" s="2">
        <f>ROUND(D471*$C471,0)</f>
        <v>824</v>
      </c>
      <c r="G471" s="506">
        <v>12.48</v>
      </c>
      <c r="H471" s="188"/>
      <c r="I471" s="2">
        <f>ROUND(G471*$C471,0)</f>
        <v>824</v>
      </c>
      <c r="J471" s="161">
        <f>$G$173</f>
        <v>12.48</v>
      </c>
      <c r="K471" s="188"/>
      <c r="L471" s="2">
        <f>ROUND(J471*$C471,0)</f>
        <v>824</v>
      </c>
      <c r="M471" s="11"/>
      <c r="N471" s="11"/>
      <c r="O471" s="38"/>
      <c r="P471" s="38"/>
      <c r="Q471" s="38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idden="1">
      <c r="A472" s="1" t="s">
        <v>198</v>
      </c>
      <c r="B472" s="1"/>
      <c r="C472" s="182">
        <f>SUM(C469:C470)</f>
        <v>1</v>
      </c>
      <c r="D472" s="161"/>
      <c r="E472" s="186"/>
      <c r="F472" s="2"/>
      <c r="G472" s="506"/>
      <c r="H472" s="186"/>
      <c r="I472" s="2"/>
      <c r="J472" s="161"/>
      <c r="K472" s="186"/>
      <c r="L472" s="2"/>
      <c r="M472" s="11"/>
      <c r="N472" s="11"/>
      <c r="O472" s="38"/>
      <c r="P472" s="38"/>
      <c r="Q472" s="38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idden="1">
      <c r="A473" s="1" t="s">
        <v>223</v>
      </c>
      <c r="B473" s="1"/>
      <c r="C473" s="182">
        <v>11.0833333333333</v>
      </c>
      <c r="D473" s="161"/>
      <c r="E473" s="186"/>
      <c r="F473" s="2"/>
      <c r="G473" s="506"/>
      <c r="H473" s="186"/>
      <c r="I473" s="2"/>
      <c r="J473" s="161"/>
      <c r="K473" s="186"/>
      <c r="L473" s="2"/>
      <c r="M473" s="11"/>
      <c r="N473" s="11"/>
      <c r="O473" s="38"/>
      <c r="P473" s="38"/>
      <c r="Q473" s="38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idden="1">
      <c r="A474" s="1" t="s">
        <v>199</v>
      </c>
      <c r="B474" s="1"/>
      <c r="C474" s="182">
        <v>0</v>
      </c>
      <c r="D474" s="189">
        <f>D445</f>
        <v>3.81</v>
      </c>
      <c r="E474" s="186"/>
      <c r="F474" s="2">
        <f>ROUND(D474*C474,0)</f>
        <v>0</v>
      </c>
      <c r="G474" s="216">
        <v>3.81</v>
      </c>
      <c r="H474" s="186"/>
      <c r="I474" s="2">
        <f>ROUND(G474*$C474,0)</f>
        <v>0</v>
      </c>
      <c r="J474" s="189">
        <f>$G$180</f>
        <v>3.81</v>
      </c>
      <c r="K474" s="186"/>
      <c r="L474" s="2">
        <f>ROUND(J474*$C474,0)</f>
        <v>0</v>
      </c>
      <c r="M474" s="11"/>
      <c r="N474" s="11"/>
      <c r="O474" s="38"/>
      <c r="P474" s="38"/>
      <c r="Q474" s="38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idden="1">
      <c r="A475" s="1" t="s">
        <v>201</v>
      </c>
      <c r="B475" s="1"/>
      <c r="C475" s="182">
        <v>4201</v>
      </c>
      <c r="D475" s="162">
        <f>D446</f>
        <v>10.898999999999999</v>
      </c>
      <c r="E475" s="186" t="s">
        <v>178</v>
      </c>
      <c r="F475" s="2">
        <f>ROUND(D475*C475/100,0)</f>
        <v>458</v>
      </c>
      <c r="G475" s="731">
        <v>11.222</v>
      </c>
      <c r="H475" s="186" t="s">
        <v>178</v>
      </c>
      <c r="I475" s="2">
        <f t="shared" ref="I475:I478" si="46">ROUND(G475*$C475/100,0)</f>
        <v>471</v>
      </c>
      <c r="J475" s="162">
        <f ca="1">$J$181</f>
        <v>11.207000000000001</v>
      </c>
      <c r="K475" s="186" t="s">
        <v>178</v>
      </c>
      <c r="L475" s="2">
        <f t="shared" ref="L475:L478" ca="1" si="47">ROUND(J475*$C475/100,0)</f>
        <v>471</v>
      </c>
      <c r="M475" s="11"/>
      <c r="N475" s="11"/>
      <c r="O475" s="38"/>
      <c r="P475" s="38"/>
      <c r="Q475" s="38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idden="1">
      <c r="A476" s="1" t="s">
        <v>202</v>
      </c>
      <c r="B476" s="1"/>
      <c r="C476" s="182">
        <v>196</v>
      </c>
      <c r="D476" s="162">
        <f>D447</f>
        <v>7.3739999999999997</v>
      </c>
      <c r="E476" s="186" t="s">
        <v>178</v>
      </c>
      <c r="F476" s="2">
        <f>ROUND(D476*C476/100,0)</f>
        <v>14</v>
      </c>
      <c r="G476" s="731">
        <v>7.6970000000000001</v>
      </c>
      <c r="H476" s="186" t="s">
        <v>178</v>
      </c>
      <c r="I476" s="2">
        <f t="shared" si="46"/>
        <v>15</v>
      </c>
      <c r="J476" s="162">
        <f ca="1">$J$182</f>
        <v>7.6820000000000004</v>
      </c>
      <c r="K476" s="186" t="s">
        <v>178</v>
      </c>
      <c r="L476" s="2">
        <f t="shared" ca="1" si="47"/>
        <v>15</v>
      </c>
      <c r="M476" s="11"/>
      <c r="N476" s="11"/>
      <c r="O476" s="38"/>
      <c r="P476" s="38"/>
      <c r="Q476" s="38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idden="1">
      <c r="A477" s="1" t="s">
        <v>203</v>
      </c>
      <c r="B477" s="1"/>
      <c r="C477" s="182">
        <v>0</v>
      </c>
      <c r="D477" s="162">
        <f>D448</f>
        <v>6.8529999999999998</v>
      </c>
      <c r="E477" s="186" t="s">
        <v>178</v>
      </c>
      <c r="F477" s="2">
        <f>ROUND(D477*C477/100,0)</f>
        <v>0</v>
      </c>
      <c r="G477" s="731">
        <v>7.1760000000000002</v>
      </c>
      <c r="H477" s="186" t="s">
        <v>178</v>
      </c>
      <c r="I477" s="2">
        <f t="shared" si="46"/>
        <v>0</v>
      </c>
      <c r="J477" s="162">
        <f ca="1">$J$183</f>
        <v>7.1609999999999996</v>
      </c>
      <c r="K477" s="186" t="s">
        <v>178</v>
      </c>
      <c r="L477" s="2">
        <f t="shared" ca="1" si="47"/>
        <v>0</v>
      </c>
      <c r="M477" s="11"/>
      <c r="N477" s="11"/>
      <c r="O477" s="38"/>
      <c r="P477" s="38"/>
      <c r="Q477" s="38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idden="1">
      <c r="A478" s="1" t="s">
        <v>204</v>
      </c>
      <c r="B478" s="1"/>
      <c r="C478" s="182">
        <v>7.6</v>
      </c>
      <c r="D478" s="193">
        <f>D449</f>
        <v>58</v>
      </c>
      <c r="E478" s="186" t="s">
        <v>178</v>
      </c>
      <c r="F478" s="2">
        <f>ROUND(D478*C478/100,0)</f>
        <v>4</v>
      </c>
      <c r="G478" s="733">
        <v>58</v>
      </c>
      <c r="H478" s="186" t="s">
        <v>178</v>
      </c>
      <c r="I478" s="2">
        <f t="shared" si="46"/>
        <v>4</v>
      </c>
      <c r="J478" s="193">
        <f>$G$184</f>
        <v>58</v>
      </c>
      <c r="K478" s="186" t="s">
        <v>178</v>
      </c>
      <c r="L478" s="2">
        <f t="shared" si="47"/>
        <v>4</v>
      </c>
      <c r="M478" s="11"/>
      <c r="N478" s="11"/>
      <c r="O478" s="38"/>
      <c r="P478" s="38"/>
      <c r="Q478" s="38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idden="1">
      <c r="A479" s="194" t="s">
        <v>205</v>
      </c>
      <c r="B479" s="1"/>
      <c r="C479" s="182"/>
      <c r="D479" s="195">
        <f>$D$185</f>
        <v>-0.01</v>
      </c>
      <c r="E479" s="186"/>
      <c r="F479" s="2"/>
      <c r="G479" s="734">
        <v>-0.01</v>
      </c>
      <c r="H479" s="186"/>
      <c r="I479" s="2"/>
      <c r="J479" s="195">
        <v>-0.01</v>
      </c>
      <c r="K479" s="186"/>
      <c r="L479" s="2"/>
      <c r="M479" s="11"/>
      <c r="N479" s="11"/>
      <c r="O479" s="38"/>
      <c r="P479" s="38"/>
      <c r="Q479" s="38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idden="1">
      <c r="A480" s="1" t="s">
        <v>194</v>
      </c>
      <c r="B480" s="1"/>
      <c r="C480" s="182">
        <v>0</v>
      </c>
      <c r="D480" s="197">
        <f>D469</f>
        <v>118.32</v>
      </c>
      <c r="E480" s="184"/>
      <c r="F480" s="2">
        <f>-ROUND(D480*$C480/100,0)</f>
        <v>0</v>
      </c>
      <c r="G480" s="216">
        <v>118.32</v>
      </c>
      <c r="H480" s="184"/>
      <c r="I480" s="2">
        <f>-ROUND(G480*$C480/100,0)</f>
        <v>0</v>
      </c>
      <c r="J480" s="197">
        <f>J469</f>
        <v>118.32</v>
      </c>
      <c r="K480" s="184"/>
      <c r="L480" s="2">
        <f>-ROUND(J480*$C480/100,0)</f>
        <v>0</v>
      </c>
      <c r="M480" s="11"/>
      <c r="N480" s="11"/>
      <c r="O480" s="38"/>
      <c r="P480" s="38"/>
      <c r="Q480" s="38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idden="1">
      <c r="A481" s="1" t="s">
        <v>195</v>
      </c>
      <c r="B481" s="1"/>
      <c r="C481" s="182">
        <v>0</v>
      </c>
      <c r="D481" s="197">
        <f>D470</f>
        <v>176.39999999999998</v>
      </c>
      <c r="E481" s="184"/>
      <c r="F481" s="2">
        <f>-ROUND(D481*$C481/100,0)</f>
        <v>0</v>
      </c>
      <c r="G481" s="216">
        <v>176.39999999999998</v>
      </c>
      <c r="H481" s="184"/>
      <c r="I481" s="2">
        <f>-ROUND(G481*$C481/100,0)</f>
        <v>0</v>
      </c>
      <c r="J481" s="197">
        <f>J470</f>
        <v>176.39999999999998</v>
      </c>
      <c r="K481" s="184"/>
      <c r="L481" s="2">
        <f>-ROUND(J481*$C481/100,0)</f>
        <v>0</v>
      </c>
      <c r="M481" s="11"/>
      <c r="N481" s="11"/>
      <c r="O481" s="38"/>
      <c r="P481" s="38"/>
      <c r="Q481" s="38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idden="1">
      <c r="A482" s="1" t="s">
        <v>206</v>
      </c>
      <c r="B482" s="1"/>
      <c r="C482" s="182">
        <v>0</v>
      </c>
      <c r="D482" s="197">
        <f>D471</f>
        <v>12.48</v>
      </c>
      <c r="E482" s="184"/>
      <c r="F482" s="2">
        <f>-ROUND(D482*$C482/100,0)</f>
        <v>0</v>
      </c>
      <c r="G482" s="216">
        <v>12.48</v>
      </c>
      <c r="H482" s="184"/>
      <c r="I482" s="2">
        <f>-ROUND(G482*$C482/100,0)</f>
        <v>0</v>
      </c>
      <c r="J482" s="197">
        <f>J471</f>
        <v>12.48</v>
      </c>
      <c r="K482" s="184"/>
      <c r="L482" s="2">
        <f>-ROUND(J482*$C482/100,0)</f>
        <v>0</v>
      </c>
      <c r="M482" s="11"/>
      <c r="N482" s="11"/>
      <c r="O482" s="38"/>
      <c r="P482" s="38"/>
      <c r="Q482" s="38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idden="1">
      <c r="A483" s="1" t="s">
        <v>207</v>
      </c>
      <c r="B483" s="1"/>
      <c r="C483" s="182">
        <v>0</v>
      </c>
      <c r="D483" s="197">
        <f>D474</f>
        <v>3.81</v>
      </c>
      <c r="E483" s="186"/>
      <c r="F483" s="2">
        <f>-ROUND(D483*$C483/100,0)</f>
        <v>0</v>
      </c>
      <c r="G483" s="216">
        <v>3.81</v>
      </c>
      <c r="H483" s="186"/>
      <c r="I483" s="2">
        <f>-ROUND(G483*$C483/100,0)</f>
        <v>0</v>
      </c>
      <c r="J483" s="197">
        <f>J474</f>
        <v>3.81</v>
      </c>
      <c r="K483" s="186"/>
      <c r="L483" s="2">
        <f>-ROUND(J483*$C483/100,0)</f>
        <v>0</v>
      </c>
      <c r="M483" s="11"/>
      <c r="N483" s="11"/>
      <c r="O483" s="38"/>
      <c r="P483" s="38"/>
      <c r="Q483" s="38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idden="1">
      <c r="A484" s="1" t="s">
        <v>209</v>
      </c>
      <c r="B484" s="1"/>
      <c r="C484" s="182">
        <v>0</v>
      </c>
      <c r="D484" s="198">
        <f>D475</f>
        <v>10.898999999999999</v>
      </c>
      <c r="E484" s="186" t="s">
        <v>178</v>
      </c>
      <c r="F484" s="2">
        <f>ROUND(D484*$C484/100*D479,0)</f>
        <v>0</v>
      </c>
      <c r="G484" s="735">
        <v>11.222</v>
      </c>
      <c r="H484" s="186" t="s">
        <v>178</v>
      </c>
      <c r="I484" s="2">
        <f>ROUND(G484*$C484/100*G479,0)</f>
        <v>0</v>
      </c>
      <c r="J484" s="198">
        <f ca="1">J475</f>
        <v>11.207000000000001</v>
      </c>
      <c r="K484" s="186" t="s">
        <v>178</v>
      </c>
      <c r="L484" s="2">
        <f ca="1">ROUND(J484*$C484/100*J479,0)</f>
        <v>0</v>
      </c>
      <c r="M484" s="11"/>
      <c r="N484" s="11"/>
      <c r="O484" s="38"/>
      <c r="P484" s="38"/>
      <c r="Q484" s="38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idden="1">
      <c r="A485" s="1" t="s">
        <v>202</v>
      </c>
      <c r="B485" s="1"/>
      <c r="C485" s="182">
        <v>0</v>
      </c>
      <c r="D485" s="198">
        <f>D476</f>
        <v>7.3739999999999997</v>
      </c>
      <c r="E485" s="186" t="s">
        <v>178</v>
      </c>
      <c r="F485" s="2">
        <f>ROUND(D485*$C485/100*D479,0)</f>
        <v>0</v>
      </c>
      <c r="G485" s="735">
        <v>7.6970000000000001</v>
      </c>
      <c r="H485" s="186" t="s">
        <v>178</v>
      </c>
      <c r="I485" s="2">
        <f>ROUND(G485*$C485/100*G479,0)</f>
        <v>0</v>
      </c>
      <c r="J485" s="198">
        <f ca="1">J476</f>
        <v>7.6820000000000004</v>
      </c>
      <c r="K485" s="186" t="s">
        <v>178</v>
      </c>
      <c r="L485" s="2">
        <f ca="1">ROUND(J485*$C485/100*J479,0)</f>
        <v>0</v>
      </c>
      <c r="M485" s="11"/>
      <c r="N485" s="11"/>
      <c r="O485" s="38"/>
      <c r="P485" s="38"/>
      <c r="Q485" s="38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idden="1">
      <c r="A486" s="1" t="s">
        <v>203</v>
      </c>
      <c r="B486" s="1"/>
      <c r="C486" s="182">
        <v>0</v>
      </c>
      <c r="D486" s="198">
        <f>D477</f>
        <v>6.8529999999999998</v>
      </c>
      <c r="E486" s="186" t="s">
        <v>178</v>
      </c>
      <c r="F486" s="2">
        <f>ROUND(D486*$C486/100*D479,0)</f>
        <v>0</v>
      </c>
      <c r="G486" s="735">
        <v>7.1760000000000002</v>
      </c>
      <c r="H486" s="186" t="s">
        <v>178</v>
      </c>
      <c r="I486" s="2">
        <f>ROUND(G486*$C486/100*G479,0)</f>
        <v>0</v>
      </c>
      <c r="J486" s="198">
        <f ca="1">J477</f>
        <v>7.1609999999999996</v>
      </c>
      <c r="K486" s="186" t="s">
        <v>178</v>
      </c>
      <c r="L486" s="2">
        <f ca="1">ROUND(J486*$C486/100*J479,0)</f>
        <v>0</v>
      </c>
      <c r="M486" s="11"/>
      <c r="N486" s="11"/>
      <c r="O486" s="38"/>
      <c r="P486" s="38"/>
      <c r="Q486" s="38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idden="1">
      <c r="A487" s="1" t="s">
        <v>204</v>
      </c>
      <c r="B487" s="1"/>
      <c r="C487" s="182">
        <v>0</v>
      </c>
      <c r="D487" s="199">
        <f>D478</f>
        <v>58</v>
      </c>
      <c r="E487" s="186" t="s">
        <v>178</v>
      </c>
      <c r="F487" s="2">
        <f>ROUND(D487*$C487/100*D479,0)</f>
        <v>0</v>
      </c>
      <c r="G487" s="736">
        <v>58</v>
      </c>
      <c r="H487" s="186" t="s">
        <v>178</v>
      </c>
      <c r="I487" s="2">
        <f>ROUND(G487*$C487/100*G479,0)</f>
        <v>0</v>
      </c>
      <c r="J487" s="199">
        <f>J478</f>
        <v>58</v>
      </c>
      <c r="K487" s="186" t="s">
        <v>178</v>
      </c>
      <c r="L487" s="2">
        <f>ROUND(J487*$C487/100*J479,0)</f>
        <v>0</v>
      </c>
      <c r="M487" s="11"/>
      <c r="N487" s="11"/>
      <c r="O487" s="38"/>
      <c r="P487" s="38"/>
      <c r="Q487" s="38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idden="1">
      <c r="A488" s="1" t="s">
        <v>211</v>
      </c>
      <c r="B488" s="1"/>
      <c r="C488" s="182">
        <v>0</v>
      </c>
      <c r="D488" s="200">
        <v>60</v>
      </c>
      <c r="E488" s="186"/>
      <c r="F488" s="2">
        <f>ROUND(D488*C488,0)</f>
        <v>0</v>
      </c>
      <c r="G488" s="216">
        <v>60</v>
      </c>
      <c r="H488" s="186"/>
      <c r="I488" s="2">
        <f>ROUND(G488*$C488,0)</f>
        <v>0</v>
      </c>
      <c r="J488" s="200">
        <f>$G$194</f>
        <v>60</v>
      </c>
      <c r="K488" s="186"/>
      <c r="L488" s="2">
        <f>ROUND(J488*$C488,0)</f>
        <v>0</v>
      </c>
      <c r="M488" s="11"/>
      <c r="N488" s="11"/>
      <c r="O488" s="38"/>
      <c r="P488" s="38"/>
      <c r="Q488" s="38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idden="1">
      <c r="A489" s="1" t="s">
        <v>212</v>
      </c>
      <c r="B489" s="1"/>
      <c r="C489" s="182">
        <v>0</v>
      </c>
      <c r="D489" s="202">
        <v>-30</v>
      </c>
      <c r="E489" s="186" t="s">
        <v>178</v>
      </c>
      <c r="F489" s="2">
        <f>ROUND(D489*C489/100,0)</f>
        <v>0</v>
      </c>
      <c r="G489" s="737">
        <v>-30</v>
      </c>
      <c r="H489" s="186" t="s">
        <v>178</v>
      </c>
      <c r="I489" s="2">
        <f>ROUND(G489*$C489/100,0)</f>
        <v>0</v>
      </c>
      <c r="J489" s="202">
        <f>$G$195</f>
        <v>-30</v>
      </c>
      <c r="K489" s="186" t="s">
        <v>178</v>
      </c>
      <c r="L489" s="2">
        <f>ROUND(J489*$C489/100,0)</f>
        <v>0</v>
      </c>
      <c r="M489" s="11"/>
      <c r="N489" s="11"/>
      <c r="O489" s="38"/>
      <c r="P489" s="38"/>
      <c r="Q489" s="38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idden="1">
      <c r="A490" s="1" t="s">
        <v>185</v>
      </c>
      <c r="B490" s="1"/>
      <c r="C490" s="182">
        <f>SUM(C475:C477)</f>
        <v>4397</v>
      </c>
      <c r="D490" s="193"/>
      <c r="E490" s="186"/>
      <c r="F490" s="2">
        <f>SUM(F469:F489)</f>
        <v>1476</v>
      </c>
      <c r="G490" s="733"/>
      <c r="H490" s="186"/>
      <c r="I490" s="2">
        <f>SUM(I469:I489)</f>
        <v>1490</v>
      </c>
      <c r="J490" s="193"/>
      <c r="K490" s="186"/>
      <c r="L490" s="2">
        <f ca="1">SUM(L469:L489)</f>
        <v>1490</v>
      </c>
      <c r="M490" s="11"/>
      <c r="N490" s="11"/>
      <c r="O490" s="38"/>
      <c r="P490" s="38"/>
      <c r="Q490" s="38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idden="1">
      <c r="A491" s="1" t="s">
        <v>167</v>
      </c>
      <c r="B491" s="1"/>
      <c r="C491" s="212">
        <v>82.35314115363434</v>
      </c>
      <c r="D491" s="172"/>
      <c r="E491" s="172"/>
      <c r="F491" s="204">
        <v>8.8155467505343523</v>
      </c>
      <c r="G491" s="284"/>
      <c r="H491" s="172"/>
      <c r="I491" s="204">
        <f>F491</f>
        <v>8.8155467505343523</v>
      </c>
      <c r="J491" s="172"/>
      <c r="K491" s="172"/>
      <c r="L491" s="204">
        <f>I491</f>
        <v>8.8155467505343523</v>
      </c>
      <c r="M491" s="307"/>
      <c r="N491" s="307"/>
      <c r="O491" s="150"/>
      <c r="P491" s="38"/>
      <c r="Q491" s="38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6.5" hidden="1" thickBot="1">
      <c r="A492" s="1" t="s">
        <v>186</v>
      </c>
      <c r="B492" s="1"/>
      <c r="C492" s="174">
        <f>SUM(C490:C491)</f>
        <v>4479.3531411536342</v>
      </c>
      <c r="D492" s="205"/>
      <c r="E492" s="208"/>
      <c r="F492" s="207">
        <f>F490+F491</f>
        <v>1484.8155467505344</v>
      </c>
      <c r="G492" s="741"/>
      <c r="H492" s="208"/>
      <c r="I492" s="207">
        <f>I490+I491</f>
        <v>1498.8155467505344</v>
      </c>
      <c r="J492" s="205"/>
      <c r="K492" s="208"/>
      <c r="L492" s="207">
        <f ca="1">L490+L491</f>
        <v>1498.8155467505344</v>
      </c>
      <c r="M492" s="274"/>
      <c r="N492" s="274"/>
      <c r="O492" s="333"/>
      <c r="P492" s="38"/>
      <c r="Q492" s="38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>
      <c r="A493" s="1"/>
      <c r="B493" s="1"/>
      <c r="C493" s="213"/>
      <c r="D493" s="214"/>
      <c r="E493" s="14"/>
      <c r="F493" s="185"/>
      <c r="G493" s="742"/>
      <c r="H493" s="14"/>
      <c r="I493" s="185"/>
      <c r="J493" s="214"/>
      <c r="K493" s="14"/>
      <c r="L493" s="185"/>
      <c r="M493" s="274"/>
      <c r="N493" s="274"/>
      <c r="O493" s="333"/>
      <c r="P493" s="38"/>
      <c r="Q493" s="38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>
      <c r="A494" s="156" t="s">
        <v>555</v>
      </c>
      <c r="B494" s="1"/>
      <c r="C494" s="1"/>
      <c r="D494" s="12"/>
      <c r="E494" s="1"/>
      <c r="F494" s="170"/>
      <c r="G494" s="28"/>
      <c r="H494" s="1"/>
      <c r="I494" s="1"/>
      <c r="J494" s="12"/>
      <c r="K494" s="1"/>
      <c r="L494" s="1"/>
      <c r="M494" s="274"/>
      <c r="N494" s="274"/>
      <c r="O494" s="333"/>
      <c r="P494" s="38"/>
      <c r="Q494" s="38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>
      <c r="A495" s="1" t="s">
        <v>556</v>
      </c>
      <c r="B495" s="1"/>
      <c r="C495" s="1"/>
      <c r="D495" s="12"/>
      <c r="E495" s="1"/>
      <c r="F495" s="1"/>
      <c r="G495" s="731" t="s">
        <v>13</v>
      </c>
      <c r="H495" s="1"/>
      <c r="I495" s="1"/>
      <c r="J495" s="505" t="s">
        <v>13</v>
      </c>
      <c r="K495" s="1"/>
      <c r="L495" s="1"/>
      <c r="M495" s="274"/>
      <c r="N495" s="274"/>
      <c r="O495" s="333"/>
      <c r="P495" s="38"/>
      <c r="Q495" s="38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>
      <c r="A496" s="160"/>
      <c r="B496" s="1"/>
      <c r="C496" s="1"/>
      <c r="D496" s="12"/>
      <c r="E496" s="1"/>
      <c r="F496" s="1"/>
      <c r="G496" s="28"/>
      <c r="H496" s="1"/>
      <c r="I496" s="1"/>
      <c r="J496" s="12"/>
      <c r="K496" s="1"/>
      <c r="L496" s="1"/>
      <c r="M496" s="274"/>
      <c r="N496" s="274"/>
      <c r="O496" s="333"/>
      <c r="P496" s="38"/>
      <c r="Q496" s="38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>
      <c r="A497" s="1" t="s">
        <v>174</v>
      </c>
      <c r="B497" s="1"/>
      <c r="C497" s="12">
        <v>0</v>
      </c>
      <c r="D497" s="161">
        <v>17</v>
      </c>
      <c r="E497" s="1"/>
      <c r="F497" s="2">
        <f>C497*D497</f>
        <v>0</v>
      </c>
      <c r="G497" s="506">
        <v>17</v>
      </c>
      <c r="H497" s="1"/>
      <c r="I497" s="2">
        <f>C497*G497</f>
        <v>0</v>
      </c>
      <c r="J497" s="164">
        <v>17</v>
      </c>
      <c r="K497" s="1"/>
      <c r="L497" s="2">
        <f>F497*J497</f>
        <v>0</v>
      </c>
      <c r="M497" s="274"/>
      <c r="N497" s="274"/>
      <c r="O497" s="333"/>
      <c r="P497" s="38"/>
      <c r="Q497" s="38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>
      <c r="A498" s="1" t="s">
        <v>553</v>
      </c>
      <c r="B498" s="1"/>
      <c r="C498" s="12">
        <v>0</v>
      </c>
      <c r="D498" s="161">
        <v>2</v>
      </c>
      <c r="E498" s="1"/>
      <c r="F498" s="2">
        <f>C498*D498</f>
        <v>0</v>
      </c>
      <c r="G498" s="506">
        <v>2</v>
      </c>
      <c r="H498" s="1"/>
      <c r="I498" s="2">
        <f>C498*G498</f>
        <v>0</v>
      </c>
      <c r="J498" s="164">
        <v>2</v>
      </c>
      <c r="K498" s="1"/>
      <c r="L498" s="2">
        <f>F498*J498</f>
        <v>0</v>
      </c>
      <c r="M498" s="274"/>
      <c r="N498" s="274"/>
      <c r="O498" s="333"/>
      <c r="P498" s="38"/>
      <c r="Q498" s="38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>
      <c r="A499" s="1" t="s">
        <v>559</v>
      </c>
      <c r="B499" s="1"/>
      <c r="C499" s="12">
        <v>0</v>
      </c>
      <c r="D499" s="162">
        <v>19.25</v>
      </c>
      <c r="E499" s="1" t="s">
        <v>178</v>
      </c>
      <c r="F499" s="2">
        <f>C499*D499/100</f>
        <v>0</v>
      </c>
      <c r="G499" s="731">
        <v>19.573245402690997</v>
      </c>
      <c r="H499" s="1" t="s">
        <v>178</v>
      </c>
      <c r="I499" s="2">
        <f>C499*G499/100</f>
        <v>0</v>
      </c>
      <c r="J499" s="162">
        <f t="shared" ref="J499:J500" ca="1" si="48">ROUND(G499+($O$544/$C$575)*100,3)</f>
        <v>19.559000000000001</v>
      </c>
      <c r="K499" s="1" t="s">
        <v>178</v>
      </c>
      <c r="L499" s="2">
        <f ca="1">F499*J499/100</f>
        <v>0</v>
      </c>
      <c r="M499" s="274"/>
      <c r="N499" s="274"/>
      <c r="O499" s="333"/>
      <c r="P499" s="38"/>
      <c r="Q499" s="38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>
      <c r="A500" s="1" t="s">
        <v>179</v>
      </c>
      <c r="B500" s="1"/>
      <c r="C500" s="12">
        <v>0</v>
      </c>
      <c r="D500" s="162">
        <v>7.7779999999999996</v>
      </c>
      <c r="E500" s="1" t="s">
        <v>178</v>
      </c>
      <c r="F500" s="2">
        <f>C500*D500/100</f>
        <v>0</v>
      </c>
      <c r="G500" s="731">
        <v>8.1012454026909975</v>
      </c>
      <c r="H500" s="1" t="s">
        <v>178</v>
      </c>
      <c r="I500" s="2">
        <f>C500*G500/100</f>
        <v>0</v>
      </c>
      <c r="J500" s="162">
        <f t="shared" ca="1" si="48"/>
        <v>8.0869999999999997</v>
      </c>
      <c r="K500" s="1" t="s">
        <v>178</v>
      </c>
      <c r="L500" s="2">
        <f ca="1">F500*J500/100</f>
        <v>0</v>
      </c>
      <c r="M500" s="274"/>
      <c r="N500" s="274"/>
      <c r="O500" s="333"/>
      <c r="P500" s="38"/>
      <c r="Q500" s="38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>
      <c r="A501" s="1" t="s">
        <v>558</v>
      </c>
      <c r="B501" s="1"/>
      <c r="C501" s="12">
        <v>0</v>
      </c>
      <c r="D501" s="162">
        <v>-1.8660000000000001</v>
      </c>
      <c r="E501" s="1" t="s">
        <v>178</v>
      </c>
      <c r="F501" s="2">
        <f>C501*D501/100</f>
        <v>0</v>
      </c>
      <c r="G501" s="731">
        <v>-1.8660000000000001</v>
      </c>
      <c r="H501" s="1" t="s">
        <v>178</v>
      </c>
      <c r="I501" s="2">
        <f>C501*G501/100</f>
        <v>0</v>
      </c>
      <c r="J501" s="162">
        <v>-1.8660000000000001</v>
      </c>
      <c r="K501" s="1" t="s">
        <v>178</v>
      </c>
      <c r="L501" s="2">
        <f>F501*J501/100</f>
        <v>0</v>
      </c>
      <c r="M501" s="274"/>
      <c r="N501" s="274"/>
      <c r="O501" s="333"/>
      <c r="P501" s="38"/>
      <c r="Q501" s="38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>
      <c r="A502" s="1" t="s">
        <v>185</v>
      </c>
      <c r="B502" s="168"/>
      <c r="C502" s="12">
        <v>0</v>
      </c>
      <c r="D502" s="518"/>
      <c r="E502" s="2"/>
      <c r="F502" s="2">
        <f>SUM(F497:F500)</f>
        <v>0</v>
      </c>
      <c r="G502" s="516"/>
      <c r="H502" s="2"/>
      <c r="I502" s="2">
        <f>SUM(I497:I500)</f>
        <v>0</v>
      </c>
      <c r="J502" s="2"/>
      <c r="K502" s="2"/>
      <c r="L502" s="2">
        <f ca="1">SUM(L497:L500)</f>
        <v>0</v>
      </c>
      <c r="M502" s="274"/>
      <c r="N502" s="274"/>
      <c r="O502" s="333"/>
      <c r="P502" s="38"/>
      <c r="Q502" s="38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>
      <c r="A503" s="1" t="s">
        <v>167</v>
      </c>
      <c r="B503" s="170"/>
      <c r="C503" s="171">
        <v>0</v>
      </c>
      <c r="D503" s="172"/>
      <c r="E503" s="172"/>
      <c r="F503" s="173">
        <v>0</v>
      </c>
      <c r="G503" s="284"/>
      <c r="H503" s="172"/>
      <c r="I503" s="173">
        <v>0</v>
      </c>
      <c r="J503" s="172"/>
      <c r="K503" s="172"/>
      <c r="L503" s="173">
        <v>0</v>
      </c>
      <c r="M503" s="274"/>
      <c r="N503" s="274"/>
      <c r="O503" s="333"/>
      <c r="P503" s="38"/>
      <c r="Q503" s="38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6.5" thickBot="1">
      <c r="A504" s="1" t="s">
        <v>186</v>
      </c>
      <c r="B504" s="1"/>
      <c r="C504" s="174">
        <v>0</v>
      </c>
      <c r="D504" s="175"/>
      <c r="E504" s="175"/>
      <c r="F504" s="175">
        <f>F502+F503</f>
        <v>0</v>
      </c>
      <c r="G504" s="730"/>
      <c r="H504" s="175"/>
      <c r="I504" s="175">
        <f>I502+I503</f>
        <v>0</v>
      </c>
      <c r="J504" s="175"/>
      <c r="K504" s="175"/>
      <c r="L504" s="175">
        <f ca="1">L502+L503</f>
        <v>0</v>
      </c>
      <c r="M504" s="274"/>
      <c r="N504" s="274"/>
      <c r="O504" s="333"/>
      <c r="P504" s="38"/>
      <c r="Q504" s="38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6.5" thickTop="1">
      <c r="A505" s="1"/>
      <c r="B505" s="1"/>
      <c r="C505" s="12"/>
      <c r="D505" s="200" t="s">
        <v>13</v>
      </c>
      <c r="E505" s="1"/>
      <c r="F505" s="2"/>
      <c r="G505" s="216" t="s">
        <v>13</v>
      </c>
      <c r="H505" s="1"/>
      <c r="I505" s="2" t="s">
        <v>13</v>
      </c>
      <c r="J505" s="216" t="s">
        <v>13</v>
      </c>
      <c r="K505" s="1"/>
      <c r="L505" s="2" t="s">
        <v>13</v>
      </c>
      <c r="M505" s="11"/>
      <c r="N505" s="11"/>
      <c r="O505" s="38"/>
      <c r="P505" s="38"/>
      <c r="Q505" s="38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>
      <c r="A506" s="156" t="s">
        <v>224</v>
      </c>
      <c r="B506" s="1"/>
      <c r="C506" s="217"/>
      <c r="D506" s="2"/>
      <c r="E506" s="1"/>
      <c r="F506" s="1"/>
      <c r="G506" s="516"/>
      <c r="H506" s="1"/>
      <c r="I506" s="2" t="s">
        <v>13</v>
      </c>
      <c r="J506" s="2"/>
      <c r="K506" s="1"/>
      <c r="L506" s="2" t="s">
        <v>13</v>
      </c>
      <c r="M506" s="11"/>
      <c r="N506" s="11"/>
      <c r="O506" s="38"/>
      <c r="P506" s="38"/>
      <c r="Q506" s="38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>
      <c r="A507" s="186" t="s">
        <v>139</v>
      </c>
      <c r="B507" s="1"/>
      <c r="C507" s="1" t="s">
        <v>13</v>
      </c>
      <c r="D507" s="2"/>
      <c r="E507" s="1"/>
      <c r="F507" s="1"/>
      <c r="G507" s="516"/>
      <c r="H507" s="1"/>
      <c r="I507" s="1"/>
      <c r="J507" s="2"/>
      <c r="K507" s="1"/>
      <c r="L507" s="1"/>
      <c r="M507" s="11"/>
      <c r="N507" s="11"/>
      <c r="O507" s="38"/>
      <c r="P507" s="38"/>
      <c r="Q507" s="38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>
      <c r="A508" s="186"/>
      <c r="B508" s="1"/>
      <c r="C508" s="1"/>
      <c r="D508" s="2"/>
      <c r="E508" s="1"/>
      <c r="F508" s="1"/>
      <c r="G508" s="516"/>
      <c r="H508" s="1"/>
      <c r="I508" s="1"/>
      <c r="J508" s="2"/>
      <c r="K508" s="1"/>
      <c r="L508" s="1"/>
      <c r="M508" s="11"/>
      <c r="N508" s="11"/>
      <c r="O508" s="38"/>
      <c r="P508" s="38"/>
      <c r="Q508" s="38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>
      <c r="A509" s="186" t="s">
        <v>197</v>
      </c>
      <c r="B509" s="1"/>
      <c r="C509" s="182"/>
      <c r="D509" s="2"/>
      <c r="E509" s="1"/>
      <c r="F509" s="1"/>
      <c r="G509" s="516"/>
      <c r="H509" s="1"/>
      <c r="I509" s="1"/>
      <c r="J509" s="2"/>
      <c r="K509" s="1"/>
      <c r="L509" s="1"/>
      <c r="M509" s="11"/>
      <c r="N509" s="11"/>
      <c r="O509" s="38"/>
      <c r="P509" s="38"/>
      <c r="Q509" s="38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>
      <c r="A510" s="186" t="s">
        <v>225</v>
      </c>
      <c r="B510" s="1"/>
      <c r="C510" s="182">
        <v>0</v>
      </c>
      <c r="D510" s="218">
        <f>D547</f>
        <v>248</v>
      </c>
      <c r="E510" s="186"/>
      <c r="F510" s="184">
        <f>ROUND(D510*$C510,0)</f>
        <v>0</v>
      </c>
      <c r="G510" s="506">
        <v>248</v>
      </c>
      <c r="H510" s="186"/>
      <c r="I510" s="184">
        <f>ROUND(G510*$C510,0)</f>
        <v>0</v>
      </c>
      <c r="J510" s="218">
        <f>J547</f>
        <v>248</v>
      </c>
      <c r="K510" s="186"/>
      <c r="L510" s="184">
        <f>ROUND(J510*$C510,0)</f>
        <v>0</v>
      </c>
      <c r="M510" s="11"/>
      <c r="N510" s="11"/>
      <c r="O510" s="38"/>
      <c r="P510" s="38"/>
      <c r="Q510" s="38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>
      <c r="A511" s="186" t="s">
        <v>226</v>
      </c>
      <c r="B511" s="1"/>
      <c r="C511" s="182">
        <v>0</v>
      </c>
      <c r="D511" s="218">
        <f>D548</f>
        <v>93</v>
      </c>
      <c r="E511" s="186"/>
      <c r="F511" s="184">
        <f>ROUND(D511*$C511,0)</f>
        <v>0</v>
      </c>
      <c r="G511" s="506">
        <v>93</v>
      </c>
      <c r="H511" s="186"/>
      <c r="I511" s="184">
        <f>ROUND(G511*$C511,0)</f>
        <v>0</v>
      </c>
      <c r="J511" s="218">
        <f>J548</f>
        <v>93</v>
      </c>
      <c r="K511" s="186"/>
      <c r="L511" s="184">
        <f>ROUND(J511*$C511,0)</f>
        <v>0</v>
      </c>
      <c r="M511" s="11"/>
      <c r="N511" s="11"/>
      <c r="O511" s="38"/>
      <c r="P511" s="38"/>
      <c r="Q511" s="38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>
      <c r="A512" s="186" t="s">
        <v>227</v>
      </c>
      <c r="B512" s="1"/>
      <c r="C512" s="182">
        <v>0</v>
      </c>
      <c r="D512" s="218">
        <f>D549</f>
        <v>185</v>
      </c>
      <c r="E512" s="188"/>
      <c r="F512" s="184">
        <f>ROUND(D512*$C512,0)</f>
        <v>0</v>
      </c>
      <c r="G512" s="506">
        <v>185</v>
      </c>
      <c r="H512" s="188"/>
      <c r="I512" s="184">
        <f>ROUND(G512*$C512,0)</f>
        <v>0</v>
      </c>
      <c r="J512" s="218">
        <f>J549</f>
        <v>185</v>
      </c>
      <c r="K512" s="188"/>
      <c r="L512" s="184">
        <f>ROUND(J512*$C512,0)</f>
        <v>0</v>
      </c>
      <c r="M512" s="11"/>
      <c r="N512" s="11"/>
      <c r="O512" s="38"/>
      <c r="P512" s="38"/>
      <c r="Q512" s="38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>
      <c r="A513" s="186" t="s">
        <v>198</v>
      </c>
      <c r="B513" s="1"/>
      <c r="C513" s="182">
        <f>SUM(C510:C512)</f>
        <v>0</v>
      </c>
      <c r="D513" s="218"/>
      <c r="E513" s="186"/>
      <c r="F513" s="184"/>
      <c r="G513" s="506"/>
      <c r="H513" s="186"/>
      <c r="I513" s="184"/>
      <c r="J513" s="218"/>
      <c r="K513" s="186"/>
      <c r="L513" s="184"/>
      <c r="M513" s="11"/>
      <c r="N513" s="11"/>
      <c r="O513" s="38"/>
      <c r="P513" s="38"/>
      <c r="Q513" s="38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>
      <c r="A514" s="186" t="s">
        <v>226</v>
      </c>
      <c r="B514" s="1"/>
      <c r="C514" s="182">
        <v>0</v>
      </c>
      <c r="D514" s="218">
        <f>D551</f>
        <v>1.8</v>
      </c>
      <c r="E514" s="186" t="s">
        <v>13</v>
      </c>
      <c r="F514" s="184">
        <f>ROUND(D514*$C514,0)</f>
        <v>0</v>
      </c>
      <c r="G514" s="506">
        <v>1.8</v>
      </c>
      <c r="H514" s="186" t="s">
        <v>13</v>
      </c>
      <c r="I514" s="184">
        <f>ROUND(G514*$C514,0)</f>
        <v>0</v>
      </c>
      <c r="J514" s="218">
        <f>J551</f>
        <v>1.8</v>
      </c>
      <c r="K514" s="186" t="s">
        <v>13</v>
      </c>
      <c r="L514" s="184">
        <f>ROUND(J514*$C514,0)</f>
        <v>0</v>
      </c>
      <c r="M514" s="11"/>
      <c r="N514" s="11"/>
      <c r="O514" s="38"/>
      <c r="P514" s="38"/>
      <c r="Q514" s="38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>
      <c r="A515" s="186" t="s">
        <v>227</v>
      </c>
      <c r="B515" s="1"/>
      <c r="C515" s="182">
        <v>0</v>
      </c>
      <c r="D515" s="218">
        <f>D552</f>
        <v>1.48</v>
      </c>
      <c r="E515" s="186" t="s">
        <v>13</v>
      </c>
      <c r="F515" s="184">
        <f>ROUND(D515*$C515,0)</f>
        <v>0</v>
      </c>
      <c r="G515" s="506">
        <v>1.48</v>
      </c>
      <c r="H515" s="186" t="s">
        <v>13</v>
      </c>
      <c r="I515" s="184">
        <f>ROUND(G515*$C515,0)</f>
        <v>0</v>
      </c>
      <c r="J515" s="218">
        <f>J552</f>
        <v>1.48</v>
      </c>
      <c r="K515" s="186" t="s">
        <v>13</v>
      </c>
      <c r="L515" s="184">
        <f>ROUND(J515*$C515,0)</f>
        <v>0</v>
      </c>
      <c r="M515" s="11"/>
      <c r="N515" s="11"/>
      <c r="O515" s="38"/>
      <c r="P515" s="38"/>
      <c r="Q515" s="38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>
      <c r="A516" s="172" t="s">
        <v>228</v>
      </c>
      <c r="B516" s="1"/>
      <c r="C516" s="182"/>
      <c r="D516" s="218"/>
      <c r="E516" s="186"/>
      <c r="F516" s="184"/>
      <c r="G516" s="506"/>
      <c r="H516" s="186"/>
      <c r="I516" s="184"/>
      <c r="J516" s="218"/>
      <c r="K516" s="186"/>
      <c r="L516" s="184"/>
      <c r="M516" s="11"/>
      <c r="N516" s="11"/>
      <c r="O516" s="38"/>
      <c r="P516" s="38"/>
      <c r="Q516" s="38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>
      <c r="A517" s="172" t="s">
        <v>229</v>
      </c>
      <c r="B517" s="1"/>
      <c r="C517" s="182">
        <v>0</v>
      </c>
      <c r="D517" s="218">
        <f>D554</f>
        <v>6.3</v>
      </c>
      <c r="E517" s="186"/>
      <c r="F517" s="184">
        <f>ROUND(D517*$C517,0)</f>
        <v>0</v>
      </c>
      <c r="G517" s="506">
        <v>6.3</v>
      </c>
      <c r="H517" s="186"/>
      <c r="I517" s="184">
        <f>ROUND(G517*$C517,0)</f>
        <v>0</v>
      </c>
      <c r="J517" s="218">
        <f>J554</f>
        <v>6.3</v>
      </c>
      <c r="K517" s="186"/>
      <c r="L517" s="184">
        <f>ROUND(J517*$C517,0)</f>
        <v>0</v>
      </c>
      <c r="M517" s="11"/>
      <c r="N517" s="11"/>
      <c r="O517" s="38"/>
      <c r="P517" s="38"/>
      <c r="Q517" s="38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>
      <c r="A518" s="186" t="s">
        <v>230</v>
      </c>
      <c r="B518" s="1"/>
      <c r="C518" s="182"/>
      <c r="D518" s="219"/>
      <c r="E518" s="184"/>
      <c r="F518" s="184"/>
      <c r="G518" s="216"/>
      <c r="H518" s="184"/>
      <c r="I518" s="184"/>
      <c r="J518" s="219"/>
      <c r="K518" s="184"/>
      <c r="L518" s="184"/>
      <c r="M518" s="11"/>
      <c r="N518" s="11"/>
      <c r="O518" s="38"/>
      <c r="P518" s="38"/>
      <c r="Q518" s="38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>
      <c r="A519" s="186" t="s">
        <v>231</v>
      </c>
      <c r="B519" s="1"/>
      <c r="C519" s="182">
        <v>0</v>
      </c>
      <c r="D519" s="198">
        <f>D557</f>
        <v>5.7480000000000002</v>
      </c>
      <c r="E519" s="184" t="s">
        <v>178</v>
      </c>
      <c r="F519" s="184">
        <f>ROUND($C519*D519/100,0)</f>
        <v>0</v>
      </c>
      <c r="G519" s="735">
        <v>6.0709999999999997</v>
      </c>
      <c r="H519" s="184" t="s">
        <v>178</v>
      </c>
      <c r="I519" s="184">
        <f>ROUND($C519*G519/100,0)</f>
        <v>0</v>
      </c>
      <c r="J519" s="198">
        <f ca="1">J557</f>
        <v>6.0570000000000004</v>
      </c>
      <c r="K519" s="184" t="s">
        <v>178</v>
      </c>
      <c r="L519" s="184">
        <f ca="1">ROUND($C519*J519/100,0)</f>
        <v>0</v>
      </c>
      <c r="M519" s="11"/>
      <c r="N519" s="11"/>
      <c r="O519" s="38"/>
      <c r="P519" s="38"/>
      <c r="Q519" s="38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>
      <c r="A520" s="186" t="s">
        <v>203</v>
      </c>
      <c r="B520" s="1"/>
      <c r="C520" s="182">
        <v>0</v>
      </c>
      <c r="D520" s="198">
        <f>D558</f>
        <v>5.2460000000000004</v>
      </c>
      <c r="E520" s="184" t="s">
        <v>178</v>
      </c>
      <c r="F520" s="184">
        <f>ROUND($C520*D520/100,0)</f>
        <v>0</v>
      </c>
      <c r="G520" s="735">
        <v>5.569</v>
      </c>
      <c r="H520" s="184" t="s">
        <v>178</v>
      </c>
      <c r="I520" s="184">
        <f>ROUND($C520*G520/100,0)</f>
        <v>0</v>
      </c>
      <c r="J520" s="198">
        <f ca="1">J558</f>
        <v>5.5549999999999997</v>
      </c>
      <c r="K520" s="184" t="s">
        <v>178</v>
      </c>
      <c r="L520" s="184">
        <f ca="1">ROUND($C520*J520/100,0)</f>
        <v>0</v>
      </c>
      <c r="M520" s="11"/>
      <c r="N520" s="11"/>
      <c r="O520" s="38"/>
      <c r="P520" s="38"/>
      <c r="Q520" s="38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>
      <c r="A521" s="186" t="s">
        <v>204</v>
      </c>
      <c r="B521" s="1"/>
      <c r="C521" s="182">
        <v>0</v>
      </c>
      <c r="D521" s="225">
        <f>D559</f>
        <v>58</v>
      </c>
      <c r="E521" s="184" t="s">
        <v>178</v>
      </c>
      <c r="F521" s="184">
        <f>ROUND(D521*$C521/100,0)</f>
        <v>0</v>
      </c>
      <c r="G521" s="743">
        <v>58</v>
      </c>
      <c r="H521" s="184" t="s">
        <v>178</v>
      </c>
      <c r="I521" s="184">
        <f>ROUND(G521*$C521,0)</f>
        <v>0</v>
      </c>
      <c r="J521" s="225">
        <f>J559</f>
        <v>58</v>
      </c>
      <c r="K521" s="184" t="s">
        <v>178</v>
      </c>
      <c r="L521" s="184">
        <f>ROUND(J521*$C521,0)</f>
        <v>0</v>
      </c>
      <c r="M521" s="11"/>
      <c r="N521" s="11"/>
      <c r="O521" s="38"/>
      <c r="P521" s="38"/>
      <c r="Q521" s="38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>
      <c r="A522" s="186" t="s">
        <v>232</v>
      </c>
      <c r="B522" s="1"/>
      <c r="C522" s="182">
        <v>0</v>
      </c>
      <c r="D522" s="472">
        <v>0.06</v>
      </c>
      <c r="E522" s="184" t="s">
        <v>178</v>
      </c>
      <c r="F522" s="184">
        <f>ROUND($C522*D522/100,0)</f>
        <v>0</v>
      </c>
      <c r="G522" s="736">
        <v>0.06</v>
      </c>
      <c r="H522" s="184" t="s">
        <v>178</v>
      </c>
      <c r="I522" s="184">
        <f>ROUND($C522*G522/100,0)</f>
        <v>0</v>
      </c>
      <c r="J522" s="199">
        <v>0.06</v>
      </c>
      <c r="K522" s="184" t="s">
        <v>178</v>
      </c>
      <c r="L522" s="184">
        <f>ROUND($C522*J522/100,0)</f>
        <v>0</v>
      </c>
      <c r="M522" s="11"/>
      <c r="N522" s="11"/>
      <c r="O522" s="38"/>
      <c r="P522" s="38"/>
      <c r="Q522" s="38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>
      <c r="A523" s="223" t="s">
        <v>205</v>
      </c>
      <c r="B523" s="1" t="s">
        <v>13</v>
      </c>
      <c r="C523" s="182"/>
      <c r="D523" s="195">
        <v>-0.01</v>
      </c>
      <c r="E523" s="224"/>
      <c r="F523" s="224"/>
      <c r="G523" s="734">
        <v>-0.01</v>
      </c>
      <c r="H523" s="224"/>
      <c r="I523" s="2"/>
      <c r="J523" s="195">
        <f>G523</f>
        <v>-0.01</v>
      </c>
      <c r="K523" s="224"/>
      <c r="L523" s="2"/>
      <c r="M523" s="11"/>
      <c r="N523" s="11"/>
      <c r="O523" s="38"/>
      <c r="P523" s="38"/>
      <c r="Q523" s="38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>
      <c r="A524" s="186" t="s">
        <v>225</v>
      </c>
      <c r="B524" s="1"/>
      <c r="C524" s="182">
        <v>0</v>
      </c>
      <c r="D524" s="218">
        <f>D510</f>
        <v>248</v>
      </c>
      <c r="E524" s="186"/>
      <c r="F524" s="184">
        <f t="shared" ref="F524:F529" si="49">ROUND(D524*$C524*$D$523,0)</f>
        <v>0</v>
      </c>
      <c r="G524" s="506">
        <v>248</v>
      </c>
      <c r="H524" s="186"/>
      <c r="I524" s="184">
        <f t="shared" ref="I524:I529" si="50">ROUND(G524*$C524*$G$523,0)</f>
        <v>0</v>
      </c>
      <c r="J524" s="167">
        <f>J510</f>
        <v>248</v>
      </c>
      <c r="K524" s="186"/>
      <c r="L524" s="184">
        <f t="shared" ref="L524:L529" si="51">ROUND(J524*$C524*$G$523,0)</f>
        <v>0</v>
      </c>
      <c r="M524" s="11"/>
      <c r="N524" s="11"/>
      <c r="O524" s="38"/>
      <c r="P524" s="38"/>
      <c r="Q524" s="38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>
      <c r="A525" s="186" t="s">
        <v>226</v>
      </c>
      <c r="B525" s="1"/>
      <c r="C525" s="182">
        <v>0</v>
      </c>
      <c r="D525" s="218">
        <f>D511</f>
        <v>93</v>
      </c>
      <c r="E525" s="186"/>
      <c r="F525" s="184">
        <f t="shared" si="49"/>
        <v>0</v>
      </c>
      <c r="G525" s="506">
        <v>93</v>
      </c>
      <c r="H525" s="186"/>
      <c r="I525" s="184">
        <f t="shared" si="50"/>
        <v>0</v>
      </c>
      <c r="J525" s="167">
        <f>J511</f>
        <v>93</v>
      </c>
      <c r="K525" s="186"/>
      <c r="L525" s="184">
        <f t="shared" si="51"/>
        <v>0</v>
      </c>
      <c r="M525" s="11"/>
      <c r="N525" s="11"/>
      <c r="O525" s="38"/>
      <c r="P525" s="38"/>
      <c r="Q525" s="38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>
      <c r="A526" s="186" t="s">
        <v>227</v>
      </c>
      <c r="B526" s="1"/>
      <c r="C526" s="182">
        <v>0</v>
      </c>
      <c r="D526" s="218">
        <f>D512</f>
        <v>185</v>
      </c>
      <c r="E526" s="188"/>
      <c r="F526" s="184">
        <f t="shared" si="49"/>
        <v>0</v>
      </c>
      <c r="G526" s="506">
        <v>185</v>
      </c>
      <c r="H526" s="188"/>
      <c r="I526" s="184">
        <f t="shared" si="50"/>
        <v>0</v>
      </c>
      <c r="J526" s="167">
        <f>J512</f>
        <v>185</v>
      </c>
      <c r="K526" s="188"/>
      <c r="L526" s="184">
        <f t="shared" si="51"/>
        <v>0</v>
      </c>
      <c r="M526" s="11"/>
      <c r="N526" s="11"/>
      <c r="O526" s="38"/>
      <c r="P526" s="38"/>
      <c r="Q526" s="38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>
      <c r="A527" s="186" t="s">
        <v>226</v>
      </c>
      <c r="B527" s="1"/>
      <c r="C527" s="182">
        <v>0</v>
      </c>
      <c r="D527" s="218">
        <f>D514</f>
        <v>1.8</v>
      </c>
      <c r="E527" s="186" t="s">
        <v>13</v>
      </c>
      <c r="F527" s="184">
        <f t="shared" si="49"/>
        <v>0</v>
      </c>
      <c r="G527" s="506">
        <v>1.8</v>
      </c>
      <c r="H527" s="186" t="s">
        <v>13</v>
      </c>
      <c r="I527" s="184">
        <f t="shared" si="50"/>
        <v>0</v>
      </c>
      <c r="J527" s="167">
        <f>J514</f>
        <v>1.8</v>
      </c>
      <c r="K527" s="186" t="s">
        <v>13</v>
      </c>
      <c r="L527" s="184">
        <f t="shared" si="51"/>
        <v>0</v>
      </c>
      <c r="M527" s="11"/>
      <c r="N527" s="11"/>
      <c r="O527" s="38"/>
      <c r="P527" s="38"/>
      <c r="Q527" s="38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>
      <c r="A528" s="186" t="s">
        <v>227</v>
      </c>
      <c r="B528" s="1"/>
      <c r="C528" s="182">
        <v>0</v>
      </c>
      <c r="D528" s="218">
        <f>D515</f>
        <v>1.48</v>
      </c>
      <c r="E528" s="186" t="s">
        <v>13</v>
      </c>
      <c r="F528" s="184">
        <f t="shared" si="49"/>
        <v>0</v>
      </c>
      <c r="G528" s="506">
        <v>1.48</v>
      </c>
      <c r="H528" s="186" t="s">
        <v>13</v>
      </c>
      <c r="I528" s="184">
        <f t="shared" si="50"/>
        <v>0</v>
      </c>
      <c r="J528" s="167">
        <f>J515</f>
        <v>1.48</v>
      </c>
      <c r="K528" s="186" t="s">
        <v>13</v>
      </c>
      <c r="L528" s="184">
        <f t="shared" si="51"/>
        <v>0</v>
      </c>
      <c r="M528" s="11"/>
      <c r="N528" s="11"/>
      <c r="O528" s="38"/>
      <c r="P528" s="38"/>
      <c r="Q528" s="38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>
      <c r="A529" s="172" t="s">
        <v>229</v>
      </c>
      <c r="B529" s="1"/>
      <c r="C529" s="182">
        <v>0</v>
      </c>
      <c r="D529" s="218">
        <f>D517</f>
        <v>6.3</v>
      </c>
      <c r="E529" s="186"/>
      <c r="F529" s="184">
        <f t="shared" si="49"/>
        <v>0</v>
      </c>
      <c r="G529" s="506">
        <v>6.3</v>
      </c>
      <c r="H529" s="186"/>
      <c r="I529" s="184">
        <f t="shared" si="50"/>
        <v>0</v>
      </c>
      <c r="J529" s="167">
        <f>J517</f>
        <v>6.3</v>
      </c>
      <c r="K529" s="186"/>
      <c r="L529" s="184">
        <f t="shared" si="51"/>
        <v>0</v>
      </c>
      <c r="M529" s="11"/>
      <c r="N529" s="11"/>
      <c r="O529" s="38"/>
      <c r="P529" s="38"/>
      <c r="Q529" s="38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>
      <c r="A530" s="186" t="s">
        <v>231</v>
      </c>
      <c r="B530" s="1"/>
      <c r="C530" s="182">
        <v>0</v>
      </c>
      <c r="D530" s="198">
        <f>D519</f>
        <v>5.7480000000000002</v>
      </c>
      <c r="E530" s="184" t="s">
        <v>178</v>
      </c>
      <c r="F530" s="184">
        <f>ROUND(D530/100*$C530*D523,0)</f>
        <v>0</v>
      </c>
      <c r="G530" s="735">
        <v>6.0709999999999997</v>
      </c>
      <c r="H530" s="184" t="s">
        <v>178</v>
      </c>
      <c r="I530" s="184">
        <f>ROUND(G530/100*$C530*G523,0)</f>
        <v>0</v>
      </c>
      <c r="J530" s="198">
        <f ca="1">J519</f>
        <v>6.0570000000000004</v>
      </c>
      <c r="K530" s="184" t="s">
        <v>178</v>
      </c>
      <c r="L530" s="184">
        <f ca="1">ROUND(J530/100*$C530*J523,0)</f>
        <v>0</v>
      </c>
      <c r="M530" s="11"/>
      <c r="N530" s="11"/>
      <c r="O530" s="38"/>
      <c r="P530" s="38"/>
      <c r="Q530" s="38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>
      <c r="A531" s="186" t="s">
        <v>203</v>
      </c>
      <c r="B531" s="1"/>
      <c r="C531" s="182">
        <v>0</v>
      </c>
      <c r="D531" s="198">
        <f>D520</f>
        <v>5.2460000000000004</v>
      </c>
      <c r="E531" s="184" t="s">
        <v>178</v>
      </c>
      <c r="F531" s="184">
        <f>ROUND(D531/100*$C531*D523,0)</f>
        <v>0</v>
      </c>
      <c r="G531" s="735">
        <v>5.569</v>
      </c>
      <c r="H531" s="184" t="s">
        <v>178</v>
      </c>
      <c r="I531" s="184">
        <f>ROUND(G531/100*$C531*G523,0)</f>
        <v>0</v>
      </c>
      <c r="J531" s="198">
        <f ca="1">J520</f>
        <v>5.5549999999999997</v>
      </c>
      <c r="K531" s="184" t="s">
        <v>178</v>
      </c>
      <c r="L531" s="184">
        <f ca="1">ROUND(J531/100*$C531*J523,0)</f>
        <v>0</v>
      </c>
      <c r="M531" s="11"/>
      <c r="N531" s="11"/>
      <c r="O531" s="38"/>
      <c r="P531" s="38"/>
      <c r="Q531" s="38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>
      <c r="A532" s="172" t="s">
        <v>233</v>
      </c>
      <c r="B532" s="1"/>
      <c r="C532" s="182">
        <v>0</v>
      </c>
      <c r="D532" s="542">
        <f>D521</f>
        <v>58</v>
      </c>
      <c r="E532" s="184" t="s">
        <v>178</v>
      </c>
      <c r="F532" s="184">
        <f>ROUND(D532*$C532*$D$523,0)</f>
        <v>0</v>
      </c>
      <c r="G532" s="733">
        <v>58</v>
      </c>
      <c r="H532" s="184" t="s">
        <v>178</v>
      </c>
      <c r="I532" s="184">
        <f>ROUND(G532*$C532*$G$523,0)</f>
        <v>0</v>
      </c>
      <c r="J532" s="238">
        <f>J521</f>
        <v>58</v>
      </c>
      <c r="K532" s="184" t="s">
        <v>178</v>
      </c>
      <c r="L532" s="184">
        <f>ROUND(J532*$C532*$G$523,0)</f>
        <v>0</v>
      </c>
      <c r="M532" s="11"/>
      <c r="N532" s="11"/>
      <c r="O532" s="38"/>
      <c r="P532" s="38"/>
      <c r="Q532" s="38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>
      <c r="A533" s="172" t="s">
        <v>234</v>
      </c>
      <c r="B533" s="1"/>
      <c r="C533" s="182">
        <v>0</v>
      </c>
      <c r="D533" s="543">
        <f>D522</f>
        <v>0.06</v>
      </c>
      <c r="E533" s="184" t="s">
        <v>178</v>
      </c>
      <c r="F533" s="184">
        <f>ROUND(D533/100*$C533*D523,0)</f>
        <v>0</v>
      </c>
      <c r="G533" s="744">
        <v>0.06</v>
      </c>
      <c r="H533" s="184" t="s">
        <v>178</v>
      </c>
      <c r="I533" s="184">
        <f>ROUND(G533/100*$C533*G523,0)</f>
        <v>0</v>
      </c>
      <c r="J533" s="472">
        <f>G533</f>
        <v>0.06</v>
      </c>
      <c r="K533" s="184" t="s">
        <v>178</v>
      </c>
      <c r="L533" s="184">
        <f>ROUND(J533/100*$C533*J523,0)</f>
        <v>0</v>
      </c>
      <c r="M533" s="11"/>
      <c r="N533" s="11"/>
      <c r="O533" s="38"/>
      <c r="P533" s="38"/>
      <c r="Q533" s="38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>
      <c r="A534" s="186" t="s">
        <v>235</v>
      </c>
      <c r="B534" s="1"/>
      <c r="C534" s="182">
        <v>0</v>
      </c>
      <c r="D534" s="226">
        <v>60</v>
      </c>
      <c r="E534" s="227" t="s">
        <v>13</v>
      </c>
      <c r="F534" s="184">
        <f>ROUND(D534*$C534,0)</f>
        <v>0</v>
      </c>
      <c r="G534" s="216">
        <v>60</v>
      </c>
      <c r="H534" s="227" t="s">
        <v>13</v>
      </c>
      <c r="I534" s="184">
        <f>ROUND(G534*$C534,0)</f>
        <v>0</v>
      </c>
      <c r="J534" s="226">
        <v>60</v>
      </c>
      <c r="K534" s="227" t="s">
        <v>13</v>
      </c>
      <c r="L534" s="184">
        <f>ROUND(J534*$C534,0)</f>
        <v>0</v>
      </c>
      <c r="M534" s="11"/>
      <c r="N534" s="11"/>
      <c r="O534" s="38"/>
      <c r="P534" s="38"/>
      <c r="Q534" s="38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>
      <c r="A535" s="186" t="s">
        <v>236</v>
      </c>
      <c r="B535" s="1"/>
      <c r="C535" s="182">
        <v>0</v>
      </c>
      <c r="D535" s="199">
        <v>-30</v>
      </c>
      <c r="E535" s="184" t="s">
        <v>178</v>
      </c>
      <c r="F535" s="184">
        <f>ROUND(D535*$C535*$D$523,0)</f>
        <v>0</v>
      </c>
      <c r="G535" s="736">
        <v>-30</v>
      </c>
      <c r="H535" s="184" t="s">
        <v>178</v>
      </c>
      <c r="I535" s="184">
        <f>ROUND(G535*$C535*$G$523,0)</f>
        <v>0</v>
      </c>
      <c r="J535" s="199">
        <v>-30</v>
      </c>
      <c r="K535" s="184" t="s">
        <v>178</v>
      </c>
      <c r="L535" s="184">
        <f>ROUND(J535*$C535*$G$523,0)</f>
        <v>0</v>
      </c>
      <c r="M535" s="11"/>
      <c r="N535" s="11"/>
      <c r="O535" s="38"/>
      <c r="P535" s="38"/>
      <c r="Q535" s="17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>
      <c r="A536" s="172" t="s">
        <v>237</v>
      </c>
      <c r="B536" s="1"/>
      <c r="C536" s="182">
        <v>0</v>
      </c>
      <c r="D536" s="197">
        <f>D517/2</f>
        <v>3.15</v>
      </c>
      <c r="E536" s="184"/>
      <c r="F536" s="184">
        <f>ROUND(D536*$C536*$D$523,0)</f>
        <v>0</v>
      </c>
      <c r="G536" s="506">
        <v>3.15</v>
      </c>
      <c r="H536" s="184"/>
      <c r="I536" s="184">
        <f>ROUND($C536*G536,0)</f>
        <v>0</v>
      </c>
      <c r="J536" s="218">
        <f>J529/2</f>
        <v>3.15</v>
      </c>
      <c r="K536" s="184"/>
      <c r="L536" s="184">
        <f>ROUND($C536*J536,0)</f>
        <v>0</v>
      </c>
      <c r="M536" s="11"/>
      <c r="N536" s="11"/>
      <c r="O536" s="38"/>
      <c r="P536" s="38"/>
      <c r="Q536" s="38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>
      <c r="A537" s="172" t="s">
        <v>238</v>
      </c>
      <c r="B537" s="1"/>
      <c r="C537" s="182">
        <v>0</v>
      </c>
      <c r="D537" s="197">
        <f>D517*4</f>
        <v>25.2</v>
      </c>
      <c r="E537" s="184"/>
      <c r="F537" s="184">
        <f>ROUND($C537*D537/100,0)</f>
        <v>0</v>
      </c>
      <c r="G537" s="506">
        <v>25.2</v>
      </c>
      <c r="H537" s="184"/>
      <c r="I537" s="184">
        <f>ROUND($C537*G537,0)</f>
        <v>0</v>
      </c>
      <c r="J537" s="218">
        <f>J529*4</f>
        <v>25.2</v>
      </c>
      <c r="K537" s="184"/>
      <c r="L537" s="184">
        <f>ROUND($C537*J537,0)</f>
        <v>0</v>
      </c>
      <c r="M537" s="11"/>
      <c r="N537" s="11"/>
      <c r="O537" s="38"/>
      <c r="P537" s="38"/>
      <c r="Q537" s="38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>
      <c r="A538" s="3" t="s">
        <v>239</v>
      </c>
      <c r="B538" s="166"/>
      <c r="C538" s="182">
        <v>0</v>
      </c>
      <c r="D538" s="198">
        <f>D519*4</f>
        <v>22.992000000000001</v>
      </c>
      <c r="E538" s="184" t="s">
        <v>178</v>
      </c>
      <c r="F538" s="184">
        <f>ROUND($C538*D538/100,0)</f>
        <v>0</v>
      </c>
      <c r="G538" s="735">
        <v>22.276</v>
      </c>
      <c r="H538" s="184" t="s">
        <v>178</v>
      </c>
      <c r="I538" s="184">
        <f>ROUND($C538*G538/100,0)</f>
        <v>0</v>
      </c>
      <c r="J538" s="198">
        <f ca="1">(J520)*4</f>
        <v>22.22</v>
      </c>
      <c r="K538" s="184" t="s">
        <v>178</v>
      </c>
      <c r="L538" s="184">
        <f ca="1">ROUND($C538*J538/100,0)</f>
        <v>0</v>
      </c>
      <c r="M538" s="6" t="s">
        <v>23</v>
      </c>
      <c r="N538" s="6"/>
      <c r="O538" s="38"/>
      <c r="P538" s="38"/>
      <c r="Q538" s="38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>
      <c r="A539" s="1" t="s">
        <v>185</v>
      </c>
      <c r="B539" s="1"/>
      <c r="C539" s="182">
        <f>SUM(C519:C520)</f>
        <v>0</v>
      </c>
      <c r="D539" s="193"/>
      <c r="E539" s="186"/>
      <c r="F539" s="2">
        <f>SUM(F510:F538)</f>
        <v>0</v>
      </c>
      <c r="G539" s="733"/>
      <c r="H539" s="186"/>
      <c r="I539" s="2">
        <f>SUM(I510:I538)</f>
        <v>0</v>
      </c>
      <c r="J539" s="193"/>
      <c r="K539" s="186"/>
      <c r="L539" s="2">
        <f ca="1">SUM(L510:L538)</f>
        <v>0</v>
      </c>
      <c r="M539" s="11"/>
      <c r="N539" s="11"/>
      <c r="O539" s="38"/>
      <c r="P539" s="38"/>
      <c r="Q539" s="38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>
      <c r="A540" s="1" t="s">
        <v>167</v>
      </c>
      <c r="B540" s="1"/>
      <c r="C540" s="212">
        <v>0</v>
      </c>
      <c r="D540" s="172"/>
      <c r="E540" s="172"/>
      <c r="F540" s="173">
        <v>0</v>
      </c>
      <c r="G540" s="284"/>
      <c r="H540" s="172"/>
      <c r="I540" s="173">
        <v>0</v>
      </c>
      <c r="J540" s="172"/>
      <c r="K540" s="172"/>
      <c r="L540" s="173">
        <v>0</v>
      </c>
      <c r="M540" s="307"/>
      <c r="N540" s="307"/>
      <c r="O540" s="150"/>
      <c r="P540" s="38"/>
      <c r="Q540" s="38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6.5" thickBot="1">
      <c r="A541" s="1" t="s">
        <v>186</v>
      </c>
      <c r="B541" s="1"/>
      <c r="C541" s="229">
        <f>SUM(C539:C540)</f>
        <v>0</v>
      </c>
      <c r="D541" s="205"/>
      <c r="E541" s="208"/>
      <c r="F541" s="207">
        <f>SUM(F539:F540)</f>
        <v>0</v>
      </c>
      <c r="G541" s="741"/>
      <c r="H541" s="208"/>
      <c r="I541" s="207">
        <f>SUM(I539:I540)</f>
        <v>0</v>
      </c>
      <c r="J541" s="205"/>
      <c r="K541" s="208"/>
      <c r="L541" s="207">
        <f ca="1">SUM(L539:L540)</f>
        <v>0</v>
      </c>
      <c r="M541" s="274"/>
      <c r="N541" s="274"/>
      <c r="O541" s="333"/>
      <c r="P541" s="38"/>
      <c r="Q541" s="38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6.5" thickTop="1">
      <c r="A542" s="1"/>
      <c r="B542" s="230"/>
      <c r="C542" s="12"/>
      <c r="D542" s="200"/>
      <c r="E542" s="1"/>
      <c r="F542" s="2"/>
      <c r="G542" s="216"/>
      <c r="H542" s="1"/>
      <c r="I542" s="2"/>
      <c r="J542" s="200"/>
      <c r="K542" s="1"/>
      <c r="L542" s="2"/>
      <c r="M542" s="11"/>
      <c r="N542" s="11"/>
      <c r="O542" s="38"/>
      <c r="P542" s="38"/>
      <c r="Q542" s="38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>
      <c r="A543" s="156" t="s">
        <v>240</v>
      </c>
      <c r="B543" s="1"/>
      <c r="C543" s="1"/>
      <c r="D543" s="2"/>
      <c r="E543" s="1"/>
      <c r="F543" s="1"/>
      <c r="G543" s="516"/>
      <c r="H543" s="1"/>
      <c r="I543" s="1"/>
      <c r="J543" s="2"/>
      <c r="K543" s="1"/>
      <c r="L543" s="1"/>
      <c r="M543" s="11"/>
      <c r="N543" s="11"/>
      <c r="O543" s="853" t="s">
        <v>1456</v>
      </c>
      <c r="P543" s="38"/>
      <c r="Q543" s="38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>
      <c r="A544" s="172" t="s">
        <v>241</v>
      </c>
      <c r="B544" s="1"/>
      <c r="C544" s="1"/>
      <c r="D544" s="2"/>
      <c r="E544" s="1"/>
      <c r="F544" s="1"/>
      <c r="G544" s="516"/>
      <c r="H544" s="1"/>
      <c r="I544" s="1"/>
      <c r="J544" s="2"/>
      <c r="K544" s="1"/>
      <c r="L544" s="1"/>
      <c r="M544" s="11"/>
      <c r="N544" s="11"/>
      <c r="O544" s="852">
        <f ca="1">'Exhibit No.__(RMM-2)pg1'!O24*1000</f>
        <v>-135177.6408206276</v>
      </c>
      <c r="P544" s="38"/>
      <c r="Q544" s="38"/>
      <c r="R544" s="38"/>
      <c r="S544" s="18"/>
      <c r="T544" s="697"/>
      <c r="U544" s="698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>
      <c r="A545" s="186"/>
      <c r="B545" s="1"/>
      <c r="C545" s="1"/>
      <c r="D545" s="2"/>
      <c r="E545" s="1"/>
      <c r="F545" s="1"/>
      <c r="G545" s="516"/>
      <c r="H545" s="1"/>
      <c r="I545" s="1"/>
      <c r="J545" s="2"/>
      <c r="K545" s="1"/>
      <c r="L545" s="1"/>
      <c r="M545" s="11"/>
      <c r="N545" s="11"/>
      <c r="O545" s="38"/>
      <c r="P545" s="38"/>
      <c r="Q545" s="38"/>
      <c r="R545" s="661"/>
      <c r="S545" s="661"/>
      <c r="T545" s="661"/>
      <c r="U545" s="66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>
      <c r="A546" s="186" t="s">
        <v>197</v>
      </c>
      <c r="B546" s="1"/>
      <c r="C546" s="182"/>
      <c r="D546" s="2"/>
      <c r="E546" s="1"/>
      <c r="F546" s="1"/>
      <c r="G546" s="516"/>
      <c r="H546" s="1"/>
      <c r="I546" s="1"/>
      <c r="J546" s="2"/>
      <c r="K546" s="1"/>
      <c r="L546" s="1"/>
      <c r="M546" s="11"/>
      <c r="N546" s="11"/>
      <c r="O546" s="38"/>
      <c r="P546" s="18"/>
      <c r="Q546" s="18"/>
      <c r="R546" s="660"/>
      <c r="S546" s="660"/>
      <c r="T546" s="663"/>
      <c r="U546" s="662"/>
      <c r="V546" s="11"/>
      <c r="W546" s="11"/>
      <c r="X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>
      <c r="A547" s="186" t="s">
        <v>225</v>
      </c>
      <c r="B547" s="1"/>
      <c r="C547" s="182">
        <f>C585+C619</f>
        <v>197.73333333333301</v>
      </c>
      <c r="D547" s="161">
        <v>248</v>
      </c>
      <c r="E547" s="186"/>
      <c r="F547" s="184">
        <f>F585+F619</f>
        <v>49038</v>
      </c>
      <c r="G547" s="506">
        <v>248</v>
      </c>
      <c r="H547" s="186"/>
      <c r="I547" s="184">
        <f>I585+I619</f>
        <v>49038</v>
      </c>
      <c r="J547" s="164">
        <f t="shared" ref="J547:J549" si="52">G547</f>
        <v>248</v>
      </c>
      <c r="K547" s="186"/>
      <c r="L547" s="184">
        <f>L585+L619</f>
        <v>49038</v>
      </c>
      <c r="M547" s="11"/>
      <c r="N547" s="11"/>
      <c r="O547" s="38"/>
      <c r="P547" s="512"/>
      <c r="Q547" s="512"/>
      <c r="R547" s="11"/>
      <c r="S547" s="11"/>
      <c r="T547" s="11"/>
      <c r="U547" s="11"/>
      <c r="V547" s="11"/>
      <c r="Y547" s="22"/>
      <c r="Z547" s="22"/>
      <c r="AC547" s="11"/>
      <c r="AD547" s="11"/>
      <c r="AE547" s="11"/>
      <c r="AF547" s="11"/>
      <c r="AG547" s="11"/>
      <c r="AH547" s="11"/>
    </row>
    <row r="548" spans="1:34">
      <c r="A548" s="186" t="s">
        <v>226</v>
      </c>
      <c r="B548" s="1"/>
      <c r="C548" s="182">
        <f>C586+C620</f>
        <v>8799.3000000000029</v>
      </c>
      <c r="D548" s="161">
        <v>93</v>
      </c>
      <c r="E548" s="186"/>
      <c r="F548" s="184">
        <f>F586+F620</f>
        <v>818335</v>
      </c>
      <c r="G548" s="506">
        <v>93</v>
      </c>
      <c r="H548" s="186"/>
      <c r="I548" s="184">
        <f>I586+I620</f>
        <v>818335</v>
      </c>
      <c r="J548" s="164">
        <f t="shared" si="52"/>
        <v>93</v>
      </c>
      <c r="K548" s="186"/>
      <c r="L548" s="184">
        <f>L586+L620</f>
        <v>818335</v>
      </c>
      <c r="M548" s="292"/>
      <c r="N548" s="292"/>
      <c r="O548" s="292"/>
      <c r="P548" s="512"/>
      <c r="Q548" s="512"/>
      <c r="R548" s="11"/>
      <c r="S548" s="279"/>
      <c r="T548" s="660"/>
      <c r="U548" s="279"/>
      <c r="V548" s="660"/>
      <c r="W548" s="42"/>
      <c r="X548" s="42"/>
      <c r="Y548" s="484"/>
      <c r="Z548" s="484"/>
      <c r="AB548" s="101"/>
      <c r="AC548" s="11"/>
      <c r="AD548" s="11"/>
      <c r="AE548" s="11"/>
      <c r="AF548" s="11"/>
      <c r="AG548" s="11"/>
      <c r="AH548" s="11"/>
    </row>
    <row r="549" spans="1:34">
      <c r="A549" s="186" t="s">
        <v>227</v>
      </c>
      <c r="B549" s="1"/>
      <c r="C549" s="182">
        <f>C587+C621</f>
        <v>3916.333333333333</v>
      </c>
      <c r="D549" s="161">
        <v>185</v>
      </c>
      <c r="E549" s="188"/>
      <c r="F549" s="184">
        <f>F587+F621</f>
        <v>724522</v>
      </c>
      <c r="G549" s="506">
        <v>185</v>
      </c>
      <c r="H549" s="188"/>
      <c r="I549" s="184">
        <f>I587+I621</f>
        <v>724522</v>
      </c>
      <c r="J549" s="164">
        <f t="shared" si="52"/>
        <v>185</v>
      </c>
      <c r="K549" s="188"/>
      <c r="L549" s="184">
        <f>L587+L621</f>
        <v>724522</v>
      </c>
      <c r="M549" s="292"/>
      <c r="N549" s="292"/>
      <c r="O549" s="38"/>
      <c r="P549" s="512"/>
      <c r="Q549" s="512"/>
      <c r="R549" s="11"/>
      <c r="S549" s="279"/>
      <c r="T549" s="660"/>
      <c r="U549" s="279"/>
      <c r="V549" s="660"/>
      <c r="W549" s="42"/>
      <c r="X549" s="42"/>
      <c r="Y549" s="484"/>
      <c r="Z549" s="484"/>
      <c r="AB549" s="101"/>
      <c r="AC549" s="11"/>
      <c r="AD549" s="11"/>
      <c r="AE549" s="11"/>
      <c r="AF549" s="11"/>
      <c r="AG549" s="11"/>
      <c r="AH549" s="11"/>
    </row>
    <row r="550" spans="1:34">
      <c r="A550" s="186" t="s">
        <v>198</v>
      </c>
      <c r="B550" s="1"/>
      <c r="C550" s="182">
        <f>SUM(C547:C549)</f>
        <v>12913.366666666669</v>
      </c>
      <c r="D550" s="161"/>
      <c r="E550" s="186"/>
      <c r="F550" s="184"/>
      <c r="G550" s="506"/>
      <c r="H550" s="186"/>
      <c r="I550" s="184"/>
      <c r="J550" s="164"/>
      <c r="K550" s="186"/>
      <c r="L550" s="184"/>
      <c r="M550" s="279"/>
      <c r="N550" s="185"/>
      <c r="O550" s="38"/>
      <c r="P550" s="512"/>
      <c r="Q550" s="38"/>
      <c r="R550" s="11"/>
      <c r="S550" s="279"/>
      <c r="T550" s="660"/>
      <c r="U550" s="279"/>
      <c r="V550" s="660"/>
      <c r="W550" s="42"/>
      <c r="X550" s="42"/>
      <c r="Y550" s="484"/>
      <c r="Z550" s="484"/>
      <c r="AB550" s="101"/>
      <c r="AC550" s="11"/>
      <c r="AD550" s="11"/>
      <c r="AE550" s="11"/>
      <c r="AF550" s="11"/>
      <c r="AG550" s="11"/>
      <c r="AH550" s="11"/>
    </row>
    <row r="551" spans="1:34">
      <c r="A551" s="186" t="s">
        <v>226</v>
      </c>
      <c r="B551" s="1"/>
      <c r="C551" s="182">
        <f>C589+C623</f>
        <v>1525091.6666666705</v>
      </c>
      <c r="D551" s="161">
        <v>1.8</v>
      </c>
      <c r="E551" s="186" t="s">
        <v>13</v>
      </c>
      <c r="F551" s="184">
        <f>F589+F623</f>
        <v>2745165</v>
      </c>
      <c r="G551" s="506">
        <v>1.8</v>
      </c>
      <c r="H551" s="186" t="s">
        <v>13</v>
      </c>
      <c r="I551" s="184">
        <f>I589+I623</f>
        <v>2745165</v>
      </c>
      <c r="J551" s="164">
        <f t="shared" ref="J551:J552" si="53">G551</f>
        <v>1.8</v>
      </c>
      <c r="K551" s="186" t="s">
        <v>13</v>
      </c>
      <c r="L551" s="184">
        <f>L589+L623</f>
        <v>2745165</v>
      </c>
      <c r="M551" s="11"/>
      <c r="N551" s="20"/>
      <c r="O551" s="17"/>
      <c r="P551" s="512"/>
      <c r="Q551" s="512"/>
      <c r="R551" s="11"/>
      <c r="S551" s="279"/>
      <c r="T551" s="658"/>
      <c r="U551" s="279"/>
      <c r="V551" s="658"/>
      <c r="W551" s="42"/>
      <c r="X551" s="42"/>
      <c r="Y551" s="485"/>
      <c r="Z551" s="485"/>
      <c r="AB551" s="11"/>
      <c r="AC551" s="11"/>
      <c r="AD551" s="11"/>
      <c r="AE551" s="11"/>
      <c r="AF551" s="11"/>
      <c r="AG551" s="11"/>
      <c r="AH551" s="11"/>
    </row>
    <row r="552" spans="1:34">
      <c r="A552" s="186" t="s">
        <v>227</v>
      </c>
      <c r="B552" s="1"/>
      <c r="C552" s="182">
        <f>C590+C624</f>
        <v>1976417.4</v>
      </c>
      <c r="D552" s="161">
        <v>1.48</v>
      </c>
      <c r="E552" s="186" t="s">
        <v>13</v>
      </c>
      <c r="F552" s="184">
        <f>F590+F624</f>
        <v>2925098</v>
      </c>
      <c r="G552" s="506">
        <v>1.48</v>
      </c>
      <c r="H552" s="186" t="s">
        <v>13</v>
      </c>
      <c r="I552" s="184">
        <f>I590+I624</f>
        <v>2925098</v>
      </c>
      <c r="J552" s="164">
        <f t="shared" si="53"/>
        <v>1.48</v>
      </c>
      <c r="K552" s="186" t="s">
        <v>13</v>
      </c>
      <c r="L552" s="184">
        <f>L590+L624</f>
        <v>2925098</v>
      </c>
      <c r="M552" s="279"/>
      <c r="N552" s="20"/>
      <c r="O552" s="38"/>
      <c r="P552" s="512"/>
      <c r="Q552" s="512"/>
      <c r="R552" s="11"/>
      <c r="S552" s="279"/>
      <c r="T552" s="279"/>
      <c r="U552" s="11"/>
      <c r="V552" s="11"/>
      <c r="AB552" s="11"/>
      <c r="AC552" s="11"/>
      <c r="AD552" s="11"/>
      <c r="AE552" s="11"/>
      <c r="AF552" s="11"/>
      <c r="AG552" s="11"/>
      <c r="AH552" s="11"/>
    </row>
    <row r="553" spans="1:34">
      <c r="A553" s="172" t="s">
        <v>228</v>
      </c>
      <c r="B553" s="1"/>
      <c r="C553" s="182"/>
      <c r="D553" s="218"/>
      <c r="E553" s="186"/>
      <c r="F553" s="184"/>
      <c r="G553" s="506"/>
      <c r="H553" s="186"/>
      <c r="I553" s="184"/>
      <c r="J553" s="167"/>
      <c r="K553" s="186"/>
      <c r="L553" s="184"/>
      <c r="M553" s="11"/>
      <c r="N553" s="185"/>
      <c r="O553" s="38"/>
      <c r="P553" s="38"/>
      <c r="Q553" s="38"/>
      <c r="R553" s="38"/>
      <c r="S553" s="11"/>
      <c r="T553" s="11"/>
      <c r="U553" s="11"/>
      <c r="V553" s="11"/>
      <c r="AB553" s="11"/>
      <c r="AC553" s="11"/>
      <c r="AD553" s="11"/>
      <c r="AE553" s="11"/>
      <c r="AF553" s="11"/>
      <c r="AG553" s="11"/>
      <c r="AH553" s="11"/>
    </row>
    <row r="554" spans="1:34">
      <c r="A554" s="172" t="s">
        <v>229</v>
      </c>
      <c r="B554" s="1"/>
      <c r="C554" s="182">
        <f>C592+C626</f>
        <v>2609943.7999999998</v>
      </c>
      <c r="D554" s="161">
        <v>6.3</v>
      </c>
      <c r="E554" s="186"/>
      <c r="F554" s="184">
        <f>F592+F626</f>
        <v>16442646</v>
      </c>
      <c r="G554" s="506">
        <v>6.3</v>
      </c>
      <c r="H554" s="186"/>
      <c r="I554" s="184">
        <f>I592+I626</f>
        <v>16442646</v>
      </c>
      <c r="J554" s="164">
        <f>G554</f>
        <v>6.3</v>
      </c>
      <c r="K554" s="186"/>
      <c r="L554" s="184">
        <f>L592+L626</f>
        <v>16442646</v>
      </c>
      <c r="M554" s="279"/>
      <c r="N554" s="20"/>
      <c r="O554" s="38"/>
      <c r="P554" s="512"/>
      <c r="Q554" s="512"/>
      <c r="R554" s="38"/>
      <c r="S554" s="11"/>
      <c r="T554" s="11"/>
      <c r="U554" s="11"/>
      <c r="V554" s="11"/>
      <c r="AB554" s="11"/>
      <c r="AC554" s="11"/>
      <c r="AD554" s="11"/>
      <c r="AE554" s="11"/>
      <c r="AF554" s="11"/>
      <c r="AG554" s="11"/>
      <c r="AH554" s="11"/>
    </row>
    <row r="555" spans="1:34">
      <c r="A555" s="172" t="s">
        <v>245</v>
      </c>
      <c r="B555" s="1"/>
      <c r="C555" s="182">
        <f>C593+C627</f>
        <v>4788.8500000000004</v>
      </c>
      <c r="D555" s="232">
        <v>6.3</v>
      </c>
      <c r="E555" s="186"/>
      <c r="F555" s="184">
        <f>F593+F627</f>
        <v>30170</v>
      </c>
      <c r="G555" s="506">
        <v>6.3</v>
      </c>
      <c r="H555" s="186"/>
      <c r="I555" s="184">
        <f>I593+I627</f>
        <v>30170</v>
      </c>
      <c r="J555" s="506">
        <f>J554</f>
        <v>6.3</v>
      </c>
      <c r="K555" s="186"/>
      <c r="L555" s="184">
        <f>L593+L627</f>
        <v>30170</v>
      </c>
      <c r="M555" s="321"/>
      <c r="N555" s="20"/>
      <c r="O555" s="17"/>
      <c r="P555" s="512"/>
      <c r="Q555" s="512"/>
      <c r="R555" s="38"/>
      <c r="S555" s="11"/>
      <c r="T555" s="11"/>
      <c r="U555" s="11"/>
      <c r="V555" s="11"/>
      <c r="AB555" s="11"/>
      <c r="AC555" s="11"/>
      <c r="AD555" s="11"/>
      <c r="AE555" s="11"/>
      <c r="AF555" s="11"/>
      <c r="AG555" s="11"/>
      <c r="AH555" s="11"/>
    </row>
    <row r="556" spans="1:34">
      <c r="A556" s="186" t="s">
        <v>230</v>
      </c>
      <c r="B556" s="1"/>
      <c r="C556" s="182"/>
      <c r="D556" s="161"/>
      <c r="E556" s="186"/>
      <c r="F556" s="184"/>
      <c r="G556" s="506"/>
      <c r="H556" s="186"/>
      <c r="I556" s="184"/>
      <c r="J556" s="164"/>
      <c r="K556" s="186"/>
      <c r="L556" s="184"/>
      <c r="M556" s="11"/>
      <c r="N556" s="185"/>
      <c r="O556" s="38"/>
      <c r="P556" s="38"/>
      <c r="Q556" s="38"/>
      <c r="R556" s="17"/>
      <c r="S556" s="708"/>
      <c r="T556" s="11"/>
      <c r="U556" s="11"/>
      <c r="V556" s="11"/>
      <c r="AB556" s="11"/>
      <c r="AC556" s="11"/>
      <c r="AD556" s="11"/>
      <c r="AE556" s="11"/>
      <c r="AF556" s="11"/>
      <c r="AG556" s="11"/>
      <c r="AH556" s="11"/>
    </row>
    <row r="557" spans="1:34">
      <c r="A557" s="186" t="s">
        <v>231</v>
      </c>
      <c r="B557" s="182"/>
      <c r="C557" s="182">
        <f>C595+C629</f>
        <v>409227417.07850456</v>
      </c>
      <c r="D557" s="190">
        <v>5.7480000000000002</v>
      </c>
      <c r="E557" s="186" t="s">
        <v>178</v>
      </c>
      <c r="F557" s="184">
        <f>F595+F629</f>
        <v>23522392</v>
      </c>
      <c r="G557" s="731">
        <v>6.0709999999999997</v>
      </c>
      <c r="H557" s="186" t="s">
        <v>178</v>
      </c>
      <c r="I557" s="184">
        <f>I595+I629</f>
        <v>24844197</v>
      </c>
      <c r="J557" s="162">
        <f ca="1">ROUND(G557+($O$544/$C$575)*100,3)</f>
        <v>6.0570000000000004</v>
      </c>
      <c r="K557" s="186" t="s">
        <v>178</v>
      </c>
      <c r="L557" s="184">
        <f ca="1">L595+L629</f>
        <v>24786905</v>
      </c>
      <c r="M557" s="11"/>
      <c r="N557" s="20"/>
      <c r="O557" s="38"/>
      <c r="P557" s="512"/>
      <c r="Q557" s="512"/>
      <c r="R557" s="38"/>
      <c r="S557" s="11"/>
      <c r="T557" s="11"/>
      <c r="U557" s="11"/>
      <c r="V557" s="11"/>
      <c r="AB557" s="11"/>
      <c r="AC557" s="11"/>
      <c r="AD557" s="11"/>
      <c r="AE557" s="11"/>
      <c r="AF557" s="11"/>
      <c r="AG557" s="11"/>
      <c r="AH557" s="11"/>
    </row>
    <row r="558" spans="1:34">
      <c r="A558" s="186" t="s">
        <v>203</v>
      </c>
      <c r="B558" s="182"/>
      <c r="C558" s="182">
        <f>C596+C630</f>
        <v>531898152.96856904</v>
      </c>
      <c r="D558" s="190">
        <v>5.2460000000000004</v>
      </c>
      <c r="E558" s="186" t="s">
        <v>178</v>
      </c>
      <c r="F558" s="184">
        <f>F596+F630</f>
        <v>27903377</v>
      </c>
      <c r="G558" s="731">
        <v>5.569</v>
      </c>
      <c r="H558" s="186" t="s">
        <v>178</v>
      </c>
      <c r="I558" s="184">
        <f>I596+I630</f>
        <v>29621408</v>
      </c>
      <c r="J558" s="162">
        <f ca="1">ROUND(G558+($O$544/$C$575)*100,3)</f>
        <v>5.5549999999999997</v>
      </c>
      <c r="K558" s="186" t="s">
        <v>178</v>
      </c>
      <c r="L558" s="184">
        <f ca="1">L596+L630</f>
        <v>29546942</v>
      </c>
      <c r="M558" s="279"/>
      <c r="N558" s="20"/>
      <c r="O558" s="38"/>
      <c r="P558" s="512"/>
      <c r="Q558" s="512"/>
      <c r="R558" s="17"/>
      <c r="S558" s="11"/>
      <c r="T558" s="11"/>
      <c r="U558" s="11"/>
      <c r="V558" s="11"/>
      <c r="AC558" s="11"/>
      <c r="AD558" s="11"/>
      <c r="AE558" s="11"/>
      <c r="AF558" s="11"/>
      <c r="AG558" s="11"/>
      <c r="AH558" s="11"/>
    </row>
    <row r="559" spans="1:34">
      <c r="A559" s="186" t="s">
        <v>204</v>
      </c>
      <c r="B559" s="1"/>
      <c r="C559" s="182">
        <f>C597+C631</f>
        <v>440923.56666666706</v>
      </c>
      <c r="D559" s="472">
        <v>58</v>
      </c>
      <c r="E559" s="186" t="s">
        <v>178</v>
      </c>
      <c r="F559" s="184">
        <f>F597+F631</f>
        <v>255735</v>
      </c>
      <c r="G559" s="744">
        <v>58</v>
      </c>
      <c r="H559" s="186" t="s">
        <v>178</v>
      </c>
      <c r="I559" s="184">
        <f>I597+I631</f>
        <v>255735</v>
      </c>
      <c r="J559" s="472">
        <f t="shared" ref="J559:J560" si="54">G559</f>
        <v>58</v>
      </c>
      <c r="K559" s="186" t="s">
        <v>178</v>
      </c>
      <c r="L559" s="184">
        <f>L597+L631</f>
        <v>255735</v>
      </c>
      <c r="M559" s="279"/>
      <c r="N559" s="20"/>
      <c r="O559" s="38"/>
      <c r="P559" s="512"/>
      <c r="Q559" s="512"/>
      <c r="R559" s="38"/>
      <c r="S559" s="11"/>
      <c r="T559" s="11"/>
      <c r="U559" s="11"/>
      <c r="V559" s="11"/>
      <c r="AC559" s="11"/>
      <c r="AD559" s="11"/>
      <c r="AE559" s="11"/>
      <c r="AF559" s="11"/>
      <c r="AG559" s="11"/>
      <c r="AH559" s="11"/>
    </row>
    <row r="560" spans="1:34">
      <c r="A560" s="223" t="s">
        <v>205</v>
      </c>
      <c r="B560" s="1"/>
      <c r="C560" s="182"/>
      <c r="D560" s="195">
        <v>-0.01</v>
      </c>
      <c r="E560" s="1"/>
      <c r="F560" s="184"/>
      <c r="G560" s="734">
        <v>-0.01</v>
      </c>
      <c r="H560" s="1"/>
      <c r="I560" s="184"/>
      <c r="J560" s="507">
        <f t="shared" si="54"/>
        <v>-0.01</v>
      </c>
      <c r="K560" s="1"/>
      <c r="L560" s="184"/>
      <c r="M560" s="11"/>
      <c r="N560" s="185"/>
      <c r="O560" s="38"/>
      <c r="P560" s="38"/>
      <c r="Q560" s="38"/>
      <c r="R560" s="11"/>
      <c r="S560" s="11"/>
      <c r="T560" s="11"/>
      <c r="U560" s="11"/>
      <c r="V560" s="11"/>
      <c r="AC560" s="11"/>
      <c r="AD560" s="11"/>
      <c r="AE560" s="11"/>
      <c r="AF560" s="11"/>
      <c r="AG560" s="11"/>
      <c r="AH560" s="11"/>
    </row>
    <row r="561" spans="1:36">
      <c r="A561" s="186" t="s">
        <v>225</v>
      </c>
      <c r="B561" s="1"/>
      <c r="C561" s="182">
        <f t="shared" ref="C561:C570" si="55">C601+C635</f>
        <v>60</v>
      </c>
      <c r="D561" s="167">
        <f>D547</f>
        <v>248</v>
      </c>
      <c r="E561" s="156"/>
      <c r="F561" s="184">
        <f t="shared" ref="F561:F572" si="56">F599+F633</f>
        <v>0</v>
      </c>
      <c r="G561" s="506">
        <v>248</v>
      </c>
      <c r="H561" s="156"/>
      <c r="I561" s="184">
        <f t="shared" ref="I561:I572" si="57">I599+I633</f>
        <v>0</v>
      </c>
      <c r="J561" s="167">
        <f>J547</f>
        <v>248</v>
      </c>
      <c r="K561" s="156"/>
      <c r="L561" s="184">
        <f t="shared" ref="L561:L572" si="58">L599+L633</f>
        <v>0</v>
      </c>
      <c r="M561" s="11"/>
      <c r="N561" s="20"/>
      <c r="O561" s="17"/>
      <c r="P561" s="38"/>
      <c r="Q561" s="38"/>
      <c r="R561" s="11"/>
      <c r="S561" s="11"/>
      <c r="T561" s="11"/>
      <c r="U561" s="11"/>
      <c r="V561" s="11"/>
      <c r="AC561" s="11"/>
      <c r="AD561" s="11"/>
      <c r="AE561" s="11"/>
      <c r="AF561" s="11"/>
      <c r="AG561" s="11"/>
      <c r="AH561" s="11"/>
    </row>
    <row r="562" spans="1:36">
      <c r="A562" s="186" t="s">
        <v>226</v>
      </c>
      <c r="B562" s="1"/>
      <c r="C562" s="182">
        <f t="shared" si="55"/>
        <v>5896</v>
      </c>
      <c r="D562" s="167">
        <f>D548</f>
        <v>93</v>
      </c>
      <c r="E562" s="156"/>
      <c r="F562" s="184">
        <f t="shared" si="56"/>
        <v>-47</v>
      </c>
      <c r="G562" s="506">
        <v>93</v>
      </c>
      <c r="H562" s="156"/>
      <c r="I562" s="184">
        <f t="shared" si="57"/>
        <v>-47</v>
      </c>
      <c r="J562" s="167">
        <f>J548</f>
        <v>93</v>
      </c>
      <c r="K562" s="156"/>
      <c r="L562" s="184">
        <f t="shared" si="58"/>
        <v>-47</v>
      </c>
      <c r="M562" s="11"/>
      <c r="N562" s="20"/>
      <c r="O562" s="478"/>
      <c r="P562" s="38"/>
      <c r="Q562" s="38"/>
      <c r="R562" s="11"/>
      <c r="S562" s="11"/>
      <c r="T562" s="11"/>
      <c r="U562" s="11"/>
      <c r="V562" s="11"/>
      <c r="AB562" s="11"/>
      <c r="AC562" s="11"/>
      <c r="AD562" s="11"/>
      <c r="AE562" s="11"/>
      <c r="AF562" s="11"/>
      <c r="AG562" s="11"/>
      <c r="AH562" s="11"/>
    </row>
    <row r="563" spans="1:36">
      <c r="A563" s="186" t="s">
        <v>227</v>
      </c>
      <c r="B563" s="1"/>
      <c r="C563" s="182">
        <f t="shared" si="55"/>
        <v>39349</v>
      </c>
      <c r="D563" s="167">
        <f>D549</f>
        <v>185</v>
      </c>
      <c r="E563" s="236"/>
      <c r="F563" s="184">
        <f t="shared" si="56"/>
        <v>-111</v>
      </c>
      <c r="G563" s="506">
        <v>185</v>
      </c>
      <c r="H563" s="236"/>
      <c r="I563" s="184">
        <f t="shared" si="57"/>
        <v>-111</v>
      </c>
      <c r="J563" s="167">
        <f>J549</f>
        <v>185</v>
      </c>
      <c r="K563" s="236"/>
      <c r="L563" s="184">
        <f t="shared" si="58"/>
        <v>-111</v>
      </c>
      <c r="M563" s="11"/>
      <c r="N563" s="20"/>
      <c r="O563" s="655"/>
      <c r="P563" s="38"/>
      <c r="Q563" s="38"/>
      <c r="R563" s="11"/>
      <c r="S563" s="11"/>
      <c r="T563" s="11"/>
      <c r="U563" s="11"/>
      <c r="V563" s="11"/>
      <c r="AB563" s="11"/>
      <c r="AC563" s="11"/>
      <c r="AD563" s="11"/>
      <c r="AE563" s="11"/>
      <c r="AF563" s="11"/>
      <c r="AG563" s="11"/>
      <c r="AH563" s="11"/>
    </row>
    <row r="564" spans="1:36">
      <c r="A564" s="186" t="s">
        <v>226</v>
      </c>
      <c r="B564" s="1"/>
      <c r="C564" s="182">
        <f t="shared" si="55"/>
        <v>27373</v>
      </c>
      <c r="D564" s="167">
        <f>D551</f>
        <v>1.8</v>
      </c>
      <c r="E564" s="156"/>
      <c r="F564" s="184">
        <f t="shared" si="56"/>
        <v>-106</v>
      </c>
      <c r="G564" s="506">
        <v>1.8</v>
      </c>
      <c r="H564" s="156"/>
      <c r="I564" s="184">
        <f t="shared" si="57"/>
        <v>-106</v>
      </c>
      <c r="J564" s="167">
        <f>J551</f>
        <v>1.8</v>
      </c>
      <c r="K564" s="156"/>
      <c r="L564" s="184">
        <f t="shared" si="58"/>
        <v>-106</v>
      </c>
      <c r="N564" s="2"/>
      <c r="AB564" s="11"/>
      <c r="AC564" s="11"/>
      <c r="AD564" s="11"/>
      <c r="AE564" s="11"/>
      <c r="AF564" s="11"/>
      <c r="AG564" s="11"/>
      <c r="AH564" s="11"/>
    </row>
    <row r="565" spans="1:36">
      <c r="A565" s="186" t="s">
        <v>227</v>
      </c>
      <c r="B565" s="1"/>
      <c r="C565" s="182">
        <f t="shared" si="55"/>
        <v>736.66666666666697</v>
      </c>
      <c r="D565" s="167">
        <f>D552</f>
        <v>1.48</v>
      </c>
      <c r="E565" s="156"/>
      <c r="F565" s="184">
        <f t="shared" si="56"/>
        <v>-582</v>
      </c>
      <c r="G565" s="506">
        <v>1.48</v>
      </c>
      <c r="H565" s="156"/>
      <c r="I565" s="184">
        <f t="shared" si="57"/>
        <v>-582</v>
      </c>
      <c r="J565" s="167">
        <f>J552</f>
        <v>1.48</v>
      </c>
      <c r="K565" s="156"/>
      <c r="L565" s="184">
        <f t="shared" si="58"/>
        <v>-582</v>
      </c>
      <c r="N565" s="2"/>
      <c r="O565" s="46" t="s">
        <v>13</v>
      </c>
      <c r="AB565" s="11"/>
      <c r="AC565" s="11"/>
      <c r="AD565" s="11"/>
      <c r="AE565" s="11"/>
      <c r="AF565" s="11"/>
      <c r="AG565" s="11"/>
      <c r="AH565" s="11"/>
    </row>
    <row r="566" spans="1:36">
      <c r="A566" s="172" t="s">
        <v>229</v>
      </c>
      <c r="B566" s="1"/>
      <c r="C566" s="182">
        <f t="shared" si="55"/>
        <v>3473060</v>
      </c>
      <c r="D566" s="167">
        <f>D554</f>
        <v>6.3</v>
      </c>
      <c r="E566" s="156"/>
      <c r="F566" s="184">
        <f t="shared" si="56"/>
        <v>-1724</v>
      </c>
      <c r="G566" s="506">
        <v>6.3</v>
      </c>
      <c r="H566" s="156"/>
      <c r="I566" s="184">
        <f t="shared" si="57"/>
        <v>-1724</v>
      </c>
      <c r="J566" s="167">
        <f>J554</f>
        <v>6.3</v>
      </c>
      <c r="K566" s="156"/>
      <c r="L566" s="184">
        <f t="shared" si="58"/>
        <v>-1724</v>
      </c>
      <c r="M566" s="11"/>
      <c r="N566" s="20"/>
      <c r="O566" s="38"/>
      <c r="P566" s="38"/>
      <c r="Q566" s="38"/>
      <c r="R566" s="11"/>
      <c r="S566" s="11"/>
      <c r="T566" s="11"/>
      <c r="U566" s="11"/>
      <c r="V566" s="11"/>
      <c r="AB566" s="11"/>
      <c r="AC566" s="11"/>
      <c r="AD566" s="11"/>
      <c r="AE566" s="11"/>
      <c r="AF566" s="11"/>
      <c r="AG566" s="11"/>
      <c r="AH566" s="11"/>
    </row>
    <row r="567" spans="1:36">
      <c r="A567" s="172" t="s">
        <v>245</v>
      </c>
      <c r="B567" s="1"/>
      <c r="C567" s="182">
        <f t="shared" si="55"/>
        <v>6930058</v>
      </c>
      <c r="D567" s="167">
        <f>D566</f>
        <v>6.3</v>
      </c>
      <c r="E567" s="156"/>
      <c r="F567" s="184">
        <f t="shared" si="56"/>
        <v>-46</v>
      </c>
      <c r="G567" s="506">
        <v>6.3</v>
      </c>
      <c r="H567" s="156"/>
      <c r="I567" s="184">
        <f t="shared" si="57"/>
        <v>-46</v>
      </c>
      <c r="J567" s="167">
        <f>J555</f>
        <v>6.3</v>
      </c>
      <c r="K567" s="156"/>
      <c r="L567" s="184">
        <f t="shared" si="58"/>
        <v>-46</v>
      </c>
      <c r="M567" s="11"/>
      <c r="N567" s="20"/>
      <c r="O567" s="38"/>
      <c r="P567" s="17"/>
      <c r="Q567" s="38"/>
      <c r="R567" s="11"/>
      <c r="S567" s="11"/>
      <c r="T567" s="11"/>
      <c r="U567" s="11"/>
      <c r="V567" s="11"/>
      <c r="AB567" s="11"/>
      <c r="AC567" s="11"/>
      <c r="AD567" s="11"/>
      <c r="AE567" s="11"/>
      <c r="AF567" s="11"/>
      <c r="AG567" s="11"/>
      <c r="AH567" s="11"/>
    </row>
    <row r="568" spans="1:36">
      <c r="A568" s="186" t="s">
        <v>231</v>
      </c>
      <c r="B568" s="1"/>
      <c r="C568" s="182">
        <f t="shared" si="55"/>
        <v>6802</v>
      </c>
      <c r="D568" s="237">
        <f>D557</f>
        <v>5.7480000000000002</v>
      </c>
      <c r="E568" s="186" t="s">
        <v>178</v>
      </c>
      <c r="F568" s="184">
        <f t="shared" si="56"/>
        <v>-1996</v>
      </c>
      <c r="G568" s="731">
        <v>6.0709999999999997</v>
      </c>
      <c r="H568" s="186" t="s">
        <v>178</v>
      </c>
      <c r="I568" s="184">
        <f t="shared" si="57"/>
        <v>-2108</v>
      </c>
      <c r="J568" s="237">
        <f ca="1">J557</f>
        <v>6.0570000000000004</v>
      </c>
      <c r="K568" s="186" t="s">
        <v>178</v>
      </c>
      <c r="L568" s="184">
        <f t="shared" ca="1" si="58"/>
        <v>-2104</v>
      </c>
      <c r="M568" s="11"/>
      <c r="N568" s="20"/>
      <c r="O568" s="38"/>
      <c r="P568" s="38"/>
      <c r="Q568" s="38"/>
      <c r="R568" s="11"/>
      <c r="S568" s="11"/>
      <c r="T568" s="11"/>
      <c r="U568" s="11"/>
      <c r="V568" s="11"/>
      <c r="AB568" s="11"/>
      <c r="AC568" s="11"/>
      <c r="AD568" s="11"/>
      <c r="AE568" s="11"/>
      <c r="AF568" s="11"/>
      <c r="AG568" s="11"/>
      <c r="AH568" s="11"/>
    </row>
    <row r="569" spans="1:36">
      <c r="A569" s="186" t="s">
        <v>203</v>
      </c>
      <c r="B569" s="1"/>
      <c r="C569" s="182">
        <f t="shared" si="55"/>
        <v>104</v>
      </c>
      <c r="D569" s="237">
        <f>D558</f>
        <v>5.2460000000000004</v>
      </c>
      <c r="E569" s="186" t="s">
        <v>178</v>
      </c>
      <c r="F569" s="184">
        <f t="shared" si="56"/>
        <v>-3636</v>
      </c>
      <c r="G569" s="731">
        <v>5.569</v>
      </c>
      <c r="H569" s="186" t="s">
        <v>178</v>
      </c>
      <c r="I569" s="184">
        <f t="shared" si="57"/>
        <v>-3859</v>
      </c>
      <c r="J569" s="237">
        <f ca="1">J558</f>
        <v>5.5549999999999997</v>
      </c>
      <c r="K569" s="186" t="s">
        <v>178</v>
      </c>
      <c r="L569" s="184">
        <f t="shared" ca="1" si="58"/>
        <v>-3850</v>
      </c>
      <c r="M569" s="11"/>
      <c r="N569" s="20"/>
      <c r="O569" s="38"/>
      <c r="P569" s="38"/>
      <c r="Q569" s="38"/>
      <c r="R569" s="11"/>
      <c r="S569" s="11"/>
      <c r="T569" s="11"/>
      <c r="U569" s="11"/>
      <c r="V569" s="11"/>
      <c r="AB569" s="11"/>
      <c r="AC569" s="11"/>
      <c r="AD569" s="11"/>
      <c r="AE569" s="11"/>
      <c r="AF569" s="11"/>
      <c r="AG569" s="11"/>
      <c r="AH569" s="11"/>
    </row>
    <row r="570" spans="1:36">
      <c r="A570" s="186" t="s">
        <v>204</v>
      </c>
      <c r="B570" s="1"/>
      <c r="C570" s="182">
        <f t="shared" si="55"/>
        <v>46478</v>
      </c>
      <c r="D570" s="238">
        <f>D559</f>
        <v>58</v>
      </c>
      <c r="E570" s="186" t="s">
        <v>178</v>
      </c>
      <c r="F570" s="184">
        <f t="shared" si="56"/>
        <v>-39</v>
      </c>
      <c r="G570" s="733">
        <v>58</v>
      </c>
      <c r="H570" s="186" t="s">
        <v>178</v>
      </c>
      <c r="I570" s="184">
        <f t="shared" si="57"/>
        <v>-39</v>
      </c>
      <c r="J570" s="238">
        <f>J559</f>
        <v>58</v>
      </c>
      <c r="K570" s="186" t="s">
        <v>178</v>
      </c>
      <c r="L570" s="184">
        <f t="shared" si="58"/>
        <v>-39</v>
      </c>
      <c r="M570" s="11"/>
      <c r="N570" s="20"/>
      <c r="O570" s="38"/>
      <c r="P570" s="38"/>
      <c r="Q570" s="38"/>
      <c r="R570" s="11"/>
      <c r="S570" s="11"/>
      <c r="T570" s="11"/>
      <c r="U570" s="11"/>
      <c r="V570" s="11"/>
      <c r="AB570" s="11"/>
      <c r="AC570" s="11"/>
      <c r="AD570" s="11"/>
      <c r="AE570" s="11"/>
      <c r="AF570" s="11"/>
      <c r="AG570" s="11"/>
      <c r="AH570" s="11"/>
    </row>
    <row r="571" spans="1:36">
      <c r="A571" s="186" t="s">
        <v>247</v>
      </c>
      <c r="B571" s="1"/>
      <c r="C571" s="182">
        <f>C609+C643</f>
        <v>104</v>
      </c>
      <c r="D571" s="161">
        <v>60</v>
      </c>
      <c r="E571" s="1"/>
      <c r="F571" s="184">
        <f t="shared" si="56"/>
        <v>6240</v>
      </c>
      <c r="G571" s="506">
        <v>60</v>
      </c>
      <c r="H571" s="1"/>
      <c r="I571" s="184">
        <f t="shared" si="57"/>
        <v>6240</v>
      </c>
      <c r="J571" s="161">
        <f t="shared" ref="J571:J572" si="59">G571</f>
        <v>60</v>
      </c>
      <c r="K571" s="1"/>
      <c r="L571" s="184">
        <f t="shared" si="58"/>
        <v>6240</v>
      </c>
      <c r="M571" s="279"/>
      <c r="N571" s="20"/>
      <c r="O571" s="38"/>
      <c r="P571" s="512"/>
      <c r="Q571" s="38"/>
      <c r="R571" s="11"/>
      <c r="S571" s="11"/>
      <c r="T571" s="11"/>
      <c r="U571" s="11"/>
      <c r="V571" s="11"/>
      <c r="AB571" s="11"/>
      <c r="AC571" s="11"/>
      <c r="AD571" s="11"/>
      <c r="AE571" s="11"/>
      <c r="AF571" s="11"/>
      <c r="AG571" s="11"/>
      <c r="AH571" s="11"/>
    </row>
    <row r="572" spans="1:36">
      <c r="A572" s="186" t="s">
        <v>248</v>
      </c>
      <c r="B572" s="1"/>
      <c r="C572" s="182">
        <f>C610+C644</f>
        <v>46478</v>
      </c>
      <c r="D572" s="202">
        <v>-30</v>
      </c>
      <c r="E572" s="184" t="s">
        <v>178</v>
      </c>
      <c r="F572" s="184">
        <f t="shared" si="56"/>
        <v>-13943</v>
      </c>
      <c r="G572" s="737">
        <v>-30</v>
      </c>
      <c r="H572" s="184" t="s">
        <v>178</v>
      </c>
      <c r="I572" s="184">
        <f t="shared" si="57"/>
        <v>-13943</v>
      </c>
      <c r="J572" s="202">
        <f t="shared" si="59"/>
        <v>-30</v>
      </c>
      <c r="K572" s="184" t="s">
        <v>178</v>
      </c>
      <c r="L572" s="184">
        <f t="shared" si="58"/>
        <v>-13943</v>
      </c>
      <c r="M572" s="279"/>
      <c r="N572" s="20"/>
      <c r="O572" s="20"/>
      <c r="P572" s="512"/>
      <c r="Q572" s="38"/>
      <c r="R572" s="11"/>
      <c r="S572" s="11"/>
      <c r="T572" s="11"/>
      <c r="U572" s="11"/>
      <c r="V572" s="11"/>
      <c r="AB572" s="11"/>
      <c r="AC572" s="11"/>
      <c r="AD572" s="11"/>
      <c r="AE572" s="11"/>
      <c r="AF572" s="11"/>
      <c r="AG572" s="11"/>
      <c r="AH572" s="11"/>
    </row>
    <row r="573" spans="1:36" s="545" customFormat="1" hidden="1">
      <c r="A573" s="524" t="s">
        <v>481</v>
      </c>
      <c r="C573" s="182">
        <f>C611+C645</f>
        <v>941125570.0470736</v>
      </c>
      <c r="D573" s="132">
        <v>0</v>
      </c>
      <c r="E573" s="546"/>
      <c r="F573" s="548"/>
      <c r="G573" s="738" t="e">
        <v>#REF!</v>
      </c>
      <c r="H573" s="529" t="s">
        <v>178</v>
      </c>
      <c r="I573" s="184" t="e">
        <f>#REF!+#REF!</f>
        <v>#REF!</v>
      </c>
      <c r="J573" s="553" t="e">
        <f>#REF!</f>
        <v>#REF!</v>
      </c>
      <c r="K573" s="529" t="s">
        <v>178</v>
      </c>
      <c r="L573" s="184" t="e">
        <f>#REF!+#REF!</f>
        <v>#REF!</v>
      </c>
      <c r="M573" s="546"/>
      <c r="N573" s="546"/>
      <c r="O573" s="315"/>
      <c r="P573" s="546"/>
      <c r="Q573" s="546"/>
      <c r="R573" s="700"/>
      <c r="S573" s="700"/>
      <c r="T573" s="546"/>
      <c r="U573" s="546"/>
      <c r="V573" s="546"/>
      <c r="X573" s="546"/>
      <c r="Y573" s="546"/>
      <c r="Z573" s="546"/>
      <c r="AA573" s="546"/>
      <c r="AB573" s="546"/>
      <c r="AC573" s="546"/>
      <c r="AD573" s="546"/>
      <c r="AE573" s="546"/>
      <c r="AF573" s="546"/>
      <c r="AG573" s="546"/>
      <c r="AH573" s="546"/>
      <c r="AJ573" s="549"/>
    </row>
    <row r="574" spans="1:36" s="545" customFormat="1" hidden="1">
      <c r="A574" s="524" t="s">
        <v>482</v>
      </c>
      <c r="C574" s="182">
        <f>C612+C646</f>
        <v>9615691.1370288637</v>
      </c>
      <c r="D574" s="132">
        <v>0</v>
      </c>
      <c r="E574" s="546"/>
      <c r="F574" s="548"/>
      <c r="G574" s="738" t="e">
        <v>#REF!</v>
      </c>
      <c r="H574" s="529" t="s">
        <v>178</v>
      </c>
      <c r="I574" s="184" t="e">
        <f>#REF!+#REF!</f>
        <v>#REF!</v>
      </c>
      <c r="J574" s="553" t="e">
        <f>#REF!</f>
        <v>#REF!</v>
      </c>
      <c r="K574" s="529" t="s">
        <v>178</v>
      </c>
      <c r="L574" s="184" t="e">
        <f>#REF!+#REF!</f>
        <v>#REF!</v>
      </c>
      <c r="M574" s="546"/>
      <c r="N574" s="546"/>
      <c r="O574" s="315"/>
      <c r="P574" s="546"/>
      <c r="Q574" s="546"/>
      <c r="R574" s="700"/>
      <c r="S574" s="700"/>
      <c r="T574" s="546"/>
      <c r="U574" s="546"/>
      <c r="V574" s="546"/>
      <c r="X574" s="546"/>
      <c r="Y574" s="546"/>
      <c r="Z574" s="546"/>
      <c r="AA574" s="546"/>
      <c r="AB574" s="546"/>
      <c r="AC574" s="546"/>
      <c r="AD574" s="546"/>
      <c r="AE574" s="546"/>
      <c r="AF574" s="546"/>
      <c r="AG574" s="546"/>
      <c r="AH574" s="546"/>
      <c r="AJ574" s="549"/>
    </row>
    <row r="575" spans="1:36">
      <c r="A575" s="1" t="s">
        <v>185</v>
      </c>
      <c r="B575" s="29"/>
      <c r="C575" s="182">
        <f>C611+C645</f>
        <v>941125570.0470736</v>
      </c>
      <c r="D575" s="187"/>
      <c r="E575" s="1"/>
      <c r="F575" s="2">
        <f>F611+F645</f>
        <v>75400488</v>
      </c>
      <c r="G575" s="516"/>
      <c r="H575" s="1"/>
      <c r="I575" s="2">
        <f>I611+I645</f>
        <v>78439989</v>
      </c>
      <c r="J575" s="2"/>
      <c r="K575" s="1"/>
      <c r="L575" s="2">
        <f ca="1">L611+L645</f>
        <v>78308244</v>
      </c>
      <c r="M575" s="185"/>
      <c r="N575" s="185"/>
      <c r="O575" s="185"/>
      <c r="P575" s="512"/>
      <c r="Q575" s="709"/>
      <c r="R575" s="11"/>
      <c r="S575" s="11"/>
      <c r="T575" s="11"/>
      <c r="U575" s="11"/>
      <c r="V575" s="11"/>
      <c r="AB575" s="11"/>
      <c r="AC575" s="11"/>
      <c r="AD575" s="11"/>
      <c r="AE575" s="11"/>
      <c r="AF575" s="11"/>
      <c r="AG575" s="11"/>
      <c r="AH575" s="11"/>
    </row>
    <row r="576" spans="1:36">
      <c r="A576" s="1" t="s">
        <v>167</v>
      </c>
      <c r="B576" s="15"/>
      <c r="C576" s="203">
        <f>C612+C646</f>
        <v>9615691.1370288637</v>
      </c>
      <c r="D576" s="172"/>
      <c r="E576" s="172"/>
      <c r="F576" s="173">
        <f>F612+F646</f>
        <v>924430.43214507168</v>
      </c>
      <c r="G576" s="284"/>
      <c r="H576" s="172"/>
      <c r="I576" s="173">
        <f>F576</f>
        <v>924430.43214507168</v>
      </c>
      <c r="J576" s="172"/>
      <c r="K576" s="172"/>
      <c r="L576" s="173">
        <f>I576</f>
        <v>924430.43214507168</v>
      </c>
      <c r="M576" s="307"/>
      <c r="N576" s="307"/>
      <c r="O576" s="150"/>
      <c r="P576" s="38"/>
      <c r="Q576" s="38"/>
      <c r="R576" s="11"/>
      <c r="S576" s="11"/>
      <c r="T576" s="11"/>
      <c r="U576" s="11"/>
      <c r="V576" s="11"/>
      <c r="AB576" s="11"/>
      <c r="AC576" s="11"/>
      <c r="AD576" s="11"/>
      <c r="AE576" s="11"/>
      <c r="AF576" s="11"/>
      <c r="AG576" s="11"/>
      <c r="AH576" s="11"/>
    </row>
    <row r="577" spans="1:34" ht="16.5" thickBot="1">
      <c r="A577" s="1" t="s">
        <v>186</v>
      </c>
      <c r="B577" s="1"/>
      <c r="C577" s="229">
        <f>SUM(C575)+C576</f>
        <v>950741261.18410242</v>
      </c>
      <c r="D577" s="205"/>
      <c r="E577" s="208"/>
      <c r="F577" s="207">
        <f>F575+F576</f>
        <v>76324918.432145074</v>
      </c>
      <c r="G577" s="741"/>
      <c r="H577" s="208"/>
      <c r="I577" s="207">
        <f>I575+I576</f>
        <v>79364419.432145074</v>
      </c>
      <c r="J577" s="205"/>
      <c r="K577" s="208"/>
      <c r="L577" s="207">
        <f ca="1">L575+L576</f>
        <v>79232674.432145074</v>
      </c>
      <c r="M577" s="11"/>
      <c r="N577" s="279"/>
      <c r="O577" s="133"/>
      <c r="P577" s="500"/>
      <c r="Q577" s="500"/>
      <c r="R577" s="512"/>
      <c r="S577" s="11"/>
      <c r="T577" s="11"/>
      <c r="U577" s="11"/>
      <c r="V577" s="11"/>
      <c r="AB577" s="11"/>
      <c r="AC577" s="11"/>
      <c r="AD577" s="11"/>
      <c r="AE577" s="11"/>
      <c r="AF577" s="11"/>
      <c r="AG577" s="11"/>
      <c r="AH577" s="11"/>
    </row>
    <row r="578" spans="1:34" ht="16.5" thickTop="1">
      <c r="A578" s="1"/>
      <c r="B578" s="1"/>
      <c r="C578" s="16"/>
      <c r="D578" s="214"/>
      <c r="E578" s="14"/>
      <c r="F578" s="185"/>
      <c r="G578" s="742"/>
      <c r="H578" s="14"/>
      <c r="I578" s="185" t="s">
        <v>13</v>
      </c>
      <c r="J578" s="214"/>
      <c r="K578" s="14"/>
      <c r="L578" s="185" t="s">
        <v>13</v>
      </c>
      <c r="M578" s="11"/>
      <c r="N578" s="11"/>
      <c r="O578" s="279"/>
      <c r="P578" s="6"/>
      <c r="Q578" s="500"/>
      <c r="R578" s="512"/>
      <c r="S578" s="11"/>
      <c r="T578" s="11"/>
      <c r="U578" s="11"/>
      <c r="V578" s="11"/>
      <c r="AB578" s="11"/>
      <c r="AC578" s="11"/>
      <c r="AD578" s="11"/>
      <c r="AE578" s="11"/>
      <c r="AF578" s="11"/>
      <c r="AG578" s="11"/>
      <c r="AH578" s="11"/>
    </row>
    <row r="579" spans="1:34" hidden="1">
      <c r="A579" s="1"/>
      <c r="B579" s="1"/>
      <c r="C579" s="16"/>
      <c r="D579" s="214"/>
      <c r="E579" s="14"/>
      <c r="F579" s="185"/>
      <c r="G579" s="742"/>
      <c r="H579" s="14"/>
      <c r="I579" s="185"/>
      <c r="J579" s="214"/>
      <c r="K579" s="14"/>
      <c r="L579" s="185"/>
      <c r="M579" s="11"/>
      <c r="N579" s="11"/>
      <c r="O579" s="38"/>
      <c r="P579" s="38"/>
      <c r="Q579" s="500"/>
      <c r="R579" s="512"/>
      <c r="S579" s="11"/>
      <c r="T579" s="11"/>
      <c r="U579" s="11"/>
      <c r="V579" s="11"/>
      <c r="AB579" s="11"/>
      <c r="AC579" s="11"/>
      <c r="AD579" s="11"/>
      <c r="AE579" s="11"/>
      <c r="AF579" s="11"/>
      <c r="AG579" s="11"/>
      <c r="AH579" s="11"/>
    </row>
    <row r="580" spans="1:34" hidden="1">
      <c r="A580" s="1"/>
      <c r="B580" s="1"/>
      <c r="C580" s="12"/>
      <c r="D580" s="200" t="s">
        <v>13</v>
      </c>
      <c r="E580" s="1"/>
      <c r="F580" s="2" t="s">
        <v>13</v>
      </c>
      <c r="G580" s="216" t="s">
        <v>13</v>
      </c>
      <c r="H580" s="1"/>
      <c r="I580" s="2" t="s">
        <v>13</v>
      </c>
      <c r="J580" s="216" t="s">
        <v>13</v>
      </c>
      <c r="K580" s="1"/>
      <c r="L580" s="2" t="s">
        <v>13</v>
      </c>
      <c r="M580" s="11"/>
      <c r="N580" s="11"/>
      <c r="O580" s="38"/>
      <c r="P580" s="38"/>
      <c r="Q580" s="554"/>
      <c r="R580" s="11"/>
      <c r="S580" s="11"/>
      <c r="T580" s="11"/>
      <c r="U580" s="11"/>
      <c r="V580" s="11"/>
      <c r="AB580" s="11"/>
      <c r="AC580" s="11"/>
      <c r="AD580" s="11"/>
      <c r="AE580" s="11"/>
      <c r="AF580" s="11"/>
      <c r="AG580" s="11"/>
      <c r="AH580" s="11"/>
    </row>
    <row r="581" spans="1:34" hidden="1">
      <c r="A581" s="156" t="s">
        <v>240</v>
      </c>
      <c r="B581" s="1"/>
      <c r="C581" s="1"/>
      <c r="D581" s="2"/>
      <c r="E581" s="1"/>
      <c r="F581" s="1"/>
      <c r="G581" s="516"/>
      <c r="H581" s="1"/>
      <c r="I581" s="1"/>
      <c r="J581" s="2"/>
      <c r="K581" s="1"/>
      <c r="L581" s="1"/>
      <c r="M581" s="11"/>
      <c r="N581" s="11"/>
      <c r="O581" s="38"/>
      <c r="P581" s="38"/>
      <c r="Q581" s="38"/>
      <c r="R581" s="11"/>
      <c r="S581" s="11"/>
      <c r="T581" s="11"/>
      <c r="U581" s="11"/>
      <c r="V581" s="11"/>
      <c r="AB581" s="11"/>
      <c r="AC581" s="11"/>
      <c r="AD581" s="11"/>
      <c r="AE581" s="11"/>
      <c r="AF581" s="11"/>
      <c r="AG581" s="11"/>
      <c r="AH581" s="11"/>
    </row>
    <row r="582" spans="1:34" hidden="1">
      <c r="A582" s="172" t="s">
        <v>249</v>
      </c>
      <c r="B582" s="1"/>
      <c r="C582" s="1"/>
      <c r="D582" s="2"/>
      <c r="E582" s="1"/>
      <c r="F582" s="1"/>
      <c r="G582" s="516"/>
      <c r="H582" s="1"/>
      <c r="I582" s="1"/>
      <c r="J582" s="2"/>
      <c r="K582" s="1"/>
      <c r="L582" s="1"/>
      <c r="M582" s="11"/>
      <c r="N582" s="11"/>
      <c r="O582" s="511"/>
      <c r="P582" s="38"/>
      <c r="Q582" s="38"/>
      <c r="R582" s="11"/>
      <c r="S582" s="11"/>
      <c r="T582" s="11"/>
      <c r="U582" s="11"/>
      <c r="V582" s="11"/>
      <c r="AB582" s="11"/>
      <c r="AC582" s="11"/>
      <c r="AD582" s="11"/>
      <c r="AE582" s="11"/>
      <c r="AF582" s="11"/>
      <c r="AG582" s="11"/>
      <c r="AH582" s="11"/>
    </row>
    <row r="583" spans="1:34" hidden="1">
      <c r="A583" s="186"/>
      <c r="B583" s="1"/>
      <c r="C583" s="1"/>
      <c r="D583" s="2"/>
      <c r="E583" s="1"/>
      <c r="F583" s="1"/>
      <c r="G583" s="516"/>
      <c r="H583" s="1"/>
      <c r="I583" s="1"/>
      <c r="J583" s="2"/>
      <c r="K583" s="1"/>
      <c r="L583" s="1"/>
      <c r="M583" s="11"/>
      <c r="N583" s="11"/>
      <c r="O583" s="38"/>
      <c r="P583" s="38"/>
      <c r="Q583" s="38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idden="1">
      <c r="A584" s="186" t="s">
        <v>197</v>
      </c>
      <c r="B584" s="1"/>
      <c r="C584" s="182"/>
      <c r="D584" s="2"/>
      <c r="E584" s="1"/>
      <c r="F584" s="1"/>
      <c r="G584" s="516"/>
      <c r="H584" s="1"/>
      <c r="I584" s="1"/>
      <c r="J584" s="2"/>
      <c r="K584" s="1"/>
      <c r="L584" s="1"/>
      <c r="M584" s="11"/>
      <c r="N584" s="11"/>
      <c r="O584" s="38"/>
      <c r="P584" s="38"/>
      <c r="Q584" s="38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idden="1">
      <c r="A585" s="186" t="s">
        <v>225</v>
      </c>
      <c r="B585" s="1"/>
      <c r="C585" s="182">
        <v>184.333333333333</v>
      </c>
      <c r="D585" s="161">
        <f>D547</f>
        <v>248</v>
      </c>
      <c r="E585" s="186"/>
      <c r="F585" s="184">
        <f>ROUND(D585*C585,0)</f>
        <v>45715</v>
      </c>
      <c r="G585" s="506">
        <v>248</v>
      </c>
      <c r="H585" s="186"/>
      <c r="I585" s="184">
        <f>ROUND(G585*$C585,0)</f>
        <v>45715</v>
      </c>
      <c r="J585" s="161">
        <f>$G$547</f>
        <v>248</v>
      </c>
      <c r="K585" s="186"/>
      <c r="L585" s="184">
        <f>ROUND(J585*$C585,0)</f>
        <v>45715</v>
      </c>
      <c r="M585" s="11"/>
      <c r="N585" s="11"/>
      <c r="O585" s="38"/>
      <c r="P585" s="38"/>
      <c r="Q585" s="38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idden="1">
      <c r="A586" s="186" t="s">
        <v>226</v>
      </c>
      <c r="B586" s="1"/>
      <c r="C586" s="182">
        <v>8100.2333333333363</v>
      </c>
      <c r="D586" s="161">
        <f>D548</f>
        <v>93</v>
      </c>
      <c r="E586" s="186"/>
      <c r="F586" s="184">
        <f>ROUND(D586*C586,0)</f>
        <v>753322</v>
      </c>
      <c r="G586" s="506">
        <v>93</v>
      </c>
      <c r="H586" s="186"/>
      <c r="I586" s="184">
        <f>ROUND(G586*$C586,0)</f>
        <v>753322</v>
      </c>
      <c r="J586" s="161">
        <f>$G$548</f>
        <v>93</v>
      </c>
      <c r="K586" s="186"/>
      <c r="L586" s="184">
        <f>ROUND(J586*$C586,0)</f>
        <v>753322</v>
      </c>
      <c r="M586" s="11"/>
      <c r="N586" s="11"/>
      <c r="O586" s="38"/>
      <c r="P586" s="38"/>
      <c r="Q586" s="38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idden="1">
      <c r="A587" s="186" t="s">
        <v>227</v>
      </c>
      <c r="B587" s="1"/>
      <c r="C587" s="182">
        <v>3401.3</v>
      </c>
      <c r="D587" s="161">
        <f>D549</f>
        <v>185</v>
      </c>
      <c r="E587" s="188"/>
      <c r="F587" s="184">
        <f>ROUND(D587*C587,0)</f>
        <v>629241</v>
      </c>
      <c r="G587" s="506">
        <v>185</v>
      </c>
      <c r="H587" s="188"/>
      <c r="I587" s="184">
        <f>ROUND(G587*$C587,0)</f>
        <v>629241</v>
      </c>
      <c r="J587" s="161">
        <f>$G$549</f>
        <v>185</v>
      </c>
      <c r="K587" s="188"/>
      <c r="L587" s="184">
        <f>ROUND(J587*$C587,0)</f>
        <v>629241</v>
      </c>
      <c r="M587" s="11"/>
      <c r="N587" s="11"/>
      <c r="O587" s="38"/>
      <c r="P587" s="38"/>
      <c r="Q587" s="38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idden="1">
      <c r="A588" s="186" t="s">
        <v>198</v>
      </c>
      <c r="B588" s="1"/>
      <c r="C588" s="182">
        <f>SUM(C585:C587)</f>
        <v>11685.866666666669</v>
      </c>
      <c r="D588" s="161"/>
      <c r="E588" s="186"/>
      <c r="F588" s="184"/>
      <c r="G588" s="506"/>
      <c r="H588" s="186"/>
      <c r="I588" s="184"/>
      <c r="J588" s="161"/>
      <c r="K588" s="186"/>
      <c r="L588" s="184"/>
      <c r="M588" s="11"/>
      <c r="N588" s="11"/>
      <c r="O588" s="38"/>
      <c r="P588" s="38"/>
      <c r="Q588" s="38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idden="1">
      <c r="A589" s="186" t="s">
        <v>226</v>
      </c>
      <c r="B589" s="1"/>
      <c r="C589" s="182">
        <v>1404169.4000000034</v>
      </c>
      <c r="D589" s="161">
        <f>D551</f>
        <v>1.8</v>
      </c>
      <c r="E589" s="186" t="s">
        <v>13</v>
      </c>
      <c r="F589" s="184">
        <f>ROUND(D589*C589,0)</f>
        <v>2527505</v>
      </c>
      <c r="G589" s="506">
        <v>1.8</v>
      </c>
      <c r="H589" s="186" t="s">
        <v>13</v>
      </c>
      <c r="I589" s="184">
        <f>ROUND(G589*$C589,0)</f>
        <v>2527505</v>
      </c>
      <c r="J589" s="161">
        <f>$G$551</f>
        <v>1.8</v>
      </c>
      <c r="K589" s="186" t="s">
        <v>13</v>
      </c>
      <c r="L589" s="184">
        <f>ROUND(J589*$C589,0)</f>
        <v>2527505</v>
      </c>
      <c r="M589" s="11"/>
      <c r="N589" s="11"/>
      <c r="O589" s="38"/>
      <c r="P589" s="38"/>
      <c r="Q589" s="38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idden="1">
      <c r="A590" s="186" t="s">
        <v>227</v>
      </c>
      <c r="B590" s="1"/>
      <c r="C590" s="182">
        <v>1674028.8</v>
      </c>
      <c r="D590" s="161">
        <f>D552</f>
        <v>1.48</v>
      </c>
      <c r="E590" s="186" t="s">
        <v>13</v>
      </c>
      <c r="F590" s="184">
        <f>ROUND(D590*C590,0)</f>
        <v>2477563</v>
      </c>
      <c r="G590" s="506">
        <v>1.48</v>
      </c>
      <c r="H590" s="186" t="s">
        <v>13</v>
      </c>
      <c r="I590" s="184">
        <f>ROUND(G590*$C590,0)</f>
        <v>2477563</v>
      </c>
      <c r="J590" s="161">
        <f>$G$552</f>
        <v>1.48</v>
      </c>
      <c r="K590" s="186" t="s">
        <v>13</v>
      </c>
      <c r="L590" s="184">
        <f>ROUND(J590*$C590,0)</f>
        <v>2477563</v>
      </c>
      <c r="M590" s="11"/>
      <c r="N590" s="11"/>
      <c r="O590" s="38"/>
      <c r="P590" s="38"/>
      <c r="Q590" s="38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idden="1">
      <c r="A591" s="172" t="s">
        <v>228</v>
      </c>
      <c r="B591" s="1"/>
      <c r="C591" s="182"/>
      <c r="D591" s="218"/>
      <c r="E591" s="186"/>
      <c r="F591" s="184"/>
      <c r="G591" s="506"/>
      <c r="H591" s="186"/>
      <c r="I591" s="184"/>
      <c r="J591" s="218"/>
      <c r="K591" s="186"/>
      <c r="L591" s="184"/>
      <c r="M591" s="11"/>
      <c r="N591" s="11"/>
      <c r="O591" s="38"/>
      <c r="P591" s="38"/>
      <c r="Q591" s="38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idden="1">
      <c r="A592" s="172" t="s">
        <v>229</v>
      </c>
      <c r="B592" s="1"/>
      <c r="C592" s="182">
        <v>2282225.4500000002</v>
      </c>
      <c r="D592" s="161">
        <f>D554</f>
        <v>6.3</v>
      </c>
      <c r="E592" s="186"/>
      <c r="F592" s="184">
        <f>ROUND(D592*C592,0)</f>
        <v>14378020</v>
      </c>
      <c r="G592" s="506">
        <v>6.3</v>
      </c>
      <c r="H592" s="186"/>
      <c r="I592" s="184">
        <f>ROUND(G592*$C592,0)</f>
        <v>14378020</v>
      </c>
      <c r="J592" s="161">
        <f>$G$554</f>
        <v>6.3</v>
      </c>
      <c r="K592" s="186"/>
      <c r="L592" s="184">
        <f>ROUND(J592*$C592,0)</f>
        <v>14378020</v>
      </c>
      <c r="M592" s="11"/>
      <c r="N592" s="11"/>
      <c r="O592" s="38"/>
      <c r="P592" s="38"/>
      <c r="Q592" s="38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idden="1">
      <c r="A593" s="172" t="s">
        <v>245</v>
      </c>
      <c r="B593" s="1"/>
      <c r="C593" s="182">
        <v>4282.1833333333334</v>
      </c>
      <c r="D593" s="232">
        <f>D592</f>
        <v>6.3</v>
      </c>
      <c r="E593" s="186"/>
      <c r="F593" s="184">
        <f>ROUND(D593*C593,0)</f>
        <v>26978</v>
      </c>
      <c r="G593" s="506">
        <v>6.3</v>
      </c>
      <c r="H593" s="186"/>
      <c r="I593" s="184">
        <f>ROUND(G593*$C593,0)</f>
        <v>26978</v>
      </c>
      <c r="J593" s="232">
        <f>J592</f>
        <v>6.3</v>
      </c>
      <c r="K593" s="186"/>
      <c r="L593" s="184">
        <f>ROUND(J593*$C593,0)</f>
        <v>26978</v>
      </c>
      <c r="M593" s="11"/>
      <c r="N593" s="11"/>
      <c r="O593" s="38"/>
      <c r="P593" s="38"/>
      <c r="Q593" s="38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idden="1">
      <c r="A594" s="186" t="s">
        <v>230</v>
      </c>
      <c r="B594" s="1"/>
      <c r="C594" s="182"/>
      <c r="D594" s="161"/>
      <c r="E594" s="186"/>
      <c r="F594" s="184"/>
      <c r="G594" s="506"/>
      <c r="H594" s="186"/>
      <c r="I594" s="184"/>
      <c r="J594" s="161"/>
      <c r="K594" s="186"/>
      <c r="L594" s="184"/>
      <c r="M594" s="11"/>
      <c r="N594" s="11"/>
      <c r="O594" s="38"/>
      <c r="P594" s="38"/>
      <c r="Q594" s="38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idden="1">
      <c r="A595" s="186" t="s">
        <v>231</v>
      </c>
      <c r="B595" s="182"/>
      <c r="C595" s="182">
        <v>371191579.74517125</v>
      </c>
      <c r="D595" s="191">
        <f>D557</f>
        <v>5.7480000000000002</v>
      </c>
      <c r="E595" s="186" t="s">
        <v>178</v>
      </c>
      <c r="F595" s="184">
        <f>ROUND(D595*C595/100,0)</f>
        <v>21336092</v>
      </c>
      <c r="G595" s="745">
        <v>6.0709999999999997</v>
      </c>
      <c r="H595" s="186" t="s">
        <v>178</v>
      </c>
      <c r="I595" s="184">
        <f>ROUND(G595*$C595/100,0)</f>
        <v>22535041</v>
      </c>
      <c r="J595" s="190">
        <f ca="1">$J$557</f>
        <v>6.0570000000000004</v>
      </c>
      <c r="K595" s="186" t="s">
        <v>178</v>
      </c>
      <c r="L595" s="184">
        <f ca="1">ROUND(J595*$C595/100,0)</f>
        <v>22483074</v>
      </c>
      <c r="M595" s="11"/>
      <c r="N595" s="11"/>
      <c r="O595" s="38"/>
      <c r="P595" s="38"/>
      <c r="Q595" s="38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idden="1">
      <c r="A596" s="186" t="s">
        <v>203</v>
      </c>
      <c r="B596" s="182"/>
      <c r="C596" s="182">
        <v>467777200.30190235</v>
      </c>
      <c r="D596" s="191">
        <f>D558</f>
        <v>5.2460000000000004</v>
      </c>
      <c r="E596" s="186" t="s">
        <v>178</v>
      </c>
      <c r="F596" s="184">
        <f>ROUND(D596*C596/100,0)</f>
        <v>24539592</v>
      </c>
      <c r="G596" s="745">
        <v>5.569</v>
      </c>
      <c r="H596" s="186" t="s">
        <v>178</v>
      </c>
      <c r="I596" s="184">
        <f>ROUND(G596*$C596/100,0)</f>
        <v>26050512</v>
      </c>
      <c r="J596" s="190">
        <f ca="1">$J$558</f>
        <v>5.5549999999999997</v>
      </c>
      <c r="K596" s="186" t="s">
        <v>178</v>
      </c>
      <c r="L596" s="184">
        <f ca="1">ROUND(J596*$C596/100,0)</f>
        <v>25985023</v>
      </c>
      <c r="M596" s="11"/>
      <c r="N596" s="11"/>
      <c r="O596" s="38"/>
      <c r="P596" s="38"/>
      <c r="Q596" s="38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idden="1">
      <c r="A597" s="186" t="s">
        <v>204</v>
      </c>
      <c r="B597" s="1"/>
      <c r="C597" s="182">
        <v>351183.40000000037</v>
      </c>
      <c r="D597" s="520">
        <f>D559</f>
        <v>58</v>
      </c>
      <c r="E597" s="186" t="s">
        <v>178</v>
      </c>
      <c r="F597" s="184">
        <f>ROUND(D597*C597/100,0)</f>
        <v>203686</v>
      </c>
      <c r="G597" s="746">
        <v>58</v>
      </c>
      <c r="H597" s="186" t="s">
        <v>178</v>
      </c>
      <c r="I597" s="184">
        <f>ROUND(G597*$C597/100,0)</f>
        <v>203686</v>
      </c>
      <c r="J597" s="338">
        <f>$G$559</f>
        <v>58</v>
      </c>
      <c r="K597" s="186" t="s">
        <v>178</v>
      </c>
      <c r="L597" s="184">
        <f>ROUND(J597*$C597/100,0)</f>
        <v>203686</v>
      </c>
      <c r="M597" s="11"/>
      <c r="N597" s="11"/>
      <c r="O597" s="38"/>
      <c r="P597" s="38"/>
      <c r="Q597" s="38"/>
      <c r="R597" s="6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idden="1">
      <c r="A598" s="223" t="s">
        <v>205</v>
      </c>
      <c r="B598" s="1"/>
      <c r="C598" s="182"/>
      <c r="D598" s="195">
        <v>-0.01</v>
      </c>
      <c r="E598" s="1"/>
      <c r="F598" s="184"/>
      <c r="G598" s="734">
        <v>-0.01</v>
      </c>
      <c r="H598" s="1"/>
      <c r="I598" s="184"/>
      <c r="J598" s="195">
        <v>-0.01</v>
      </c>
      <c r="K598" s="1"/>
      <c r="L598" s="184"/>
      <c r="M598" s="11"/>
      <c r="N598" s="11"/>
      <c r="O598" s="38"/>
      <c r="P598" s="279"/>
      <c r="Q598" s="38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idden="1">
      <c r="A599" s="186" t="s">
        <v>225</v>
      </c>
      <c r="B599" s="12"/>
      <c r="C599" s="182">
        <v>0</v>
      </c>
      <c r="D599" s="167">
        <f>D585</f>
        <v>248</v>
      </c>
      <c r="E599" s="156"/>
      <c r="F599" s="184">
        <f t="shared" ref="F599:F605" si="60">ROUND(D599*C599*$D$598,0)</f>
        <v>0</v>
      </c>
      <c r="G599" s="506">
        <v>248</v>
      </c>
      <c r="H599" s="156"/>
      <c r="I599" s="184">
        <f>ROUND(G599*$C599*G598,0)</f>
        <v>0</v>
      </c>
      <c r="J599" s="167">
        <f>J585</f>
        <v>248</v>
      </c>
      <c r="K599" s="156"/>
      <c r="L599" s="184">
        <f>ROUND(J599*$C599*J598,0)</f>
        <v>0</v>
      </c>
      <c r="M599" s="11"/>
      <c r="N599" s="11"/>
      <c r="O599" s="38"/>
      <c r="P599" s="279"/>
      <c r="Q599" s="38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idden="1">
      <c r="A600" s="186" t="s">
        <v>226</v>
      </c>
      <c r="B600" s="1"/>
      <c r="C600" s="182">
        <v>44</v>
      </c>
      <c r="D600" s="167">
        <f>D586</f>
        <v>93</v>
      </c>
      <c r="E600" s="156"/>
      <c r="F600" s="184">
        <f t="shared" si="60"/>
        <v>-41</v>
      </c>
      <c r="G600" s="506">
        <v>93</v>
      </c>
      <c r="H600" s="156"/>
      <c r="I600" s="184">
        <f>ROUND(G600*$C600*G598,0)</f>
        <v>-41</v>
      </c>
      <c r="J600" s="167">
        <f>J586</f>
        <v>93</v>
      </c>
      <c r="K600" s="156"/>
      <c r="L600" s="184">
        <f>ROUND(J600*$C600*J598,0)</f>
        <v>-41</v>
      </c>
      <c r="M600" s="11"/>
      <c r="N600" s="11"/>
      <c r="O600" s="38"/>
      <c r="P600" s="279"/>
      <c r="Q600" s="38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idden="1">
      <c r="A601" s="186" t="s">
        <v>227</v>
      </c>
      <c r="B601" s="1"/>
      <c r="C601" s="182">
        <v>60</v>
      </c>
      <c r="D601" s="167">
        <f>D587</f>
        <v>185</v>
      </c>
      <c r="E601" s="236"/>
      <c r="F601" s="184">
        <f t="shared" si="60"/>
        <v>-111</v>
      </c>
      <c r="G601" s="506">
        <v>185</v>
      </c>
      <c r="H601" s="236"/>
      <c r="I601" s="184">
        <f>ROUND(G601*$C601*G598,0)</f>
        <v>-111</v>
      </c>
      <c r="J601" s="167">
        <f>J587</f>
        <v>185</v>
      </c>
      <c r="K601" s="236"/>
      <c r="L601" s="184">
        <f>ROUND(J601*$C601*J598,0)</f>
        <v>-111</v>
      </c>
      <c r="M601" s="11"/>
      <c r="N601" s="11"/>
      <c r="O601" s="38"/>
      <c r="P601" s="279"/>
      <c r="Q601" s="38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idden="1">
      <c r="A602" s="186" t="s">
        <v>226</v>
      </c>
      <c r="B602" s="1"/>
      <c r="C602" s="182">
        <v>5896</v>
      </c>
      <c r="D602" s="167">
        <f>D589</f>
        <v>1.8</v>
      </c>
      <c r="E602" s="156"/>
      <c r="F602" s="184">
        <f t="shared" si="60"/>
        <v>-106</v>
      </c>
      <c r="G602" s="506">
        <v>1.8</v>
      </c>
      <c r="H602" s="156"/>
      <c r="I602" s="184">
        <f>ROUND(G602*$C602*G598,0)</f>
        <v>-106</v>
      </c>
      <c r="J602" s="167">
        <f>J589</f>
        <v>1.8</v>
      </c>
      <c r="K602" s="156"/>
      <c r="L602" s="184">
        <f>ROUND(J602*$C602*J598,0)</f>
        <v>-106</v>
      </c>
      <c r="M602" s="11"/>
      <c r="N602" s="11"/>
      <c r="O602" s="38"/>
      <c r="P602" s="279"/>
      <c r="Q602" s="38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idden="1">
      <c r="A603" s="186" t="s">
        <v>227</v>
      </c>
      <c r="B603" s="1"/>
      <c r="C603" s="182">
        <v>39349</v>
      </c>
      <c r="D603" s="167">
        <f>D590</f>
        <v>1.48</v>
      </c>
      <c r="E603" s="156"/>
      <c r="F603" s="184">
        <f t="shared" si="60"/>
        <v>-582</v>
      </c>
      <c r="G603" s="506">
        <v>1.48</v>
      </c>
      <c r="H603" s="156"/>
      <c r="I603" s="184">
        <f>ROUND(G603*$C603*G598,0)</f>
        <v>-582</v>
      </c>
      <c r="J603" s="167">
        <f>J590</f>
        <v>1.48</v>
      </c>
      <c r="K603" s="156"/>
      <c r="L603" s="184">
        <f>ROUND(J603*$C603*J598,0)</f>
        <v>-582</v>
      </c>
      <c r="M603" s="11"/>
      <c r="N603" s="11"/>
      <c r="O603" s="38"/>
      <c r="P603" s="279"/>
      <c r="Q603" s="38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idden="1">
      <c r="A604" s="172" t="s">
        <v>229</v>
      </c>
      <c r="B604" s="1"/>
      <c r="C604" s="182">
        <v>27373</v>
      </c>
      <c r="D604" s="167">
        <f>D592</f>
        <v>6.3</v>
      </c>
      <c r="E604" s="156"/>
      <c r="F604" s="184">
        <f t="shared" si="60"/>
        <v>-1724</v>
      </c>
      <c r="G604" s="506">
        <v>6.3</v>
      </c>
      <c r="H604" s="156"/>
      <c r="I604" s="184">
        <f>ROUND(G604*$C604*G598,0)</f>
        <v>-1724</v>
      </c>
      <c r="J604" s="167">
        <f>J592</f>
        <v>6.3</v>
      </c>
      <c r="K604" s="156"/>
      <c r="L604" s="184">
        <f>ROUND(J604*$C604*J598,0)</f>
        <v>-1724</v>
      </c>
      <c r="M604" s="11"/>
      <c r="N604" s="11"/>
      <c r="O604" s="38"/>
      <c r="P604" s="279"/>
      <c r="Q604" s="38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idden="1">
      <c r="A605" s="172" t="s">
        <v>245</v>
      </c>
      <c r="B605" s="1"/>
      <c r="C605" s="182">
        <v>400</v>
      </c>
      <c r="D605" s="167">
        <f>D604</f>
        <v>6.3</v>
      </c>
      <c r="E605" s="156"/>
      <c r="F605" s="184">
        <f t="shared" si="60"/>
        <v>-25</v>
      </c>
      <c r="G605" s="506">
        <v>6.3</v>
      </c>
      <c r="H605" s="156"/>
      <c r="I605" s="184">
        <f>ROUND(G605*$C605*G598,0)</f>
        <v>-25</v>
      </c>
      <c r="J605" s="167">
        <f>J593</f>
        <v>6.3</v>
      </c>
      <c r="K605" s="156"/>
      <c r="L605" s="184">
        <f>ROUND(J605*$C605*J598,0)</f>
        <v>-25</v>
      </c>
      <c r="M605" s="11"/>
      <c r="N605" s="11"/>
      <c r="O605" s="38"/>
      <c r="P605" s="279"/>
      <c r="Q605" s="38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idden="1">
      <c r="A606" s="186" t="s">
        <v>231</v>
      </c>
      <c r="B606" s="1"/>
      <c r="C606" s="182">
        <v>3473060</v>
      </c>
      <c r="D606" s="237">
        <f>D595</f>
        <v>5.7480000000000002</v>
      </c>
      <c r="E606" s="186" t="s">
        <v>178</v>
      </c>
      <c r="F606" s="184">
        <f>ROUND(D606*C606/100*$D$598,0)</f>
        <v>-1996</v>
      </c>
      <c r="G606" s="731">
        <v>6.0709999999999997</v>
      </c>
      <c r="H606" s="186" t="s">
        <v>178</v>
      </c>
      <c r="I606" s="184">
        <f>ROUND(G606*$C606/100*G598,0)</f>
        <v>-2108</v>
      </c>
      <c r="J606" s="237">
        <f ca="1">J595</f>
        <v>6.0570000000000004</v>
      </c>
      <c r="K606" s="186" t="s">
        <v>178</v>
      </c>
      <c r="L606" s="184">
        <f ca="1">ROUND(J606*$C606/100*J598,0)</f>
        <v>-2104</v>
      </c>
      <c r="M606" s="11"/>
      <c r="N606" s="11"/>
      <c r="O606" s="38"/>
      <c r="P606" s="279"/>
      <c r="Q606" s="38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idden="1">
      <c r="A607" s="186" t="s">
        <v>203</v>
      </c>
      <c r="B607" s="1"/>
      <c r="C607" s="182">
        <v>6930058</v>
      </c>
      <c r="D607" s="237">
        <f>D596</f>
        <v>5.2460000000000004</v>
      </c>
      <c r="E607" s="186" t="s">
        <v>178</v>
      </c>
      <c r="F607" s="184">
        <f>ROUND(D607*C607/100*$D$598,0)</f>
        <v>-3636</v>
      </c>
      <c r="G607" s="731">
        <v>5.569</v>
      </c>
      <c r="H607" s="186" t="s">
        <v>178</v>
      </c>
      <c r="I607" s="184">
        <f>ROUND(G607*$C607/100*G598,0)</f>
        <v>-3859</v>
      </c>
      <c r="J607" s="237">
        <f ca="1">J596</f>
        <v>5.5549999999999997</v>
      </c>
      <c r="K607" s="186" t="s">
        <v>178</v>
      </c>
      <c r="L607" s="184">
        <f ca="1">ROUND(J607*$C607/100*J598,0)</f>
        <v>-3850</v>
      </c>
      <c r="M607" s="11"/>
      <c r="N607" s="11"/>
      <c r="O607" s="38"/>
      <c r="P607" s="279"/>
      <c r="Q607" s="38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idden="1">
      <c r="A608" s="186" t="s">
        <v>204</v>
      </c>
      <c r="B608" s="1"/>
      <c r="C608" s="182">
        <v>6802</v>
      </c>
      <c r="D608" s="238">
        <f>D597</f>
        <v>58</v>
      </c>
      <c r="E608" s="186" t="s">
        <v>178</v>
      </c>
      <c r="F608" s="184">
        <f>ROUND(D608*C608/100*$D$598,0)</f>
        <v>-39</v>
      </c>
      <c r="G608" s="733">
        <v>58</v>
      </c>
      <c r="H608" s="186" t="s">
        <v>178</v>
      </c>
      <c r="I608" s="184">
        <f>ROUND(G608*$C608/100*G598,0)</f>
        <v>-39</v>
      </c>
      <c r="J608" s="238">
        <f>J597</f>
        <v>58</v>
      </c>
      <c r="K608" s="186" t="s">
        <v>178</v>
      </c>
      <c r="L608" s="184">
        <f>ROUND(J608*$C608/100*J598,0)</f>
        <v>-39</v>
      </c>
      <c r="M608" s="11"/>
      <c r="N608" s="11"/>
      <c r="O608" s="38"/>
      <c r="P608" s="279"/>
      <c r="Q608" s="38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idden="1">
      <c r="A609" s="186" t="s">
        <v>247</v>
      </c>
      <c r="B609" s="1"/>
      <c r="C609" s="182">
        <v>104</v>
      </c>
      <c r="D609" s="161">
        <v>60</v>
      </c>
      <c r="E609" s="1"/>
      <c r="F609" s="184">
        <f>ROUND(D609*C609,0)</f>
        <v>6240</v>
      </c>
      <c r="G609" s="506">
        <v>60</v>
      </c>
      <c r="H609" s="1"/>
      <c r="I609" s="184">
        <f>ROUND(G609*$C609,0)</f>
        <v>6240</v>
      </c>
      <c r="J609" s="161">
        <f>$G$571</f>
        <v>60</v>
      </c>
      <c r="K609" s="1"/>
      <c r="L609" s="184">
        <f>ROUND(J609*$C609,0)</f>
        <v>6240</v>
      </c>
      <c r="M609" s="11"/>
      <c r="N609" s="11"/>
      <c r="O609" s="38"/>
      <c r="P609" s="11"/>
      <c r="Q609" s="336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idden="1">
      <c r="A610" s="186" t="s">
        <v>248</v>
      </c>
      <c r="B610" s="168"/>
      <c r="C610" s="182">
        <v>46478</v>
      </c>
      <c r="D610" s="202">
        <v>-30</v>
      </c>
      <c r="E610" s="184" t="s">
        <v>178</v>
      </c>
      <c r="F610" s="184">
        <f>-ROUND(D610*C610*$D$598,0)</f>
        <v>-13943</v>
      </c>
      <c r="G610" s="737">
        <v>-30</v>
      </c>
      <c r="H610" s="184" t="s">
        <v>178</v>
      </c>
      <c r="I610" s="184">
        <f>ROUND(G610*$C610/100,0)</f>
        <v>-13943</v>
      </c>
      <c r="J610" s="202">
        <f>$G$572</f>
        <v>-30</v>
      </c>
      <c r="K610" s="184" t="s">
        <v>178</v>
      </c>
      <c r="L610" s="184">
        <f>ROUND(J610*$C610/100,0)</f>
        <v>-13943</v>
      </c>
      <c r="M610" s="11"/>
      <c r="N610" s="11"/>
      <c r="O610" s="38"/>
      <c r="P610" s="11"/>
      <c r="Q610" s="336"/>
      <c r="R610" s="6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idden="1">
      <c r="A611" s="1" t="s">
        <v>185</v>
      </c>
      <c r="B611" s="170"/>
      <c r="C611" s="182">
        <f>SUM(C595:C596)</f>
        <v>838968780.0470736</v>
      </c>
      <c r="D611" s="193"/>
      <c r="E611" s="1"/>
      <c r="F611" s="2">
        <f>SUM(F585:F610)</f>
        <v>66901751</v>
      </c>
      <c r="G611" s="733"/>
      <c r="H611" s="1"/>
      <c r="I611" s="2">
        <f>SUM(I585:I610)</f>
        <v>69611285</v>
      </c>
      <c r="J611" s="193"/>
      <c r="K611" s="1"/>
      <c r="L611" s="2">
        <f ca="1">SUM(L585:L610)</f>
        <v>69493842</v>
      </c>
      <c r="M611" s="11"/>
      <c r="N611" s="11"/>
      <c r="O611" s="38"/>
      <c r="P611" s="279"/>
      <c r="Q611" s="38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idden="1">
      <c r="A612" s="1" t="s">
        <v>167</v>
      </c>
      <c r="B612" s="1"/>
      <c r="C612" s="212">
        <v>7716768.3597677127</v>
      </c>
      <c r="D612" s="172"/>
      <c r="E612" s="172"/>
      <c r="F612" s="173">
        <v>874030.57612896967</v>
      </c>
      <c r="G612" s="284"/>
      <c r="H612" s="172"/>
      <c r="I612" s="173">
        <f>F612</f>
        <v>874030.57612896967</v>
      </c>
      <c r="J612" s="172"/>
      <c r="K612" s="172"/>
      <c r="L612" s="173">
        <f>I612</f>
        <v>874030.57612896967</v>
      </c>
      <c r="M612" s="307"/>
      <c r="N612" s="307"/>
      <c r="O612" s="150"/>
      <c r="P612" s="279"/>
      <c r="Q612" s="38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6.5" hidden="1" thickBot="1">
      <c r="A613" s="1" t="s">
        <v>186</v>
      </c>
      <c r="B613" s="1"/>
      <c r="C613" s="229">
        <f>SUM(C611)+C612</f>
        <v>846685548.40684128</v>
      </c>
      <c r="D613" s="205"/>
      <c r="E613" s="208"/>
      <c r="F613" s="207">
        <f>F611+F612</f>
        <v>67775781.576128975</v>
      </c>
      <c r="G613" s="741"/>
      <c r="H613" s="208"/>
      <c r="I613" s="207">
        <f>I611+I612</f>
        <v>70485315.576128975</v>
      </c>
      <c r="J613" s="205"/>
      <c r="K613" s="208"/>
      <c r="L613" s="207">
        <f ca="1">L611+L612</f>
        <v>70367872.576128975</v>
      </c>
      <c r="M613" s="274"/>
      <c r="N613" s="274"/>
      <c r="O613" s="333"/>
      <c r="P613" s="279"/>
      <c r="Q613" s="38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6.5" hidden="1" thickTop="1">
      <c r="A614" s="1"/>
      <c r="B614" s="1"/>
      <c r="C614" s="12"/>
      <c r="D614" s="200" t="s">
        <v>13</v>
      </c>
      <c r="E614" s="1"/>
      <c r="F614" s="2"/>
      <c r="G614" s="216" t="s">
        <v>13</v>
      </c>
      <c r="H614" s="1"/>
      <c r="I614" s="2" t="s">
        <v>13</v>
      </c>
      <c r="J614" s="216" t="s">
        <v>13</v>
      </c>
      <c r="K614" s="1"/>
      <c r="L614" s="2" t="s">
        <v>13</v>
      </c>
      <c r="M614" s="11"/>
      <c r="N614" s="11"/>
      <c r="O614" s="38"/>
      <c r="P614" s="279"/>
      <c r="Q614" s="38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idden="1">
      <c r="A615" s="156" t="s">
        <v>240</v>
      </c>
      <c r="B615" s="1"/>
      <c r="C615" s="1"/>
      <c r="D615" s="2"/>
      <c r="E615" s="1"/>
      <c r="F615" s="1"/>
      <c r="G615" s="516"/>
      <c r="H615" s="1"/>
      <c r="I615" s="1"/>
      <c r="J615" s="2"/>
      <c r="K615" s="1"/>
      <c r="L615" s="1"/>
      <c r="M615" s="11"/>
      <c r="N615" s="11"/>
      <c r="O615" s="38"/>
      <c r="P615" s="279"/>
      <c r="Q615" s="38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idden="1">
      <c r="A616" s="172" t="s">
        <v>250</v>
      </c>
      <c r="B616" s="1"/>
      <c r="C616" s="1"/>
      <c r="D616" s="2"/>
      <c r="E616" s="1"/>
      <c r="F616" s="1"/>
      <c r="G616" s="516"/>
      <c r="H616" s="1"/>
      <c r="I616" s="1"/>
      <c r="J616" s="2"/>
      <c r="K616" s="1"/>
      <c r="L616" s="1"/>
      <c r="M616" s="11"/>
      <c r="N616" s="11"/>
      <c r="O616" s="38"/>
      <c r="P616" s="279"/>
      <c r="Q616" s="38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idden="1">
      <c r="A617" s="186"/>
      <c r="B617" s="1"/>
      <c r="C617" s="1"/>
      <c r="D617" s="2"/>
      <c r="E617" s="1"/>
      <c r="F617" s="1"/>
      <c r="G617" s="516"/>
      <c r="H617" s="1"/>
      <c r="I617" s="1"/>
      <c r="J617" s="2"/>
      <c r="K617" s="1"/>
      <c r="L617" s="1"/>
      <c r="M617" s="11"/>
      <c r="N617" s="11"/>
      <c r="O617" s="38"/>
      <c r="P617" s="279"/>
      <c r="Q617" s="38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idden="1">
      <c r="A618" s="186" t="s">
        <v>197</v>
      </c>
      <c r="B618" s="12"/>
      <c r="C618" s="182"/>
      <c r="D618" s="2"/>
      <c r="E618" s="1"/>
      <c r="F618" s="1"/>
      <c r="G618" s="516"/>
      <c r="H618" s="1"/>
      <c r="I618" s="1"/>
      <c r="J618" s="2"/>
      <c r="K618" s="1"/>
      <c r="L618" s="1"/>
      <c r="M618" s="11"/>
      <c r="N618" s="11"/>
      <c r="O618" s="38"/>
      <c r="P618" s="279"/>
      <c r="Q618" s="38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idden="1">
      <c r="A619" s="186" t="s">
        <v>225</v>
      </c>
      <c r="B619" s="1"/>
      <c r="C619" s="182">
        <v>13.399999999999999</v>
      </c>
      <c r="D619" s="161">
        <f>D547</f>
        <v>248</v>
      </c>
      <c r="E619" s="186"/>
      <c r="F619" s="184">
        <f>ROUND(D619*C619,0)</f>
        <v>3323</v>
      </c>
      <c r="G619" s="506">
        <v>248</v>
      </c>
      <c r="H619" s="186"/>
      <c r="I619" s="184">
        <f>ROUND(G619*$C619,0)</f>
        <v>3323</v>
      </c>
      <c r="J619" s="161">
        <f>$G$547</f>
        <v>248</v>
      </c>
      <c r="K619" s="186"/>
      <c r="L619" s="184">
        <f>ROUND(J619*$C619,0)</f>
        <v>3323</v>
      </c>
      <c r="M619" s="11"/>
      <c r="N619" s="11"/>
      <c r="O619" s="38"/>
      <c r="P619" s="279"/>
      <c r="Q619" s="38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idden="1">
      <c r="A620" s="186" t="s">
        <v>226</v>
      </c>
      <c r="B620" s="1"/>
      <c r="C620" s="182">
        <v>699.06666666666695</v>
      </c>
      <c r="D620" s="161">
        <f>D548</f>
        <v>93</v>
      </c>
      <c r="E620" s="186"/>
      <c r="F620" s="184">
        <f>ROUND(D620*C620,0)</f>
        <v>65013</v>
      </c>
      <c r="G620" s="506">
        <v>93</v>
      </c>
      <c r="H620" s="186"/>
      <c r="I620" s="184">
        <f>ROUND(G620*$C620,0)</f>
        <v>65013</v>
      </c>
      <c r="J620" s="161">
        <f>$G$548</f>
        <v>93</v>
      </c>
      <c r="K620" s="186"/>
      <c r="L620" s="184">
        <f>ROUND(J620*$C620,0)</f>
        <v>65013</v>
      </c>
      <c r="M620" s="11"/>
      <c r="N620" s="11"/>
      <c r="O620" s="38"/>
      <c r="P620" s="279"/>
      <c r="Q620" s="38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idden="1">
      <c r="A621" s="186" t="s">
        <v>227</v>
      </c>
      <c r="B621" s="1"/>
      <c r="C621" s="182">
        <v>515.03333333333296</v>
      </c>
      <c r="D621" s="161">
        <f>D549</f>
        <v>185</v>
      </c>
      <c r="E621" s="188"/>
      <c r="F621" s="184">
        <f>ROUND(D621*C621,0)</f>
        <v>95281</v>
      </c>
      <c r="G621" s="506">
        <v>185</v>
      </c>
      <c r="H621" s="188"/>
      <c r="I621" s="184">
        <f>ROUND(G621*$C621,0)</f>
        <v>95281</v>
      </c>
      <c r="J621" s="161">
        <f>$G$549</f>
        <v>185</v>
      </c>
      <c r="K621" s="188"/>
      <c r="L621" s="184">
        <f>ROUND(J621*$C621,0)</f>
        <v>95281</v>
      </c>
      <c r="M621" s="11"/>
      <c r="N621" s="11"/>
      <c r="O621" s="38"/>
      <c r="P621" s="279"/>
      <c r="Q621" s="38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idden="1">
      <c r="A622" s="186" t="s">
        <v>198</v>
      </c>
      <c r="B622" s="1"/>
      <c r="C622" s="182">
        <f>SUM(C619:C621)</f>
        <v>1227.5</v>
      </c>
      <c r="D622" s="161"/>
      <c r="E622" s="186"/>
      <c r="F622" s="184"/>
      <c r="G622" s="506"/>
      <c r="H622" s="186"/>
      <c r="I622" s="184"/>
      <c r="J622" s="161"/>
      <c r="K622" s="186"/>
      <c r="L622" s="184"/>
      <c r="M622" s="11"/>
      <c r="N622" s="11"/>
      <c r="O622" s="38"/>
      <c r="P622" s="11"/>
      <c r="Q622" s="336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idden="1">
      <c r="A623" s="186" t="s">
        <v>226</v>
      </c>
      <c r="B623" s="1"/>
      <c r="C623" s="182">
        <v>120922.266666667</v>
      </c>
      <c r="D623" s="161">
        <f>D551</f>
        <v>1.8</v>
      </c>
      <c r="E623" s="186" t="s">
        <v>13</v>
      </c>
      <c r="F623" s="184">
        <f>ROUND(D623*C623,0)</f>
        <v>217660</v>
      </c>
      <c r="G623" s="506">
        <v>1.8</v>
      </c>
      <c r="H623" s="186" t="s">
        <v>13</v>
      </c>
      <c r="I623" s="184">
        <f>ROUND(G623*$C623,0)</f>
        <v>217660</v>
      </c>
      <c r="J623" s="161">
        <f>$G$551</f>
        <v>1.8</v>
      </c>
      <c r="K623" s="186" t="s">
        <v>13</v>
      </c>
      <c r="L623" s="184">
        <f>ROUND(J623*$C623,0)</f>
        <v>217660</v>
      </c>
      <c r="M623" s="11"/>
      <c r="N623" s="11"/>
      <c r="O623" s="38"/>
      <c r="P623" s="11"/>
      <c r="Q623" s="336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idden="1">
      <c r="A624" s="186" t="s">
        <v>227</v>
      </c>
      <c r="B624" s="1"/>
      <c r="C624" s="182">
        <v>302388.59999999998</v>
      </c>
      <c r="D624" s="161">
        <f>D552</f>
        <v>1.48</v>
      </c>
      <c r="E624" s="186" t="s">
        <v>13</v>
      </c>
      <c r="F624" s="184">
        <f>ROUND(D624*C624,0)</f>
        <v>447535</v>
      </c>
      <c r="G624" s="506">
        <v>1.48</v>
      </c>
      <c r="H624" s="186" t="s">
        <v>13</v>
      </c>
      <c r="I624" s="184">
        <f>ROUND(G624*$C624,0)</f>
        <v>447535</v>
      </c>
      <c r="J624" s="161">
        <f>$G$552</f>
        <v>1.48</v>
      </c>
      <c r="K624" s="186" t="s">
        <v>13</v>
      </c>
      <c r="L624" s="184">
        <f>ROUND(J624*$C624,0)</f>
        <v>447535</v>
      </c>
      <c r="M624" s="11"/>
      <c r="N624" s="11"/>
      <c r="O624" s="38"/>
      <c r="P624" s="279"/>
      <c r="Q624" s="38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idden="1">
      <c r="A625" s="172" t="s">
        <v>228</v>
      </c>
      <c r="B625" s="1"/>
      <c r="C625" s="182"/>
      <c r="D625" s="218"/>
      <c r="E625" s="186"/>
      <c r="F625" s="184"/>
      <c r="G625" s="506"/>
      <c r="H625" s="186"/>
      <c r="I625" s="184"/>
      <c r="J625" s="218"/>
      <c r="K625" s="186"/>
      <c r="L625" s="184"/>
      <c r="M625" s="11"/>
      <c r="N625" s="11"/>
      <c r="O625" s="38"/>
      <c r="P625" s="38"/>
      <c r="Q625" s="38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idden="1">
      <c r="A626" s="172" t="s">
        <v>229</v>
      </c>
      <c r="B626" s="1"/>
      <c r="C626" s="182">
        <v>327718.34999999969</v>
      </c>
      <c r="D626" s="161">
        <f>D554</f>
        <v>6.3</v>
      </c>
      <c r="E626" s="186"/>
      <c r="F626" s="184">
        <f>ROUND(D626*C626,0)</f>
        <v>2064626</v>
      </c>
      <c r="G626" s="506">
        <v>6.3</v>
      </c>
      <c r="H626" s="186"/>
      <c r="I626" s="184">
        <f>ROUND(G626*$C626,0)</f>
        <v>2064626</v>
      </c>
      <c r="J626" s="161">
        <f>$G$554</f>
        <v>6.3</v>
      </c>
      <c r="K626" s="186"/>
      <c r="L626" s="184">
        <f>ROUND(J626*$C626,0)</f>
        <v>2064626</v>
      </c>
      <c r="M626" s="11"/>
      <c r="N626" s="11"/>
      <c r="O626" s="38"/>
      <c r="P626" s="38"/>
      <c r="Q626" s="38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idden="1">
      <c r="A627" s="172" t="s">
        <v>245</v>
      </c>
      <c r="B627" s="1"/>
      <c r="C627" s="182">
        <v>506.66666666666703</v>
      </c>
      <c r="D627" s="232">
        <f>D626</f>
        <v>6.3</v>
      </c>
      <c r="E627" s="186"/>
      <c r="F627" s="184">
        <f>ROUND(D627*C627,0)</f>
        <v>3192</v>
      </c>
      <c r="G627" s="506">
        <v>6.3</v>
      </c>
      <c r="H627" s="186"/>
      <c r="I627" s="184">
        <f>ROUND(G627*$C627,0)</f>
        <v>3192</v>
      </c>
      <c r="J627" s="232">
        <f>J626</f>
        <v>6.3</v>
      </c>
      <c r="K627" s="186"/>
      <c r="L627" s="184">
        <f>ROUND(J627*$C627,0)</f>
        <v>3192</v>
      </c>
      <c r="M627" s="11"/>
      <c r="N627" s="11"/>
      <c r="O627" s="38"/>
      <c r="P627" s="38"/>
      <c r="Q627" s="38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idden="1">
      <c r="A628" s="186" t="s">
        <v>230</v>
      </c>
      <c r="B628" s="1"/>
      <c r="C628" s="182"/>
      <c r="D628" s="161"/>
      <c r="E628" s="186"/>
      <c r="F628" s="184"/>
      <c r="G628" s="506"/>
      <c r="H628" s="186"/>
      <c r="I628" s="184"/>
      <c r="J628" s="161"/>
      <c r="K628" s="186"/>
      <c r="L628" s="184"/>
      <c r="M628" s="11"/>
      <c r="N628" s="11"/>
      <c r="O628" s="38"/>
      <c r="P628" s="38"/>
      <c r="Q628" s="38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idden="1">
      <c r="A629" s="186" t="s">
        <v>231</v>
      </c>
      <c r="B629" s="1"/>
      <c r="C629" s="182">
        <v>38035837.333333299</v>
      </c>
      <c r="D629" s="191">
        <f>D557</f>
        <v>5.7480000000000002</v>
      </c>
      <c r="E629" s="186" t="s">
        <v>178</v>
      </c>
      <c r="F629" s="184">
        <f>ROUND(D629*C629/100,0)</f>
        <v>2186300</v>
      </c>
      <c r="G629" s="745">
        <v>6.0709999999999997</v>
      </c>
      <c r="H629" s="186" t="s">
        <v>178</v>
      </c>
      <c r="I629" s="184">
        <f>ROUND(G629*$C629/100,0)</f>
        <v>2309156</v>
      </c>
      <c r="J629" s="190">
        <f ca="1">$J$557</f>
        <v>6.0570000000000004</v>
      </c>
      <c r="K629" s="186" t="s">
        <v>178</v>
      </c>
      <c r="L629" s="184">
        <f ca="1">ROUND(J629*$C629/100,0)</f>
        <v>2303831</v>
      </c>
      <c r="M629" s="11"/>
      <c r="N629" s="11"/>
      <c r="O629" s="38"/>
      <c r="P629" s="38"/>
      <c r="Q629" s="38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idden="1">
      <c r="A630" s="186" t="s">
        <v>203</v>
      </c>
      <c r="B630" s="1"/>
      <c r="C630" s="182">
        <v>64120952.666666701</v>
      </c>
      <c r="D630" s="191">
        <f>D558</f>
        <v>5.2460000000000004</v>
      </c>
      <c r="E630" s="186" t="s">
        <v>178</v>
      </c>
      <c r="F630" s="184">
        <f>ROUND(D630*C630/100,0)</f>
        <v>3363785</v>
      </c>
      <c r="G630" s="745">
        <v>5.569</v>
      </c>
      <c r="H630" s="186" t="s">
        <v>178</v>
      </c>
      <c r="I630" s="184">
        <f>ROUND(G630*$C630/100,0)</f>
        <v>3570896</v>
      </c>
      <c r="J630" s="190">
        <f ca="1">$J$558</f>
        <v>5.5549999999999997</v>
      </c>
      <c r="K630" s="186" t="s">
        <v>178</v>
      </c>
      <c r="L630" s="184">
        <f ca="1">ROUND(J630*$C630/100,0)</f>
        <v>3561919</v>
      </c>
      <c r="M630" s="11"/>
      <c r="N630" s="11"/>
      <c r="O630" s="38"/>
      <c r="P630" s="38"/>
      <c r="Q630" s="38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idden="1">
      <c r="A631" s="186" t="s">
        <v>204</v>
      </c>
      <c r="B631" s="1"/>
      <c r="C631" s="182">
        <v>89740.166666666701</v>
      </c>
      <c r="D631" s="520">
        <f>D559</f>
        <v>58</v>
      </c>
      <c r="E631" s="186" t="s">
        <v>178</v>
      </c>
      <c r="F631" s="184">
        <f>ROUND(D631*C631/100,0)</f>
        <v>52049</v>
      </c>
      <c r="G631" s="746">
        <v>58</v>
      </c>
      <c r="H631" s="186" t="s">
        <v>178</v>
      </c>
      <c r="I631" s="184">
        <f>ROUND(G631*$C631/100,0)</f>
        <v>52049</v>
      </c>
      <c r="J631" s="338">
        <f>$G$559</f>
        <v>58</v>
      </c>
      <c r="K631" s="186" t="s">
        <v>178</v>
      </c>
      <c r="L631" s="184">
        <f>ROUND(J631*$C631/100,0)</f>
        <v>52049</v>
      </c>
      <c r="M631" s="11"/>
      <c r="N631" s="11"/>
      <c r="O631" s="38"/>
      <c r="P631" s="38"/>
      <c r="Q631" s="38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idden="1">
      <c r="A632" s="223" t="s">
        <v>205</v>
      </c>
      <c r="B632" s="1"/>
      <c r="C632" s="182"/>
      <c r="D632" s="195">
        <v>-0.01</v>
      </c>
      <c r="E632" s="1"/>
      <c r="F632" s="184"/>
      <c r="G632" s="734">
        <v>-0.01</v>
      </c>
      <c r="H632" s="1"/>
      <c r="I632" s="184"/>
      <c r="J632" s="195">
        <v>-0.01</v>
      </c>
      <c r="K632" s="1"/>
      <c r="L632" s="184"/>
      <c r="M632" s="11"/>
      <c r="N632" s="11"/>
      <c r="O632" s="38"/>
      <c r="P632" s="38"/>
      <c r="Q632" s="38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idden="1">
      <c r="A633" s="186" t="s">
        <v>225</v>
      </c>
      <c r="B633" s="1"/>
      <c r="C633" s="182">
        <v>0</v>
      </c>
      <c r="D633" s="167">
        <f>D619</f>
        <v>248</v>
      </c>
      <c r="E633" s="156"/>
      <c r="F633" s="184">
        <f t="shared" ref="F633:F639" si="61">ROUND(D633*C633*$D$598,0)</f>
        <v>0</v>
      </c>
      <c r="G633" s="506">
        <v>248</v>
      </c>
      <c r="H633" s="156"/>
      <c r="I633" s="184">
        <f>ROUND(G633*$C633*G632,0)</f>
        <v>0</v>
      </c>
      <c r="J633" s="167">
        <f>J619</f>
        <v>248</v>
      </c>
      <c r="K633" s="156"/>
      <c r="L633" s="184">
        <f>ROUND(J633*$C633*J632,0)</f>
        <v>0</v>
      </c>
      <c r="M633" s="11"/>
      <c r="N633" s="11"/>
      <c r="O633" s="38"/>
      <c r="P633" s="38"/>
      <c r="Q633" s="38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idden="1">
      <c r="A634" s="186" t="s">
        <v>226</v>
      </c>
      <c r="B634" s="1"/>
      <c r="C634" s="182">
        <v>6.7333333333333298</v>
      </c>
      <c r="D634" s="167">
        <f>D620</f>
        <v>93</v>
      </c>
      <c r="E634" s="156"/>
      <c r="F634" s="184">
        <f t="shared" si="61"/>
        <v>-6</v>
      </c>
      <c r="G634" s="506">
        <v>93</v>
      </c>
      <c r="H634" s="156"/>
      <c r="I634" s="184">
        <f>ROUND(G634*$C634*G632,0)</f>
        <v>-6</v>
      </c>
      <c r="J634" s="167">
        <f>J620</f>
        <v>93</v>
      </c>
      <c r="K634" s="156"/>
      <c r="L634" s="184">
        <f>ROUND(J634*$C634*J632,0)</f>
        <v>-6</v>
      </c>
      <c r="M634" s="11"/>
      <c r="N634" s="11"/>
      <c r="O634" s="38"/>
      <c r="P634" s="38"/>
      <c r="Q634" s="38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idden="1">
      <c r="A635" s="186" t="s">
        <v>227</v>
      </c>
      <c r="B635" s="1"/>
      <c r="C635" s="182">
        <v>0</v>
      </c>
      <c r="D635" s="167">
        <f>D621</f>
        <v>185</v>
      </c>
      <c r="E635" s="236"/>
      <c r="F635" s="184">
        <f t="shared" si="61"/>
        <v>0</v>
      </c>
      <c r="G635" s="506">
        <v>185</v>
      </c>
      <c r="H635" s="236"/>
      <c r="I635" s="184">
        <f>ROUND(G635*$C635*G632,0)</f>
        <v>0</v>
      </c>
      <c r="J635" s="167">
        <f>J621</f>
        <v>185</v>
      </c>
      <c r="K635" s="236"/>
      <c r="L635" s="184">
        <f>ROUND(J635*$C635*J632,0)</f>
        <v>0</v>
      </c>
      <c r="M635" s="11"/>
      <c r="N635" s="11"/>
      <c r="O635" s="38"/>
      <c r="P635" s="38"/>
      <c r="Q635" s="38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idden="1">
      <c r="A636" s="186" t="s">
        <v>226</v>
      </c>
      <c r="B636" s="1"/>
      <c r="C636" s="182">
        <v>0</v>
      </c>
      <c r="D636" s="167">
        <f>D623</f>
        <v>1.8</v>
      </c>
      <c r="E636" s="156"/>
      <c r="F636" s="184">
        <f t="shared" si="61"/>
        <v>0</v>
      </c>
      <c r="G636" s="506">
        <v>1.8</v>
      </c>
      <c r="H636" s="156"/>
      <c r="I636" s="184">
        <f>ROUND(G636*$C636*G632,0)</f>
        <v>0</v>
      </c>
      <c r="J636" s="167">
        <f>J623</f>
        <v>1.8</v>
      </c>
      <c r="K636" s="156"/>
      <c r="L636" s="184">
        <f>ROUND(J636*$C636*J632,0)</f>
        <v>0</v>
      </c>
      <c r="M636" s="11"/>
      <c r="N636" s="11"/>
      <c r="O636" s="38"/>
      <c r="P636" s="38"/>
      <c r="Q636" s="38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idden="1">
      <c r="A637" s="186" t="s">
        <v>227</v>
      </c>
      <c r="B637" s="1"/>
      <c r="C637" s="182">
        <v>0</v>
      </c>
      <c r="D637" s="167">
        <f>D624</f>
        <v>1.48</v>
      </c>
      <c r="E637" s="156"/>
      <c r="F637" s="184">
        <f t="shared" si="61"/>
        <v>0</v>
      </c>
      <c r="G637" s="506">
        <v>1.48</v>
      </c>
      <c r="H637" s="156"/>
      <c r="I637" s="184">
        <f>ROUND(G637*$C637*G632,0)</f>
        <v>0</v>
      </c>
      <c r="J637" s="167">
        <f>J624</f>
        <v>1.48</v>
      </c>
      <c r="K637" s="156"/>
      <c r="L637" s="184">
        <f>ROUND(J637*$C637*J632,0)</f>
        <v>0</v>
      </c>
      <c r="M637" s="11"/>
      <c r="N637" s="11"/>
      <c r="O637" s="38"/>
      <c r="P637" s="38"/>
      <c r="Q637" s="38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idden="1">
      <c r="A638" s="172" t="s">
        <v>229</v>
      </c>
      <c r="B638" s="1"/>
      <c r="C638" s="182">
        <v>0</v>
      </c>
      <c r="D638" s="167">
        <f>D626</f>
        <v>6.3</v>
      </c>
      <c r="E638" s="156"/>
      <c r="F638" s="184">
        <f t="shared" si="61"/>
        <v>0</v>
      </c>
      <c r="G638" s="506">
        <v>6.3</v>
      </c>
      <c r="H638" s="156"/>
      <c r="I638" s="184">
        <f>ROUND(G638*$C638*G632,0)</f>
        <v>0</v>
      </c>
      <c r="J638" s="167">
        <f>J626</f>
        <v>6.3</v>
      </c>
      <c r="K638" s="156"/>
      <c r="L638" s="184">
        <f>ROUND(J638*$C638*J632,0)</f>
        <v>0</v>
      </c>
      <c r="M638" s="11"/>
      <c r="N638" s="11"/>
      <c r="O638" s="38"/>
      <c r="P638" s="38"/>
      <c r="Q638" s="38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idden="1">
      <c r="A639" s="172" t="s">
        <v>245</v>
      </c>
      <c r="B639" s="1"/>
      <c r="C639" s="182">
        <v>336.66666666666703</v>
      </c>
      <c r="D639" s="167">
        <f>D638</f>
        <v>6.3</v>
      </c>
      <c r="E639" s="156"/>
      <c r="F639" s="184">
        <f t="shared" si="61"/>
        <v>-21</v>
      </c>
      <c r="G639" s="506">
        <v>6.3</v>
      </c>
      <c r="H639" s="156"/>
      <c r="I639" s="184">
        <f>ROUND(G639*$C639*G632,0)</f>
        <v>-21</v>
      </c>
      <c r="J639" s="167">
        <f>J627</f>
        <v>6.3</v>
      </c>
      <c r="K639" s="156"/>
      <c r="L639" s="184">
        <f>ROUND(J639*$C639*J632,0)</f>
        <v>-21</v>
      </c>
      <c r="M639" s="11"/>
      <c r="N639" s="11"/>
      <c r="O639" s="38"/>
      <c r="P639" s="38"/>
      <c r="Q639" s="38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idden="1">
      <c r="A640" s="186" t="s">
        <v>231</v>
      </c>
      <c r="B640" s="1"/>
      <c r="C640" s="182">
        <v>0</v>
      </c>
      <c r="D640" s="237">
        <f>D629</f>
        <v>5.7480000000000002</v>
      </c>
      <c r="E640" s="186" t="s">
        <v>178</v>
      </c>
      <c r="F640" s="184">
        <f>ROUND(D640*C640/100*$D$598,0)</f>
        <v>0</v>
      </c>
      <c r="G640" s="731">
        <v>6.0709999999999997</v>
      </c>
      <c r="H640" s="186" t="s">
        <v>178</v>
      </c>
      <c r="I640" s="184">
        <f>ROUND(G640*$C640/100*G632,0)</f>
        <v>0</v>
      </c>
      <c r="J640" s="237">
        <f ca="1">J629</f>
        <v>6.0570000000000004</v>
      </c>
      <c r="K640" s="186" t="s">
        <v>178</v>
      </c>
      <c r="L640" s="184">
        <f ca="1">ROUND(J640*$C640/100*J632,0)</f>
        <v>0</v>
      </c>
      <c r="M640" s="11"/>
      <c r="N640" s="11"/>
      <c r="O640" s="38"/>
      <c r="P640" s="38"/>
      <c r="Q640" s="38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idden="1">
      <c r="A641" s="186" t="s">
        <v>203</v>
      </c>
      <c r="B641" s="1"/>
      <c r="C641" s="182">
        <v>0</v>
      </c>
      <c r="D641" s="237">
        <f>D630</f>
        <v>5.2460000000000004</v>
      </c>
      <c r="E641" s="186" t="s">
        <v>178</v>
      </c>
      <c r="F641" s="184">
        <f>ROUND(D641*C641/100*$D$598,0)</f>
        <v>0</v>
      </c>
      <c r="G641" s="731">
        <v>5.569</v>
      </c>
      <c r="H641" s="186" t="s">
        <v>178</v>
      </c>
      <c r="I641" s="184">
        <f>ROUND(G641*$C641/100*G632,0)</f>
        <v>0</v>
      </c>
      <c r="J641" s="237">
        <f ca="1">J630</f>
        <v>5.5549999999999997</v>
      </c>
      <c r="K641" s="186" t="s">
        <v>178</v>
      </c>
      <c r="L641" s="184">
        <f ca="1">ROUND(J641*$C641/100*J632,0)</f>
        <v>0</v>
      </c>
      <c r="M641" s="11"/>
      <c r="N641" s="11"/>
      <c r="O641" s="38"/>
      <c r="P641" s="38"/>
      <c r="Q641" s="38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idden="1">
      <c r="A642" s="186" t="s">
        <v>204</v>
      </c>
      <c r="B642" s="1"/>
      <c r="C642" s="182">
        <v>0</v>
      </c>
      <c r="D642" s="238">
        <f>D631</f>
        <v>58</v>
      </c>
      <c r="E642" s="186" t="s">
        <v>178</v>
      </c>
      <c r="F642" s="184">
        <f>ROUND(D642*C642/100*$D$598,0)</f>
        <v>0</v>
      </c>
      <c r="G642" s="733">
        <v>58</v>
      </c>
      <c r="H642" s="186" t="s">
        <v>178</v>
      </c>
      <c r="I642" s="184">
        <f>ROUND(G642*$C642/100*G632,0)</f>
        <v>0</v>
      </c>
      <c r="J642" s="238">
        <f>J631</f>
        <v>58</v>
      </c>
      <c r="K642" s="186" t="s">
        <v>178</v>
      </c>
      <c r="L642" s="184">
        <f>ROUND(J642*$C642/100*J632,0)</f>
        <v>0</v>
      </c>
      <c r="M642" s="11"/>
      <c r="N642" s="11"/>
      <c r="O642" s="38"/>
      <c r="P642" s="38"/>
      <c r="Q642" s="38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idden="1">
      <c r="A643" s="186" t="s">
        <v>247</v>
      </c>
      <c r="B643" s="1"/>
      <c r="C643" s="182">
        <v>0</v>
      </c>
      <c r="D643" s="161">
        <v>60</v>
      </c>
      <c r="E643" s="1"/>
      <c r="F643" s="184">
        <f>ROUND(D643*C643,0)</f>
        <v>0</v>
      </c>
      <c r="G643" s="506">
        <v>60</v>
      </c>
      <c r="H643" s="1"/>
      <c r="I643" s="184">
        <f>ROUND(G643*$C643,0)</f>
        <v>0</v>
      </c>
      <c r="J643" s="161">
        <f>$G$571</f>
        <v>60</v>
      </c>
      <c r="K643" s="1"/>
      <c r="L643" s="184">
        <f>ROUND(J643*$C643,0)</f>
        <v>0</v>
      </c>
      <c r="M643" s="11"/>
      <c r="N643" s="11"/>
      <c r="O643" s="38"/>
      <c r="P643" s="38"/>
      <c r="Q643" s="38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idden="1">
      <c r="A644" s="186" t="s">
        <v>248</v>
      </c>
      <c r="B644" s="1"/>
      <c r="C644" s="182">
        <v>0</v>
      </c>
      <c r="D644" s="202">
        <v>-30</v>
      </c>
      <c r="E644" s="184" t="s">
        <v>178</v>
      </c>
      <c r="F644" s="184">
        <f>-ROUND(D644*C644*$D$598,0)</f>
        <v>0</v>
      </c>
      <c r="G644" s="737">
        <v>-30</v>
      </c>
      <c r="H644" s="184" t="s">
        <v>178</v>
      </c>
      <c r="I644" s="184">
        <f>ROUND(G644*$C644/100,0)</f>
        <v>0</v>
      </c>
      <c r="J644" s="202">
        <f>$G$572</f>
        <v>-30</v>
      </c>
      <c r="K644" s="184" t="s">
        <v>178</v>
      </c>
      <c r="L644" s="184">
        <f>ROUND(J644*$C644/100,0)</f>
        <v>0</v>
      </c>
      <c r="M644" s="11"/>
      <c r="N644" s="11"/>
      <c r="O644" s="38"/>
      <c r="P644" s="38"/>
      <c r="Q644" s="38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idden="1">
      <c r="A645" s="1" t="s">
        <v>185</v>
      </c>
      <c r="B645" s="1"/>
      <c r="C645" s="182">
        <f>SUM(C629:C630)</f>
        <v>102156790</v>
      </c>
      <c r="D645" s="193"/>
      <c r="E645" s="1"/>
      <c r="F645" s="2">
        <f>SUM(F619:F644)</f>
        <v>8498737</v>
      </c>
      <c r="G645" s="733"/>
      <c r="H645" s="1"/>
      <c r="I645" s="2">
        <f>SUM(I619:I644)</f>
        <v>8828704</v>
      </c>
      <c r="J645" s="193"/>
      <c r="K645" s="1"/>
      <c r="L645" s="2">
        <f ca="1">SUM(L619:L644)</f>
        <v>8814402</v>
      </c>
      <c r="M645" s="11"/>
      <c r="N645" s="11"/>
      <c r="O645" s="38"/>
      <c r="P645" s="38"/>
      <c r="Q645" s="38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idden="1">
      <c r="A646" s="1" t="s">
        <v>167</v>
      </c>
      <c r="B646" s="1"/>
      <c r="C646" s="212">
        <v>1898922.7772611515</v>
      </c>
      <c r="D646" s="172"/>
      <c r="E646" s="172"/>
      <c r="F646" s="173">
        <v>50399.856016102043</v>
      </c>
      <c r="G646" s="284"/>
      <c r="H646" s="172"/>
      <c r="I646" s="173">
        <f>F646</f>
        <v>50399.856016102043</v>
      </c>
      <c r="J646" s="172"/>
      <c r="K646" s="172"/>
      <c r="L646" s="173">
        <f>I646</f>
        <v>50399.856016102043</v>
      </c>
      <c r="M646" s="307"/>
      <c r="N646" s="307"/>
      <c r="O646" s="150"/>
      <c r="P646" s="38"/>
      <c r="Q646" s="38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6.5" hidden="1" thickBot="1">
      <c r="A647" s="1" t="s">
        <v>186</v>
      </c>
      <c r="B647" s="1"/>
      <c r="C647" s="229">
        <f>SUM(C645)+C646</f>
        <v>104055712.77726115</v>
      </c>
      <c r="D647" s="205"/>
      <c r="E647" s="208"/>
      <c r="F647" s="207">
        <f>F645+F646</f>
        <v>8549136.8560161013</v>
      </c>
      <c r="G647" s="741"/>
      <c r="H647" s="208"/>
      <c r="I647" s="207">
        <f>I645+I646</f>
        <v>8879103.8560161013</v>
      </c>
      <c r="J647" s="205"/>
      <c r="K647" s="208"/>
      <c r="L647" s="207">
        <f ca="1">L645+L646</f>
        <v>8864801.8560161013</v>
      </c>
      <c r="M647" s="274"/>
      <c r="N647" s="274"/>
      <c r="O647" s="333"/>
      <c r="P647" s="38"/>
      <c r="Q647" s="38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>
      <c r="A648" s="166"/>
      <c r="B648" s="241"/>
      <c r="C648" s="166"/>
      <c r="D648" s="1"/>
      <c r="E648" s="166"/>
      <c r="F648" s="242"/>
      <c r="G648" s="4"/>
      <c r="H648" s="166"/>
      <c r="I648" s="166"/>
      <c r="J648" s="166"/>
      <c r="K648" s="166"/>
      <c r="L648" s="166"/>
      <c r="M648" s="11"/>
      <c r="N648" s="11"/>
      <c r="O648" s="38"/>
      <c r="P648" s="38"/>
      <c r="Q648" s="38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>
      <c r="A649" s="156" t="s">
        <v>251</v>
      </c>
      <c r="B649" s="1"/>
      <c r="C649" s="12"/>
      <c r="D649" s="200"/>
      <c r="E649" s="1"/>
      <c r="F649" s="2"/>
      <c r="G649" s="216"/>
      <c r="H649" s="1"/>
      <c r="I649" s="2"/>
      <c r="J649" s="200"/>
      <c r="K649" s="1"/>
      <c r="L649" s="2"/>
      <c r="M649" s="11"/>
      <c r="N649" s="11"/>
      <c r="O649" s="853" t="s">
        <v>1457</v>
      </c>
      <c r="P649" s="38"/>
      <c r="Q649" s="38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>
      <c r="A650" s="172" t="s">
        <v>252</v>
      </c>
      <c r="B650" s="1"/>
      <c r="C650" s="12"/>
      <c r="D650" s="200"/>
      <c r="E650" s="1"/>
      <c r="F650" s="2"/>
      <c r="G650" s="216"/>
      <c r="H650" s="1"/>
      <c r="I650" s="2"/>
      <c r="J650" s="200"/>
      <c r="K650" s="1"/>
      <c r="L650" s="2"/>
      <c r="M650" s="11"/>
      <c r="N650" s="11"/>
      <c r="O650" s="852">
        <f ca="1">'Exhibit No.__(RMM-2)pg1'!O25*1000</f>
        <v>-23621.634465415365</v>
      </c>
      <c r="P650" s="38"/>
      <c r="Q650" s="38"/>
      <c r="R650" s="38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>
      <c r="A651" s="186"/>
      <c r="B651" s="1"/>
      <c r="C651" s="12"/>
      <c r="D651" s="200"/>
      <c r="E651" s="1"/>
      <c r="F651" s="243"/>
      <c r="G651" s="216"/>
      <c r="H651" s="1"/>
      <c r="I651" s="244"/>
      <c r="J651" s="200"/>
      <c r="K651" s="1"/>
      <c r="L651" s="244"/>
      <c r="M651" s="11"/>
      <c r="N651" s="11"/>
      <c r="O651" s="38"/>
      <c r="P651" s="38"/>
      <c r="Q651" s="38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>
      <c r="A652" s="172" t="s">
        <v>253</v>
      </c>
      <c r="B652" s="1"/>
      <c r="C652" s="182"/>
      <c r="D652" s="2" t="s">
        <v>13</v>
      </c>
      <c r="E652" s="1"/>
      <c r="F652" s="1"/>
      <c r="G652" s="516" t="s">
        <v>13</v>
      </c>
      <c r="H652" s="1"/>
      <c r="I652" s="1"/>
      <c r="J652" s="2" t="s">
        <v>13</v>
      </c>
      <c r="K652" s="1"/>
      <c r="L652" s="1"/>
      <c r="M652" s="11"/>
      <c r="N652" s="11"/>
      <c r="O652" s="38"/>
      <c r="P652" s="11"/>
      <c r="Q652" s="11"/>
      <c r="R652" s="11"/>
      <c r="S652" s="11"/>
      <c r="T652" s="11"/>
      <c r="U652" s="11"/>
      <c r="V652" s="11"/>
      <c r="W652" s="11"/>
      <c r="X652" s="11"/>
      <c r="AB652" s="11"/>
      <c r="AC652" s="11"/>
      <c r="AD652" s="11"/>
      <c r="AE652" s="11"/>
      <c r="AF652" s="11"/>
      <c r="AG652" s="11"/>
      <c r="AH652" s="11"/>
    </row>
    <row r="653" spans="1:34">
      <c r="A653" s="172" t="s">
        <v>254</v>
      </c>
      <c r="B653" s="1"/>
      <c r="C653" s="182">
        <f>C709+C760</f>
        <v>1004.1593541188699</v>
      </c>
      <c r="D653" s="200">
        <v>0</v>
      </c>
      <c r="E653" s="187"/>
      <c r="F653" s="184">
        <f>F709+F760</f>
        <v>0</v>
      </c>
      <c r="G653" s="506">
        <v>0</v>
      </c>
      <c r="H653" s="187"/>
      <c r="I653" s="184">
        <f>I709+I760</f>
        <v>0</v>
      </c>
      <c r="J653" s="164">
        <f>G653</f>
        <v>0</v>
      </c>
      <c r="K653" s="187"/>
      <c r="L653" s="184">
        <f>L709+L760</f>
        <v>0</v>
      </c>
      <c r="M653" s="11"/>
      <c r="N653" s="11"/>
      <c r="O653" s="38"/>
      <c r="P653" s="104"/>
      <c r="Q653" s="104"/>
      <c r="R653" s="11"/>
      <c r="S653" s="11"/>
      <c r="T653" s="11"/>
      <c r="U653" s="11"/>
      <c r="V653" s="11"/>
      <c r="AC653" s="11"/>
      <c r="AD653" s="11"/>
      <c r="AE653" s="11"/>
      <c r="AF653" s="11"/>
      <c r="AG653" s="11"/>
      <c r="AH653" s="11"/>
    </row>
    <row r="654" spans="1:34">
      <c r="A654" s="172" t="s">
        <v>560</v>
      </c>
      <c r="B654" s="1"/>
      <c r="C654" s="182">
        <v>0</v>
      </c>
      <c r="D654" s="200">
        <v>2</v>
      </c>
      <c r="E654" s="187"/>
      <c r="F654" s="184">
        <f>C654*D654</f>
        <v>0</v>
      </c>
      <c r="G654" s="506">
        <v>2</v>
      </c>
      <c r="H654" s="187"/>
      <c r="I654" s="184">
        <f>C654*G654</f>
        <v>0</v>
      </c>
      <c r="J654" s="164">
        <v>2</v>
      </c>
      <c r="K654" s="187"/>
      <c r="L654" s="184">
        <f>F654*J654</f>
        <v>0</v>
      </c>
      <c r="M654" s="11"/>
      <c r="N654" s="11"/>
      <c r="O654" s="38"/>
      <c r="P654" s="104"/>
      <c r="Q654" s="104"/>
      <c r="R654" s="11"/>
      <c r="S654" s="11"/>
      <c r="T654" s="11"/>
      <c r="U654" s="11"/>
      <c r="V654" s="11"/>
      <c r="AC654" s="11"/>
      <c r="AD654" s="11"/>
      <c r="AE654" s="11"/>
      <c r="AF654" s="11"/>
      <c r="AG654" s="11"/>
      <c r="AH654" s="11"/>
    </row>
    <row r="655" spans="1:34">
      <c r="A655" s="172" t="s">
        <v>255</v>
      </c>
      <c r="B655" s="1"/>
      <c r="C655" s="182"/>
      <c r="D655" s="200"/>
      <c r="E655" s="187"/>
      <c r="F655" s="184"/>
      <c r="G655" s="216"/>
      <c r="H655" s="187"/>
      <c r="I655" s="184"/>
      <c r="J655" s="200"/>
      <c r="K655" s="187"/>
      <c r="L655" s="184"/>
      <c r="M655" s="279"/>
      <c r="N655" s="185"/>
      <c r="O655" s="185"/>
      <c r="P655" s="512"/>
      <c r="Q655" s="38"/>
      <c r="R655" s="475"/>
      <c r="S655" s="18"/>
      <c r="T655" s="500"/>
      <c r="U655" s="279"/>
      <c r="V655" s="500"/>
      <c r="W655" s="42"/>
      <c r="X655" s="42"/>
      <c r="Y655" s="101"/>
      <c r="AC655" s="11"/>
      <c r="AD655" s="11"/>
      <c r="AE655" s="11"/>
      <c r="AF655" s="11"/>
      <c r="AG655" s="11"/>
      <c r="AH655" s="11"/>
    </row>
    <row r="656" spans="1:34">
      <c r="A656" s="172" t="s">
        <v>256</v>
      </c>
      <c r="B656" s="1"/>
      <c r="C656" s="182">
        <f t="shared" ref="C656:C661" si="62">C711+C762</f>
        <v>3684.9125050247599</v>
      </c>
      <c r="D656" s="200">
        <v>0</v>
      </c>
      <c r="E656" s="187"/>
      <c r="F656" s="184">
        <f>F711+F762</f>
        <v>0</v>
      </c>
      <c r="G656" s="506">
        <v>0</v>
      </c>
      <c r="H656" s="187"/>
      <c r="I656" s="184">
        <f>I711+I762</f>
        <v>0</v>
      </c>
      <c r="J656" s="164">
        <f t="shared" ref="J656:J658" si="63">G656</f>
        <v>0</v>
      </c>
      <c r="K656" s="187"/>
      <c r="L656" s="184">
        <f>L711+L762</f>
        <v>0</v>
      </c>
      <c r="M656" s="334"/>
      <c r="N656" s="334"/>
      <c r="O656" s="38"/>
      <c r="P656" s="504"/>
      <c r="Q656" s="504"/>
      <c r="R656" s="661"/>
      <c r="S656" s="661"/>
      <c r="T656" s="500"/>
      <c r="U656" s="279"/>
      <c r="V656" s="500"/>
      <c r="W656" s="42"/>
      <c r="X656" s="42"/>
      <c r="Y656" s="101"/>
      <c r="AC656" s="11"/>
      <c r="AD656" s="11"/>
      <c r="AE656" s="11"/>
      <c r="AF656" s="11"/>
      <c r="AG656" s="11"/>
      <c r="AH656" s="11"/>
    </row>
    <row r="657" spans="1:34">
      <c r="A657" s="172" t="s">
        <v>257</v>
      </c>
      <c r="B657" s="1"/>
      <c r="C657" s="182">
        <f t="shared" si="62"/>
        <v>434.32336072732699</v>
      </c>
      <c r="D657" s="200">
        <v>449</v>
      </c>
      <c r="E657" s="187"/>
      <c r="F657" s="184">
        <f>F712+F763</f>
        <v>195011</v>
      </c>
      <c r="G657" s="506">
        <v>449</v>
      </c>
      <c r="H657" s="187"/>
      <c r="I657" s="184">
        <f>I712+I763</f>
        <v>195011</v>
      </c>
      <c r="J657" s="164">
        <f t="shared" si="63"/>
        <v>449</v>
      </c>
      <c r="K657" s="187"/>
      <c r="L657" s="184">
        <f>L712+L763</f>
        <v>195011</v>
      </c>
      <c r="M657" s="38"/>
      <c r="N657" s="38"/>
      <c r="O657" s="38"/>
      <c r="P657" s="512"/>
      <c r="Q657" s="104"/>
      <c r="R657" s="660"/>
      <c r="S657" s="279"/>
      <c r="T657" s="490"/>
      <c r="U657" s="279"/>
      <c r="V657" s="490"/>
      <c r="W657" s="42"/>
      <c r="X657" s="42"/>
      <c r="Y657" s="490"/>
      <c r="AC657" s="11"/>
      <c r="AD657" s="11"/>
      <c r="AE657" s="11"/>
      <c r="AF657" s="11"/>
      <c r="AG657" s="11"/>
      <c r="AH657" s="11"/>
    </row>
    <row r="658" spans="1:34">
      <c r="A658" s="172" t="s">
        <v>258</v>
      </c>
      <c r="B658" s="1"/>
      <c r="C658" s="182">
        <f t="shared" si="62"/>
        <v>12.301399719748961</v>
      </c>
      <c r="D658" s="200">
        <v>1825</v>
      </c>
      <c r="E658" s="187"/>
      <c r="F658" s="184">
        <f>F713+F764</f>
        <v>22450</v>
      </c>
      <c r="G658" s="506">
        <v>1825</v>
      </c>
      <c r="H658" s="187"/>
      <c r="I658" s="184">
        <f>I713+I764</f>
        <v>22450</v>
      </c>
      <c r="J658" s="164">
        <f t="shared" si="63"/>
        <v>1825</v>
      </c>
      <c r="K658" s="187"/>
      <c r="L658" s="184">
        <f>L713+L764</f>
        <v>22450</v>
      </c>
      <c r="M658" s="38"/>
      <c r="N658" s="38"/>
      <c r="O658" s="38"/>
      <c r="P658" s="512"/>
      <c r="Q658" s="104"/>
      <c r="R658" s="11"/>
      <c r="S658" s="279"/>
      <c r="T658" s="279"/>
      <c r="U658" s="11"/>
      <c r="V658" s="11"/>
      <c r="Y658" s="11"/>
      <c r="AB658" s="11"/>
      <c r="AC658" s="11"/>
      <c r="AD658" s="11"/>
      <c r="AE658" s="11"/>
      <c r="AF658" s="11"/>
      <c r="AG658" s="11"/>
      <c r="AH658" s="11"/>
    </row>
    <row r="659" spans="1:34">
      <c r="A659" s="172" t="s">
        <v>166</v>
      </c>
      <c r="B659" s="1"/>
      <c r="C659" s="182">
        <f t="shared" si="62"/>
        <v>5135.6966195907062</v>
      </c>
      <c r="D659" s="200"/>
      <c r="E659" s="187"/>
      <c r="F659" s="184"/>
      <c r="G659" s="216"/>
      <c r="H659" s="187"/>
      <c r="I659" s="184"/>
      <c r="J659" s="200"/>
      <c r="K659" s="187"/>
      <c r="L659" s="184"/>
      <c r="M659" s="279"/>
      <c r="N659" s="38"/>
      <c r="O659" s="38"/>
      <c r="P659" s="512"/>
      <c r="Q659" s="490"/>
      <c r="R659" s="38"/>
      <c r="S659" s="11"/>
      <c r="T659" s="11"/>
      <c r="U659" s="11"/>
      <c r="V659" s="11"/>
      <c r="Y659" s="192"/>
      <c r="Z659" s="192"/>
      <c r="AA659" s="11"/>
      <c r="AB659" s="11"/>
      <c r="AC659" s="11"/>
      <c r="AD659" s="11"/>
      <c r="AE659" s="11"/>
      <c r="AF659" s="11"/>
      <c r="AG659" s="11"/>
      <c r="AH659" s="11"/>
    </row>
    <row r="660" spans="1:34">
      <c r="A660" s="172" t="s">
        <v>259</v>
      </c>
      <c r="B660" s="1"/>
      <c r="C660" s="182">
        <f t="shared" si="62"/>
        <v>29198.894444444468</v>
      </c>
      <c r="D660" s="200"/>
      <c r="E660" s="187"/>
      <c r="F660" s="184"/>
      <c r="G660" s="216"/>
      <c r="H660" s="187"/>
      <c r="I660" s="184"/>
      <c r="J660" s="200"/>
      <c r="K660" s="187"/>
      <c r="L660" s="184"/>
      <c r="M660" s="38"/>
      <c r="N660" s="38"/>
      <c r="O660" s="38"/>
      <c r="P660" s="38"/>
      <c r="Q660" s="38"/>
      <c r="R660" s="38"/>
      <c r="S660" s="11"/>
      <c r="T660" s="11"/>
      <c r="U660" s="11"/>
      <c r="V660" s="11"/>
      <c r="AA660" s="11"/>
      <c r="AB660" s="11"/>
      <c r="AC660" s="11"/>
      <c r="AD660" s="11"/>
      <c r="AE660" s="11"/>
      <c r="AF660" s="11"/>
      <c r="AG660" s="11"/>
      <c r="AH660" s="11"/>
    </row>
    <row r="661" spans="1:34">
      <c r="A661" s="172" t="s">
        <v>24</v>
      </c>
      <c r="B661" s="1"/>
      <c r="C661" s="182">
        <f t="shared" si="62"/>
        <v>20744</v>
      </c>
      <c r="D661" s="200"/>
      <c r="E661" s="184"/>
      <c r="F661" s="184"/>
      <c r="G661" s="216"/>
      <c r="H661" s="184"/>
      <c r="I661" s="488" t="s">
        <v>13</v>
      </c>
      <c r="J661" s="200"/>
      <c r="K661" s="184"/>
      <c r="L661" s="488" t="s">
        <v>13</v>
      </c>
      <c r="M661" s="38"/>
      <c r="N661" s="38"/>
      <c r="O661" s="38"/>
      <c r="P661" s="490"/>
      <c r="Q661" s="490"/>
      <c r="R661" s="707"/>
      <c r="S661" s="11"/>
      <c r="T661" s="11"/>
      <c r="U661" s="11"/>
      <c r="V661" s="11"/>
      <c r="AA661" s="11"/>
      <c r="AB661" s="11"/>
      <c r="AC661" s="11"/>
      <c r="AD661" s="11"/>
      <c r="AE661" s="11"/>
      <c r="AF661" s="11"/>
      <c r="AG661" s="11"/>
      <c r="AH661" s="11"/>
    </row>
    <row r="662" spans="1:34">
      <c r="A662" s="172" t="s">
        <v>260</v>
      </c>
      <c r="B662" s="1"/>
      <c r="C662" s="182"/>
      <c r="D662" s="200"/>
      <c r="E662" s="187"/>
      <c r="F662" s="184"/>
      <c r="G662" s="216"/>
      <c r="H662" s="187"/>
      <c r="I662" s="184"/>
      <c r="J662" s="200"/>
      <c r="K662" s="187"/>
      <c r="L662" s="184"/>
      <c r="M662" s="38"/>
      <c r="N662" s="38"/>
      <c r="O662" s="38"/>
      <c r="P662" s="490"/>
      <c r="Q662" s="490"/>
      <c r="R662" s="38"/>
      <c r="S662" s="11"/>
      <c r="T662" s="11"/>
      <c r="U662" s="11"/>
      <c r="V662" s="11"/>
      <c r="AA662" s="11"/>
      <c r="AB662" s="11"/>
      <c r="AC662" s="11"/>
      <c r="AD662" s="11"/>
      <c r="AE662" s="11"/>
      <c r="AF662" s="11"/>
      <c r="AG662" s="11"/>
      <c r="AH662" s="11"/>
    </row>
    <row r="663" spans="1:34">
      <c r="A663" s="172" t="s">
        <v>261</v>
      </c>
      <c r="B663" s="1"/>
      <c r="C663" s="182">
        <f>C718+C769</f>
        <v>3761.26073350857</v>
      </c>
      <c r="D663" s="200">
        <v>31.58</v>
      </c>
      <c r="E663" s="187"/>
      <c r="F663" s="184">
        <f>F718+F769</f>
        <v>118781</v>
      </c>
      <c r="G663" s="506">
        <v>31.58</v>
      </c>
      <c r="H663" s="187"/>
      <c r="I663" s="184">
        <f>I718+I769</f>
        <v>118781</v>
      </c>
      <c r="J663" s="164">
        <f>G663</f>
        <v>31.58</v>
      </c>
      <c r="K663" s="187"/>
      <c r="L663" s="184">
        <f>L718+L769</f>
        <v>118781</v>
      </c>
      <c r="M663" s="339"/>
      <c r="N663" s="339"/>
      <c r="O663" s="38"/>
      <c r="P663" s="104"/>
      <c r="Q663" s="104"/>
      <c r="R663" s="38"/>
      <c r="S663" s="11"/>
      <c r="T663" s="11"/>
      <c r="U663" s="11"/>
      <c r="V663" s="11"/>
      <c r="AC663" s="11"/>
      <c r="AD663" s="11"/>
      <c r="AE663" s="11"/>
      <c r="AF663" s="11"/>
      <c r="AG663" s="11"/>
      <c r="AH663" s="11"/>
    </row>
    <row r="664" spans="1:34">
      <c r="A664" s="172" t="s">
        <v>262</v>
      </c>
      <c r="B664" s="1"/>
      <c r="C664" s="182"/>
      <c r="D664" s="200"/>
      <c r="E664" s="187"/>
      <c r="F664" s="184"/>
      <c r="G664" s="216"/>
      <c r="H664" s="187"/>
      <c r="I664" s="184"/>
      <c r="J664" s="200"/>
      <c r="K664" s="187"/>
      <c r="L664" s="184"/>
      <c r="M664" s="339"/>
      <c r="N664" s="339"/>
      <c r="O664" s="38"/>
      <c r="P664" s="490"/>
      <c r="Q664" s="490"/>
      <c r="R664" s="38"/>
      <c r="S664" s="11"/>
      <c r="T664" s="11"/>
      <c r="U664" s="11"/>
      <c r="V664" s="11"/>
      <c r="AC664" s="11"/>
      <c r="AD664" s="11"/>
      <c r="AE664" s="11"/>
      <c r="AF664" s="11"/>
      <c r="AG664" s="11"/>
      <c r="AH664" s="11"/>
    </row>
    <row r="665" spans="1:34">
      <c r="A665" s="172" t="s">
        <v>256</v>
      </c>
      <c r="B665" s="1"/>
      <c r="C665" s="182">
        <f>C720+C771</f>
        <v>53905.583708849605</v>
      </c>
      <c r="D665" s="200">
        <v>31.58</v>
      </c>
      <c r="E665" s="187"/>
      <c r="F665" s="184">
        <f>F720+F771</f>
        <v>1702339</v>
      </c>
      <c r="G665" s="506">
        <v>31.58</v>
      </c>
      <c r="H665" s="187"/>
      <c r="I665" s="184">
        <f>I720+I771</f>
        <v>1702339</v>
      </c>
      <c r="J665" s="164">
        <f t="shared" ref="J665:J669" si="64">G665</f>
        <v>31.58</v>
      </c>
      <c r="K665" s="187"/>
      <c r="L665" s="184">
        <f>L720+L771</f>
        <v>1702339</v>
      </c>
      <c r="M665" s="339"/>
      <c r="N665" s="339"/>
      <c r="O665" s="38"/>
      <c r="P665" s="104"/>
      <c r="Q665" s="104"/>
      <c r="R665" s="38"/>
      <c r="S665" s="11"/>
      <c r="T665" s="11"/>
      <c r="U665" s="11"/>
      <c r="V665" s="11"/>
      <c r="AC665" s="11"/>
      <c r="AD665" s="11"/>
      <c r="AE665" s="11"/>
      <c r="AF665" s="11"/>
      <c r="AG665" s="11"/>
      <c r="AH665" s="11"/>
    </row>
    <row r="666" spans="1:34">
      <c r="A666" s="172" t="s">
        <v>257</v>
      </c>
      <c r="B666" s="1"/>
      <c r="C666" s="182">
        <f>C721+C772</f>
        <v>42010.213231439397</v>
      </c>
      <c r="D666" s="200">
        <v>21.97</v>
      </c>
      <c r="E666" s="187"/>
      <c r="F666" s="184">
        <f>F721+F772</f>
        <v>922965</v>
      </c>
      <c r="G666" s="506">
        <v>21.97</v>
      </c>
      <c r="H666" s="187"/>
      <c r="I666" s="184">
        <f>I721+I772</f>
        <v>922965</v>
      </c>
      <c r="J666" s="164">
        <f t="shared" si="64"/>
        <v>21.97</v>
      </c>
      <c r="K666" s="187"/>
      <c r="L666" s="184">
        <f>L721+L772</f>
        <v>922965</v>
      </c>
      <c r="M666" s="339"/>
      <c r="N666" s="339"/>
      <c r="O666" s="38"/>
      <c r="P666" s="104"/>
      <c r="Q666" s="104"/>
      <c r="R666" s="38"/>
      <c r="S666" s="11"/>
      <c r="T666" s="11"/>
      <c r="U666" s="279"/>
      <c r="V666" s="279"/>
      <c r="W666" s="42"/>
      <c r="X666" s="42"/>
      <c r="Y666" s="42"/>
      <c r="Z666" s="101"/>
      <c r="AA666" s="11" t="s">
        <v>13</v>
      </c>
      <c r="AB666" s="11"/>
      <c r="AC666" s="11"/>
      <c r="AD666" s="11"/>
      <c r="AE666" s="11"/>
      <c r="AF666" s="11"/>
      <c r="AG666" s="11"/>
      <c r="AH666" s="11"/>
    </row>
    <row r="667" spans="1:34">
      <c r="A667" s="172" t="s">
        <v>258</v>
      </c>
      <c r="B667" s="1" t="s">
        <v>13</v>
      </c>
      <c r="C667" s="182">
        <f>C722+C773</f>
        <v>4739.8709296392499</v>
      </c>
      <c r="D667" s="200">
        <v>17.18</v>
      </c>
      <c r="E667" s="187"/>
      <c r="F667" s="184">
        <f>F722+F773</f>
        <v>81431</v>
      </c>
      <c r="G667" s="506">
        <v>17.18</v>
      </c>
      <c r="H667" s="187"/>
      <c r="I667" s="184">
        <f>I722+I773</f>
        <v>81431</v>
      </c>
      <c r="J667" s="164">
        <f t="shared" si="64"/>
        <v>17.18</v>
      </c>
      <c r="K667" s="187"/>
      <c r="L667" s="184">
        <f>L722+L773</f>
        <v>81431</v>
      </c>
      <c r="M667" s="339"/>
      <c r="N667" s="339"/>
      <c r="O667" s="38"/>
      <c r="P667" s="104"/>
      <c r="Q667" s="104"/>
      <c r="R667" s="38"/>
      <c r="S667" s="11"/>
      <c r="T667" s="11"/>
      <c r="U667" s="11"/>
      <c r="V667" s="11"/>
      <c r="AA667" s="11" t="s">
        <v>13</v>
      </c>
      <c r="AB667" s="11"/>
      <c r="AC667" s="11"/>
      <c r="AD667" s="11"/>
      <c r="AE667" s="11"/>
      <c r="AF667" s="11"/>
      <c r="AG667" s="11"/>
      <c r="AH667" s="11"/>
    </row>
    <row r="668" spans="1:34">
      <c r="A668" s="172" t="s">
        <v>264</v>
      </c>
      <c r="B668" s="1"/>
      <c r="C668" s="182">
        <f>C723+C774</f>
        <v>525.633292205354</v>
      </c>
      <c r="D668" s="200">
        <v>94.74</v>
      </c>
      <c r="E668" s="187"/>
      <c r="F668" s="184">
        <f>F723+F774</f>
        <v>49798</v>
      </c>
      <c r="G668" s="216">
        <v>94.74</v>
      </c>
      <c r="H668" s="187"/>
      <c r="I668" s="184">
        <f>I723+I774</f>
        <v>49798</v>
      </c>
      <c r="J668" s="200">
        <f t="shared" si="64"/>
        <v>94.74</v>
      </c>
      <c r="K668" s="187"/>
      <c r="L668" s="184">
        <f>L723+L774</f>
        <v>49798</v>
      </c>
      <c r="M668" s="38"/>
      <c r="N668" s="38"/>
      <c r="O668" s="38"/>
      <c r="P668" s="104"/>
      <c r="Q668" s="104"/>
      <c r="R668" s="38"/>
      <c r="S668" s="11"/>
      <c r="T668" s="11"/>
      <c r="U668" s="11"/>
      <c r="V668" s="11"/>
      <c r="AA668" s="11"/>
      <c r="AB668" s="11"/>
      <c r="AC668" s="11"/>
      <c r="AD668" s="11"/>
      <c r="AE668" s="11"/>
      <c r="AF668" s="11"/>
      <c r="AG668" s="11"/>
      <c r="AH668" s="11"/>
    </row>
    <row r="669" spans="1:34">
      <c r="A669" s="172" t="s">
        <v>265</v>
      </c>
      <c r="B669" s="1"/>
      <c r="C669" s="182">
        <f>C724+C775</f>
        <v>989.09305134899591</v>
      </c>
      <c r="D669" s="200">
        <v>189.48</v>
      </c>
      <c r="E669" s="187"/>
      <c r="F669" s="184">
        <f>F724+F775</f>
        <v>187413</v>
      </c>
      <c r="G669" s="216">
        <v>189.48</v>
      </c>
      <c r="H669" s="187"/>
      <c r="I669" s="184">
        <f>I724+I775</f>
        <v>187413</v>
      </c>
      <c r="J669" s="200">
        <f t="shared" si="64"/>
        <v>189.48</v>
      </c>
      <c r="K669" s="187"/>
      <c r="L669" s="184">
        <f>L724+L775</f>
        <v>187413</v>
      </c>
      <c r="M669" s="38"/>
      <c r="N669" s="38"/>
      <c r="O669" s="38"/>
      <c r="P669" s="104"/>
      <c r="Q669" s="104"/>
      <c r="R669" s="38"/>
      <c r="S669" s="11"/>
      <c r="T669" s="11"/>
      <c r="U669" s="11"/>
      <c r="V669" s="11"/>
      <c r="AA669" s="11"/>
      <c r="AB669" s="11"/>
      <c r="AC669" s="11"/>
      <c r="AD669" s="11"/>
      <c r="AE669" s="11"/>
      <c r="AF669" s="11"/>
      <c r="AG669" s="11"/>
      <c r="AH669" s="11"/>
    </row>
    <row r="670" spans="1:34">
      <c r="A670" s="172" t="s">
        <v>266</v>
      </c>
      <c r="B670" s="1"/>
      <c r="C670" s="182"/>
      <c r="D670" s="200"/>
      <c r="E670" s="187"/>
      <c r="F670" s="184"/>
      <c r="G670" s="216"/>
      <c r="H670" s="187"/>
      <c r="I670" s="184"/>
      <c r="J670" s="200"/>
      <c r="K670" s="187"/>
      <c r="L670" s="184"/>
      <c r="M670" s="38"/>
      <c r="N670" s="38"/>
      <c r="O670" s="38"/>
      <c r="P670" s="11"/>
      <c r="Q670" s="11"/>
      <c r="R670" s="38"/>
      <c r="S670" s="11"/>
      <c r="T670" s="11"/>
      <c r="U670" s="11"/>
      <c r="V670" s="11"/>
      <c r="AA670" s="11"/>
      <c r="AB670" s="11"/>
      <c r="AC670" s="11"/>
      <c r="AD670" s="11"/>
      <c r="AE670" s="11"/>
      <c r="AF670" s="11"/>
      <c r="AG670" s="11"/>
      <c r="AH670" s="11"/>
    </row>
    <row r="671" spans="1:34">
      <c r="A671" s="172" t="s">
        <v>261</v>
      </c>
      <c r="B671" s="1"/>
      <c r="C671" s="182">
        <f>C726+C777</f>
        <v>499.05232194267103</v>
      </c>
      <c r="D671" s="226">
        <f>-D663</f>
        <v>-31.58</v>
      </c>
      <c r="E671" s="187"/>
      <c r="F671" s="184">
        <f>F726+F777</f>
        <v>-15760</v>
      </c>
      <c r="G671" s="216">
        <v>-31.58</v>
      </c>
      <c r="H671" s="187"/>
      <c r="I671" s="184">
        <f>I726+I777</f>
        <v>-15760</v>
      </c>
      <c r="J671" s="226">
        <f>-J663</f>
        <v>-31.58</v>
      </c>
      <c r="K671" s="187"/>
      <c r="L671" s="184">
        <f>L726+L777</f>
        <v>-15760</v>
      </c>
      <c r="M671" s="38"/>
      <c r="N671" s="38"/>
      <c r="O671" s="38"/>
      <c r="P671" s="11"/>
      <c r="Q671" s="11"/>
      <c r="R671" s="38"/>
      <c r="S671" s="11"/>
      <c r="T671" s="11"/>
      <c r="U671" s="11"/>
      <c r="V671" s="11"/>
      <c r="AA671" s="11"/>
      <c r="AB671" s="11"/>
      <c r="AC671" s="11"/>
      <c r="AD671" s="11"/>
      <c r="AE671" s="11"/>
      <c r="AF671" s="11"/>
      <c r="AG671" s="11"/>
      <c r="AH671" s="11"/>
    </row>
    <row r="672" spans="1:34">
      <c r="A672" s="172" t="s">
        <v>267</v>
      </c>
      <c r="B672" s="1"/>
      <c r="C672" s="182">
        <f>C727+C778</f>
        <v>1531.5181812492169</v>
      </c>
      <c r="D672" s="226">
        <f>-D665</f>
        <v>-31.58</v>
      </c>
      <c r="E672" s="187"/>
      <c r="F672" s="184">
        <f>F727+F778</f>
        <v>-48365</v>
      </c>
      <c r="G672" s="216">
        <v>-31.58</v>
      </c>
      <c r="H672" s="187"/>
      <c r="I672" s="184">
        <f>I727+I778</f>
        <v>-48365</v>
      </c>
      <c r="J672" s="226">
        <f>-J665</f>
        <v>-31.58</v>
      </c>
      <c r="K672" s="187"/>
      <c r="L672" s="184">
        <f>L727+L778</f>
        <v>-48365</v>
      </c>
      <c r="M672" s="279"/>
      <c r="N672" s="38"/>
      <c r="O672" s="38"/>
      <c r="P672" s="517"/>
      <c r="Q672" s="11"/>
      <c r="R672" s="38"/>
      <c r="S672" s="11"/>
      <c r="T672" s="11"/>
      <c r="U672" s="11"/>
      <c r="V672" s="11"/>
      <c r="AA672" s="11"/>
      <c r="AB672" s="11"/>
      <c r="AC672" s="11"/>
      <c r="AD672" s="11"/>
      <c r="AE672" s="11"/>
      <c r="AF672" s="11"/>
      <c r="AG672" s="11"/>
      <c r="AH672" s="11"/>
    </row>
    <row r="673" spans="1:34">
      <c r="A673" s="186" t="s">
        <v>230</v>
      </c>
      <c r="B673" s="1"/>
      <c r="C673" s="182">
        <f>C728+C779</f>
        <v>0</v>
      </c>
      <c r="D673" s="200"/>
      <c r="E673" s="184"/>
      <c r="F673" s="184"/>
      <c r="G673" s="216"/>
      <c r="H673" s="184"/>
      <c r="I673" s="184"/>
      <c r="J673" s="200"/>
      <c r="K673" s="184"/>
      <c r="L673" s="184"/>
      <c r="M673" s="38"/>
      <c r="N673" s="38"/>
      <c r="O673" s="38"/>
      <c r="P673" s="11"/>
      <c r="Q673" s="11"/>
      <c r="R673" s="38"/>
      <c r="S673" s="11"/>
      <c r="T673" s="11"/>
      <c r="U673" s="11"/>
      <c r="V673" s="11"/>
      <c r="AA673" s="11"/>
      <c r="AB673" s="11"/>
      <c r="AC673" s="11"/>
      <c r="AD673" s="11"/>
      <c r="AE673" s="11"/>
      <c r="AF673" s="11"/>
      <c r="AG673" s="11"/>
      <c r="AH673" s="11"/>
    </row>
    <row r="674" spans="1:34">
      <c r="A674" s="172" t="s">
        <v>268</v>
      </c>
      <c r="B674" s="1"/>
      <c r="C674" s="182">
        <f>C729+C780</f>
        <v>156050797.84020001</v>
      </c>
      <c r="D674" s="246">
        <v>6.891</v>
      </c>
      <c r="E674" s="184" t="s">
        <v>178</v>
      </c>
      <c r="F674" s="184">
        <f>F729+F780</f>
        <v>10753460</v>
      </c>
      <c r="G674" s="428">
        <v>7.2140000000000004</v>
      </c>
      <c r="H674" s="184" t="s">
        <v>178</v>
      </c>
      <c r="I674" s="184">
        <f>I729+I780</f>
        <v>11257505</v>
      </c>
      <c r="J674" s="162">
        <f ca="1">ROUND(G674+($O$650/$C$701)*100,3)</f>
        <v>7.1989999999999998</v>
      </c>
      <c r="K674" s="184" t="s">
        <v>178</v>
      </c>
      <c r="L674" s="184">
        <f ca="1">L729+L780</f>
        <v>11234097</v>
      </c>
      <c r="M674" s="279"/>
      <c r="N674" s="185"/>
      <c r="O674" s="38"/>
      <c r="P674" s="512"/>
      <c r="Q674" s="104"/>
      <c r="R674" s="38"/>
      <c r="S674" s="11"/>
      <c r="T674" s="11"/>
      <c r="U674" s="11"/>
      <c r="V674" s="11"/>
      <c r="AA674" s="11"/>
      <c r="AB674" s="11"/>
      <c r="AC674" s="11"/>
      <c r="AD674" s="11"/>
      <c r="AE674" s="11"/>
      <c r="AF674" s="11"/>
      <c r="AG674" s="11"/>
      <c r="AH674" s="11"/>
    </row>
    <row r="675" spans="1:34">
      <c r="A675" s="172" t="s">
        <v>561</v>
      </c>
      <c r="B675" s="1"/>
      <c r="C675" s="182">
        <v>0</v>
      </c>
      <c r="D675" s="246">
        <v>10.541</v>
      </c>
      <c r="E675" s="184" t="s">
        <v>178</v>
      </c>
      <c r="F675" s="184">
        <f>C675*D675/100</f>
        <v>0</v>
      </c>
      <c r="G675" s="428">
        <v>10.864000000000001</v>
      </c>
      <c r="H675" s="184" t="s">
        <v>178</v>
      </c>
      <c r="I675" s="184">
        <f>C675*G675/100</f>
        <v>0</v>
      </c>
      <c r="J675" s="162">
        <f ca="1">ROUND(G675+($O$650/$C$701)*100,3)</f>
        <v>10.849</v>
      </c>
      <c r="K675" s="184" t="s">
        <v>178</v>
      </c>
      <c r="L675" s="184">
        <f ca="1">F675*J675/100</f>
        <v>0</v>
      </c>
      <c r="M675" s="279"/>
      <c r="N675" s="185"/>
      <c r="O675" s="38"/>
      <c r="P675" s="512"/>
      <c r="Q675" s="104"/>
      <c r="R675" s="38"/>
      <c r="S675" s="11"/>
      <c r="T675" s="11"/>
      <c r="U675" s="11"/>
      <c r="V675" s="11"/>
      <c r="AA675" s="11"/>
      <c r="AB675" s="11"/>
      <c r="AC675" s="11"/>
      <c r="AD675" s="11"/>
      <c r="AE675" s="11"/>
      <c r="AF675" s="11"/>
      <c r="AG675" s="11"/>
      <c r="AH675" s="11"/>
    </row>
    <row r="676" spans="1:34">
      <c r="A676" s="172" t="s">
        <v>562</v>
      </c>
      <c r="B676" s="1"/>
      <c r="C676" s="182">
        <v>0</v>
      </c>
      <c r="D676" s="246">
        <v>5.609</v>
      </c>
      <c r="E676" s="184" t="s">
        <v>178</v>
      </c>
      <c r="F676" s="184">
        <f>C676*D676/100</f>
        <v>0</v>
      </c>
      <c r="G676" s="428">
        <v>5.9320000000000004</v>
      </c>
      <c r="H676" s="184" t="s">
        <v>178</v>
      </c>
      <c r="I676" s="184">
        <f>C676*G676/100</f>
        <v>0</v>
      </c>
      <c r="J676" s="162">
        <f ca="1">ROUND(G676+($O$650/$C$701)*100,3)</f>
        <v>5.9169999999999998</v>
      </c>
      <c r="K676" s="184" t="s">
        <v>178</v>
      </c>
      <c r="L676" s="184">
        <f ca="1">F676*J676/100</f>
        <v>0</v>
      </c>
      <c r="M676" s="279"/>
      <c r="N676" s="185"/>
      <c r="O676" s="38"/>
      <c r="P676" s="512"/>
      <c r="Q676" s="104"/>
      <c r="R676" s="38"/>
      <c r="S676" s="11"/>
      <c r="T676" s="11"/>
      <c r="U676" s="11"/>
      <c r="V676" s="11"/>
      <c r="AA676" s="11"/>
      <c r="AB676" s="11"/>
      <c r="AC676" s="11"/>
      <c r="AD676" s="11"/>
      <c r="AE676" s="11"/>
      <c r="AF676" s="11"/>
      <c r="AG676" s="11"/>
      <c r="AH676" s="11"/>
    </row>
    <row r="677" spans="1:34">
      <c r="A677" s="186" t="s">
        <v>204</v>
      </c>
      <c r="B677" s="1"/>
      <c r="C677" s="182">
        <f>C730+C781</f>
        <v>66643</v>
      </c>
      <c r="D677" s="474">
        <v>58</v>
      </c>
      <c r="E677" s="186" t="s">
        <v>178</v>
      </c>
      <c r="F677" s="184">
        <f>F730+F781</f>
        <v>38653</v>
      </c>
      <c r="G677" s="744">
        <v>58</v>
      </c>
      <c r="H677" s="186" t="s">
        <v>178</v>
      </c>
      <c r="I677" s="184">
        <f>I730+I781</f>
        <v>38653</v>
      </c>
      <c r="J677" s="472">
        <f t="shared" ref="J677:J678" si="65">G677</f>
        <v>58</v>
      </c>
      <c r="K677" s="186" t="s">
        <v>178</v>
      </c>
      <c r="L677" s="184">
        <f>L730+L781</f>
        <v>38653</v>
      </c>
      <c r="M677" s="279"/>
      <c r="N677" s="279"/>
      <c r="O677" s="38"/>
      <c r="P677" s="512"/>
      <c r="Q677" s="104"/>
      <c r="R677" s="38"/>
      <c r="S677" s="11"/>
      <c r="T677" s="11"/>
      <c r="U677" s="11"/>
      <c r="V677" s="11"/>
      <c r="AA677" s="11"/>
      <c r="AB677" s="11"/>
      <c r="AC677" s="11"/>
      <c r="AD677" s="11"/>
      <c r="AE677" s="11"/>
      <c r="AF677" s="11"/>
      <c r="AG677" s="11"/>
      <c r="AH677" s="11"/>
    </row>
    <row r="678" spans="1:34">
      <c r="A678" s="223" t="s">
        <v>205</v>
      </c>
      <c r="B678" s="1"/>
      <c r="C678" s="182"/>
      <c r="D678" s="195">
        <v>-0.01</v>
      </c>
      <c r="E678" s="1"/>
      <c r="F678" s="184"/>
      <c r="G678" s="734">
        <v>-0.01</v>
      </c>
      <c r="H678" s="1"/>
      <c r="I678" s="184"/>
      <c r="J678" s="195">
        <f t="shared" si="65"/>
        <v>-0.01</v>
      </c>
      <c r="K678" s="1"/>
      <c r="L678" s="184"/>
      <c r="M678" s="11"/>
      <c r="N678" s="11"/>
      <c r="O678" s="38"/>
      <c r="P678" s="38"/>
      <c r="Q678" s="38"/>
      <c r="R678" s="11"/>
      <c r="S678" s="11"/>
      <c r="T678" s="11"/>
      <c r="U678" s="11"/>
      <c r="V678" s="11"/>
      <c r="AA678" s="11"/>
      <c r="AB678" s="11"/>
      <c r="AC678" s="11"/>
      <c r="AD678" s="11"/>
      <c r="AE678" s="11"/>
      <c r="AF678" s="11"/>
      <c r="AG678" s="11"/>
      <c r="AH678" s="11"/>
    </row>
    <row r="679" spans="1:34">
      <c r="A679" s="172" t="s">
        <v>194</v>
      </c>
      <c r="B679" s="1"/>
      <c r="C679" s="182">
        <f>C732+C783</f>
        <v>0</v>
      </c>
      <c r="D679" s="247">
        <f>D653</f>
        <v>0</v>
      </c>
      <c r="E679" s="187"/>
      <c r="F679" s="184">
        <f>F732+F783</f>
        <v>0</v>
      </c>
      <c r="G679" s="216">
        <v>0</v>
      </c>
      <c r="H679" s="187"/>
      <c r="I679" s="184">
        <f>I732+I783</f>
        <v>0</v>
      </c>
      <c r="J679" s="247">
        <f>J653</f>
        <v>0</v>
      </c>
      <c r="K679" s="187"/>
      <c r="L679" s="184">
        <f>L732+L783</f>
        <v>0</v>
      </c>
      <c r="M679" s="11"/>
      <c r="N679" s="11"/>
      <c r="O679" s="38"/>
      <c r="P679" s="38"/>
      <c r="Q679" s="38"/>
      <c r="R679" s="11"/>
      <c r="S679" s="11"/>
      <c r="T679" s="11"/>
      <c r="U679" s="11"/>
      <c r="V679" s="11"/>
      <c r="AA679" s="11"/>
      <c r="AB679" s="11"/>
      <c r="AC679" s="11"/>
      <c r="AD679" s="11"/>
      <c r="AE679" s="11"/>
      <c r="AF679" s="11"/>
      <c r="AG679" s="11"/>
      <c r="AH679" s="11"/>
    </row>
    <row r="680" spans="1:34">
      <c r="A680" s="172" t="s">
        <v>195</v>
      </c>
      <c r="B680" s="1"/>
      <c r="C680" s="182"/>
      <c r="D680" s="247"/>
      <c r="E680" s="187"/>
      <c r="F680" s="184"/>
      <c r="G680" s="216"/>
      <c r="H680" s="187"/>
      <c r="I680" s="184"/>
      <c r="J680" s="247"/>
      <c r="K680" s="187"/>
      <c r="L680" s="184"/>
      <c r="M680" s="11"/>
      <c r="N680" s="11"/>
      <c r="O680" s="38"/>
      <c r="P680" s="38"/>
      <c r="Q680" s="38"/>
      <c r="R680" s="11"/>
      <c r="S680" s="11"/>
      <c r="T680" s="11"/>
      <c r="U680" s="11"/>
      <c r="V680" s="11"/>
      <c r="AA680" s="11"/>
      <c r="AB680" s="11"/>
      <c r="AC680" s="11"/>
      <c r="AD680" s="11"/>
      <c r="AE680" s="11"/>
      <c r="AF680" s="11"/>
      <c r="AG680" s="11"/>
      <c r="AH680" s="11"/>
    </row>
    <row r="681" spans="1:34">
      <c r="A681" s="172" t="s">
        <v>256</v>
      </c>
      <c r="B681" s="1"/>
      <c r="C681" s="182">
        <f>C734+C785</f>
        <v>1</v>
      </c>
      <c r="D681" s="247">
        <f>D656</f>
        <v>0</v>
      </c>
      <c r="E681" s="187"/>
      <c r="F681" s="184">
        <f>F734+F785</f>
        <v>0</v>
      </c>
      <c r="G681" s="216">
        <v>0</v>
      </c>
      <c r="H681" s="187"/>
      <c r="I681" s="184">
        <f>I734+I785</f>
        <v>0</v>
      </c>
      <c r="J681" s="247">
        <f>J656</f>
        <v>0</v>
      </c>
      <c r="K681" s="187"/>
      <c r="L681" s="184">
        <f>L734+L785</f>
        <v>0</v>
      </c>
      <c r="M681" s="11"/>
      <c r="N681" s="11"/>
      <c r="O681" s="38"/>
      <c r="P681" s="38"/>
      <c r="Q681" s="38"/>
      <c r="R681" s="11"/>
      <c r="S681" s="11"/>
      <c r="T681" s="11"/>
      <c r="U681" s="11"/>
      <c r="V681" s="11"/>
      <c r="AA681" s="11"/>
      <c r="AB681" s="11"/>
      <c r="AC681" s="11"/>
      <c r="AD681" s="11"/>
      <c r="AE681" s="11"/>
      <c r="AF681" s="11"/>
      <c r="AG681" s="11"/>
      <c r="AH681" s="11"/>
    </row>
    <row r="682" spans="1:34">
      <c r="A682" s="172" t="s">
        <v>257</v>
      </c>
      <c r="B682" s="1"/>
      <c r="C682" s="182">
        <f>C735+C786</f>
        <v>0</v>
      </c>
      <c r="D682" s="247">
        <f>D657</f>
        <v>449</v>
      </c>
      <c r="E682" s="187"/>
      <c r="F682" s="184">
        <f>F735+F786</f>
        <v>0</v>
      </c>
      <c r="G682" s="216">
        <v>449</v>
      </c>
      <c r="H682" s="187"/>
      <c r="I682" s="184">
        <f>I735+I786</f>
        <v>0</v>
      </c>
      <c r="J682" s="247">
        <f>J657</f>
        <v>449</v>
      </c>
      <c r="K682" s="187"/>
      <c r="L682" s="184">
        <f>L735+L786</f>
        <v>0</v>
      </c>
      <c r="M682" s="11"/>
      <c r="N682" s="11"/>
      <c r="O682" s="38"/>
      <c r="P682" s="38"/>
      <c r="Q682" s="38"/>
      <c r="R682" s="11"/>
      <c r="S682" s="11"/>
      <c r="T682" s="11"/>
      <c r="U682" s="11"/>
      <c r="V682" s="11"/>
      <c r="AA682" s="11"/>
      <c r="AB682" s="11"/>
      <c r="AC682" s="11"/>
      <c r="AD682" s="11"/>
      <c r="AE682" s="11"/>
      <c r="AF682" s="11"/>
      <c r="AG682" s="11"/>
      <c r="AH682" s="11"/>
    </row>
    <row r="683" spans="1:34">
      <c r="A683" s="172" t="s">
        <v>258</v>
      </c>
      <c r="B683" s="1"/>
      <c r="C683" s="182">
        <f>C736+C787</f>
        <v>0</v>
      </c>
      <c r="D683" s="247">
        <f>D658</f>
        <v>1825</v>
      </c>
      <c r="E683" s="187"/>
      <c r="F683" s="184">
        <f>F736+F787</f>
        <v>0</v>
      </c>
      <c r="G683" s="216">
        <v>1825</v>
      </c>
      <c r="H683" s="187"/>
      <c r="I683" s="184">
        <f>I736+I787</f>
        <v>0</v>
      </c>
      <c r="J683" s="247">
        <f>J658</f>
        <v>1825</v>
      </c>
      <c r="K683" s="187"/>
      <c r="L683" s="184">
        <f>L736+L787</f>
        <v>0</v>
      </c>
      <c r="M683" s="11"/>
      <c r="N683" s="11"/>
      <c r="O683" s="38"/>
      <c r="P683" s="38"/>
      <c r="Q683" s="38"/>
      <c r="R683" s="11"/>
      <c r="S683" s="11"/>
      <c r="T683" s="11"/>
      <c r="U683" s="11"/>
      <c r="V683" s="11"/>
      <c r="AA683" s="11"/>
      <c r="AB683" s="11"/>
      <c r="AC683" s="11"/>
      <c r="AD683" s="11"/>
      <c r="AE683" s="11"/>
      <c r="AF683" s="11"/>
      <c r="AG683" s="11"/>
      <c r="AH683" s="11"/>
    </row>
    <row r="684" spans="1:34">
      <c r="A684" s="172" t="s">
        <v>194</v>
      </c>
      <c r="B684" s="1"/>
      <c r="C684" s="182">
        <f>C737+C788</f>
        <v>0</v>
      </c>
      <c r="D684" s="247">
        <f>D663</f>
        <v>31.58</v>
      </c>
      <c r="E684" s="187"/>
      <c r="F684" s="184">
        <f>F737+F788</f>
        <v>0</v>
      </c>
      <c r="G684" s="216">
        <v>31.58</v>
      </c>
      <c r="H684" s="187"/>
      <c r="I684" s="184">
        <f>I737+I788</f>
        <v>0</v>
      </c>
      <c r="J684" s="247">
        <f>J663</f>
        <v>31.58</v>
      </c>
      <c r="K684" s="187"/>
      <c r="L684" s="184">
        <f>L737+L788</f>
        <v>0</v>
      </c>
      <c r="M684" s="11"/>
      <c r="N684" s="11"/>
      <c r="O684" s="38"/>
      <c r="P684" s="38"/>
      <c r="Q684" s="38"/>
      <c r="R684" s="11"/>
      <c r="S684" s="11"/>
      <c r="T684" s="11"/>
      <c r="U684" s="11"/>
      <c r="V684" s="11"/>
      <c r="AA684" s="11"/>
      <c r="AB684" s="11"/>
      <c r="AC684" s="11"/>
      <c r="AD684" s="11"/>
      <c r="AE684" s="11"/>
      <c r="AF684" s="11"/>
      <c r="AG684" s="11"/>
      <c r="AH684" s="11"/>
    </row>
    <row r="685" spans="1:34">
      <c r="A685" s="172" t="s">
        <v>195</v>
      </c>
      <c r="B685" s="1"/>
      <c r="C685" s="182"/>
      <c r="D685" s="247"/>
      <c r="E685" s="187"/>
      <c r="F685" s="184"/>
      <c r="G685" s="216"/>
      <c r="H685" s="187"/>
      <c r="I685" s="184"/>
      <c r="J685" s="247"/>
      <c r="K685" s="187"/>
      <c r="L685" s="184"/>
      <c r="M685" s="11"/>
      <c r="N685" s="11"/>
      <c r="O685" s="38"/>
      <c r="P685" s="38"/>
      <c r="Q685" s="38"/>
      <c r="R685" s="11"/>
      <c r="S685" s="11"/>
      <c r="T685" s="11"/>
      <c r="U685" s="11"/>
      <c r="V685" s="11"/>
      <c r="AA685" s="11"/>
      <c r="AB685" s="11"/>
      <c r="AC685" s="11"/>
      <c r="AD685" s="11"/>
      <c r="AE685" s="11"/>
      <c r="AF685" s="11"/>
      <c r="AG685" s="11"/>
      <c r="AH685" s="11"/>
    </row>
    <row r="686" spans="1:34">
      <c r="A686" s="172" t="s">
        <v>256</v>
      </c>
      <c r="B686" s="1"/>
      <c r="C686" s="182">
        <f>C739+C790</f>
        <v>39</v>
      </c>
      <c r="D686" s="247">
        <f>D665</f>
        <v>31.58</v>
      </c>
      <c r="E686" s="187"/>
      <c r="F686" s="184">
        <f>F739+F790</f>
        <v>-12</v>
      </c>
      <c r="G686" s="216">
        <v>31.58</v>
      </c>
      <c r="H686" s="187"/>
      <c r="I686" s="184">
        <f>I739+I790</f>
        <v>-12</v>
      </c>
      <c r="J686" s="247">
        <f>J665</f>
        <v>31.58</v>
      </c>
      <c r="K686" s="187"/>
      <c r="L686" s="184">
        <f>L739+L790</f>
        <v>-12</v>
      </c>
      <c r="M686" s="11"/>
      <c r="N686" s="11"/>
      <c r="O686" s="38"/>
      <c r="P686" s="38"/>
      <c r="Q686" s="38"/>
      <c r="R686" s="11"/>
      <c r="S686" s="11"/>
      <c r="T686" s="11"/>
      <c r="U686" s="11"/>
      <c r="V686" s="11"/>
      <c r="AA686" s="11"/>
      <c r="AB686" s="11"/>
      <c r="AC686" s="11"/>
      <c r="AD686" s="11"/>
      <c r="AE686" s="11"/>
      <c r="AF686" s="11"/>
      <c r="AG686" s="11"/>
      <c r="AH686" s="11"/>
    </row>
    <row r="687" spans="1:34">
      <c r="A687" s="172" t="s">
        <v>257</v>
      </c>
      <c r="B687" s="1"/>
      <c r="C687" s="182">
        <f>C740+C791</f>
        <v>0</v>
      </c>
      <c r="D687" s="247">
        <f>D666</f>
        <v>21.97</v>
      </c>
      <c r="E687" s="187"/>
      <c r="F687" s="184">
        <f>F740+F791</f>
        <v>0</v>
      </c>
      <c r="G687" s="216">
        <v>21.97</v>
      </c>
      <c r="H687" s="187"/>
      <c r="I687" s="184">
        <f>I740+I791</f>
        <v>0</v>
      </c>
      <c r="J687" s="247">
        <f>J666</f>
        <v>21.97</v>
      </c>
      <c r="K687" s="187"/>
      <c r="L687" s="184">
        <f>L740+L791</f>
        <v>0</v>
      </c>
      <c r="M687" s="11"/>
      <c r="N687" s="11"/>
      <c r="O687" s="38"/>
      <c r="P687" s="38"/>
      <c r="Q687" s="38"/>
      <c r="R687" s="11"/>
      <c r="S687" s="11"/>
      <c r="T687" s="11"/>
      <c r="U687" s="11"/>
      <c r="V687" s="11"/>
      <c r="AA687" s="11"/>
      <c r="AB687" s="11"/>
      <c r="AC687" s="11"/>
      <c r="AD687" s="11"/>
      <c r="AE687" s="11"/>
      <c r="AF687" s="11"/>
      <c r="AG687" s="11"/>
      <c r="AH687" s="11"/>
    </row>
    <row r="688" spans="1:34">
      <c r="A688" s="172" t="s">
        <v>258</v>
      </c>
      <c r="B688" s="1"/>
      <c r="C688" s="182">
        <f>C741+C792</f>
        <v>0</v>
      </c>
      <c r="D688" s="247">
        <f>D667</f>
        <v>17.18</v>
      </c>
      <c r="E688" s="187"/>
      <c r="F688" s="184">
        <f>F741+F792</f>
        <v>0</v>
      </c>
      <c r="G688" s="216">
        <v>17.18</v>
      </c>
      <c r="H688" s="187"/>
      <c r="I688" s="184">
        <f>I741+I792</f>
        <v>0</v>
      </c>
      <c r="J688" s="247">
        <f>J667</f>
        <v>17.18</v>
      </c>
      <c r="K688" s="187"/>
      <c r="L688" s="184">
        <f>L741+L792</f>
        <v>0</v>
      </c>
      <c r="M688" s="11"/>
      <c r="N688" s="11"/>
      <c r="O688" s="38"/>
      <c r="P688" s="38"/>
      <c r="Q688" s="38"/>
      <c r="R688" s="11"/>
      <c r="S688" s="11"/>
      <c r="T688" s="11"/>
      <c r="U688" s="11"/>
      <c r="V688" s="11"/>
      <c r="AA688" s="11"/>
      <c r="AB688" s="11"/>
      <c r="AC688" s="11"/>
      <c r="AD688" s="11"/>
      <c r="AE688" s="11"/>
      <c r="AF688" s="11"/>
      <c r="AG688" s="11"/>
      <c r="AH688" s="11"/>
    </row>
    <row r="689" spans="1:34">
      <c r="A689" s="172" t="s">
        <v>269</v>
      </c>
      <c r="B689" s="1"/>
      <c r="C689" s="182">
        <f>C742+C793</f>
        <v>0</v>
      </c>
      <c r="D689" s="247">
        <f>D668</f>
        <v>94.74</v>
      </c>
      <c r="E689" s="187"/>
      <c r="F689" s="184">
        <f>F742+F793</f>
        <v>0</v>
      </c>
      <c r="G689" s="216">
        <v>94.74</v>
      </c>
      <c r="H689" s="187"/>
      <c r="I689" s="184">
        <f>I742+I793</f>
        <v>0</v>
      </c>
      <c r="J689" s="216">
        <f>J668</f>
        <v>94.74</v>
      </c>
      <c r="K689" s="187"/>
      <c r="L689" s="184">
        <f>L742+L793</f>
        <v>0</v>
      </c>
      <c r="M689" s="11"/>
      <c r="N689" s="11"/>
      <c r="O689" s="38"/>
      <c r="P689" s="38"/>
      <c r="Q689" s="38"/>
      <c r="R689" s="11"/>
      <c r="S689" s="11"/>
      <c r="T689" s="11"/>
      <c r="U689" s="11"/>
      <c r="V689" s="11"/>
      <c r="AA689" s="11"/>
      <c r="AB689" s="11"/>
      <c r="AC689" s="11"/>
      <c r="AD689" s="11"/>
      <c r="AE689" s="11"/>
      <c r="AF689" s="11"/>
      <c r="AG689" s="11"/>
      <c r="AH689" s="11"/>
    </row>
    <row r="690" spans="1:34">
      <c r="A690" s="172" t="s">
        <v>270</v>
      </c>
      <c r="B690" s="1"/>
      <c r="C690" s="182">
        <f>C743+C794</f>
        <v>0</v>
      </c>
      <c r="D690" s="216">
        <f>D669</f>
        <v>189.48</v>
      </c>
      <c r="E690" s="187"/>
      <c r="F690" s="184">
        <f>F743+F794</f>
        <v>0</v>
      </c>
      <c r="G690" s="216">
        <v>189.48</v>
      </c>
      <c r="H690" s="187"/>
      <c r="I690" s="184">
        <f>I743+I794</f>
        <v>0</v>
      </c>
      <c r="J690" s="216">
        <f>J669</f>
        <v>189.48</v>
      </c>
      <c r="K690" s="187"/>
      <c r="L690" s="184">
        <f>L743+L794</f>
        <v>0</v>
      </c>
      <c r="M690" s="11"/>
      <c r="N690" s="11"/>
      <c r="O690" s="38"/>
      <c r="P690" s="38"/>
      <c r="Q690" s="38"/>
      <c r="R690" s="11"/>
      <c r="S690" s="11"/>
      <c r="T690" s="11"/>
      <c r="U690" s="11"/>
      <c r="V690" s="11"/>
      <c r="AA690" s="11"/>
      <c r="AB690" s="11"/>
      <c r="AC690" s="11"/>
      <c r="AD690" s="11"/>
      <c r="AE690" s="11"/>
      <c r="AF690" s="11"/>
      <c r="AG690" s="11"/>
      <c r="AH690" s="11"/>
    </row>
    <row r="691" spans="1:34">
      <c r="A691" s="172" t="s">
        <v>266</v>
      </c>
      <c r="B691" s="1"/>
      <c r="C691" s="182"/>
      <c r="D691" s="200"/>
      <c r="E691" s="187"/>
      <c r="F691" s="184"/>
      <c r="G691" s="216"/>
      <c r="H691" s="187"/>
      <c r="I691" s="184"/>
      <c r="J691" s="200"/>
      <c r="K691" s="187"/>
      <c r="L691" s="184"/>
      <c r="M691" s="11"/>
      <c r="N691" s="11"/>
      <c r="O691" s="38"/>
      <c r="P691" s="38"/>
      <c r="Q691" s="38"/>
      <c r="R691" s="11"/>
      <c r="S691" s="11"/>
      <c r="T691" s="11"/>
      <c r="U691" s="11"/>
      <c r="V691" s="11"/>
      <c r="AA691" s="11"/>
      <c r="AB691" s="11"/>
      <c r="AC691" s="11"/>
      <c r="AD691" s="11"/>
      <c r="AE691" s="11"/>
      <c r="AF691" s="11"/>
      <c r="AG691" s="11"/>
      <c r="AH691" s="11"/>
    </row>
    <row r="692" spans="1:34">
      <c r="A692" s="172" t="s">
        <v>261</v>
      </c>
      <c r="B692" s="1"/>
      <c r="C692" s="182">
        <f>C745+C796</f>
        <v>0</v>
      </c>
      <c r="D692" s="226">
        <f>D671</f>
        <v>-31.58</v>
      </c>
      <c r="E692" s="187"/>
      <c r="F692" s="184">
        <f>F745+F796</f>
        <v>0</v>
      </c>
      <c r="G692" s="216">
        <v>-31.58</v>
      </c>
      <c r="H692" s="187"/>
      <c r="I692" s="184">
        <f>I745+I796</f>
        <v>0</v>
      </c>
      <c r="J692" s="226">
        <f>J671</f>
        <v>-31.58</v>
      </c>
      <c r="K692" s="187"/>
      <c r="L692" s="184">
        <f>L745+L796</f>
        <v>0</v>
      </c>
      <c r="M692" s="11"/>
      <c r="N692" s="11"/>
      <c r="O692" s="38"/>
      <c r="P692" s="38"/>
      <c r="Q692" s="38"/>
      <c r="R692" s="11"/>
      <c r="S692" s="11"/>
      <c r="T692" s="11"/>
      <c r="U692" s="11"/>
      <c r="V692" s="11"/>
      <c r="AA692" s="11"/>
      <c r="AB692" s="11"/>
      <c r="AC692" s="11"/>
      <c r="AD692" s="11"/>
      <c r="AE692" s="11"/>
      <c r="AF692" s="11"/>
      <c r="AG692" s="11"/>
      <c r="AH692" s="11"/>
    </row>
    <row r="693" spans="1:34">
      <c r="A693" s="172" t="s">
        <v>267</v>
      </c>
      <c r="B693" s="1"/>
      <c r="C693" s="182">
        <f>C746+C797</f>
        <v>0</v>
      </c>
      <c r="D693" s="226">
        <f>D672</f>
        <v>-31.58</v>
      </c>
      <c r="E693" s="187"/>
      <c r="F693" s="184">
        <f>F746+F797</f>
        <v>0</v>
      </c>
      <c r="G693" s="216">
        <v>-31.58</v>
      </c>
      <c r="H693" s="187"/>
      <c r="I693" s="184">
        <f>I746+I797</f>
        <v>0</v>
      </c>
      <c r="J693" s="226">
        <f>J672</f>
        <v>-31.58</v>
      </c>
      <c r="K693" s="187"/>
      <c r="L693" s="184">
        <f>L746+L797</f>
        <v>0</v>
      </c>
      <c r="M693" s="11"/>
      <c r="N693" s="11"/>
      <c r="O693" s="38"/>
      <c r="P693" s="38"/>
      <c r="Q693" s="38"/>
      <c r="R693" s="11"/>
      <c r="S693" s="11"/>
      <c r="T693" s="11"/>
      <c r="U693" s="11"/>
      <c r="V693" s="11"/>
      <c r="AA693" s="11"/>
      <c r="AB693" s="11"/>
      <c r="AC693" s="11"/>
      <c r="AD693" s="11"/>
      <c r="AE693" s="11"/>
      <c r="AF693" s="11"/>
      <c r="AG693" s="11"/>
      <c r="AH693" s="11"/>
    </row>
    <row r="694" spans="1:34">
      <c r="A694" s="186" t="s">
        <v>230</v>
      </c>
      <c r="B694" s="1"/>
      <c r="C694" s="182"/>
      <c r="D694" s="247"/>
      <c r="E694" s="184"/>
      <c r="F694" s="184"/>
      <c r="G694" s="216"/>
      <c r="H694" s="184"/>
      <c r="I694" s="184"/>
      <c r="J694" s="247"/>
      <c r="K694" s="184"/>
      <c r="L694" s="184"/>
      <c r="M694" s="11"/>
      <c r="N694" s="11"/>
      <c r="O694" s="38"/>
      <c r="P694" s="38"/>
      <c r="Q694" s="38"/>
      <c r="R694" s="11"/>
      <c r="S694" s="11"/>
      <c r="T694" s="11"/>
      <c r="U694" s="11"/>
      <c r="V694" s="11"/>
      <c r="AA694" s="11"/>
      <c r="AB694" s="11"/>
      <c r="AC694" s="11"/>
      <c r="AD694" s="11"/>
      <c r="AE694" s="11"/>
      <c r="AF694" s="11"/>
      <c r="AG694" s="11"/>
      <c r="AH694" s="11"/>
    </row>
    <row r="695" spans="1:34">
      <c r="A695" s="172" t="s">
        <v>268</v>
      </c>
      <c r="B695" s="1"/>
      <c r="C695" s="182">
        <f>C748+C799</f>
        <v>9458</v>
      </c>
      <c r="D695" s="248">
        <f>D674</f>
        <v>6.891</v>
      </c>
      <c r="E695" s="184" t="s">
        <v>178</v>
      </c>
      <c r="F695" s="184">
        <f>F748+F799</f>
        <v>-7</v>
      </c>
      <c r="G695" s="287">
        <v>7.2140000000000004</v>
      </c>
      <c r="H695" s="184" t="s">
        <v>178</v>
      </c>
      <c r="I695" s="184">
        <f>I748+I799</f>
        <v>-7</v>
      </c>
      <c r="J695" s="248">
        <f ca="1">J674</f>
        <v>7.1989999999999998</v>
      </c>
      <c r="K695" s="184" t="s">
        <v>178</v>
      </c>
      <c r="L695" s="184">
        <f ca="1">L748+L799</f>
        <v>-7</v>
      </c>
      <c r="M695" s="11"/>
      <c r="N695" s="11"/>
      <c r="O695" s="38"/>
      <c r="P695" s="38"/>
      <c r="Q695" s="38"/>
      <c r="R695" s="11"/>
      <c r="S695" s="11"/>
      <c r="T695" s="11"/>
      <c r="U695" s="11"/>
      <c r="V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idden="1">
      <c r="A696" s="664" t="s">
        <v>524</v>
      </c>
      <c r="B696" s="665"/>
      <c r="C696" s="666" t="e">
        <f>#REF!+#REF!</f>
        <v>#REF!</v>
      </c>
      <c r="D696" s="667">
        <v>0</v>
      </c>
      <c r="E696" s="668" t="s">
        <v>178</v>
      </c>
      <c r="F696" s="668" t="e">
        <f>ROUND(D696/100*C696,0)</f>
        <v>#REF!</v>
      </c>
      <c r="G696" s="747" t="e">
        <v>#REF!</v>
      </c>
      <c r="H696" s="668" t="s">
        <v>178</v>
      </c>
      <c r="I696" s="668" t="e">
        <f>ROUND(G696/100*$C696,0)</f>
        <v>#REF!</v>
      </c>
      <c r="J696" s="667" t="e">
        <f>#REF!</f>
        <v>#REF!</v>
      </c>
      <c r="K696" s="668" t="s">
        <v>178</v>
      </c>
      <c r="L696" s="668" t="e">
        <f>ROUND(J696/100*$C696,0)</f>
        <v>#REF!</v>
      </c>
      <c r="M696" s="11"/>
      <c r="N696" s="11"/>
      <c r="O696" s="38"/>
      <c r="P696" s="38"/>
      <c r="Q696" s="38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idden="1">
      <c r="A697" s="664" t="s">
        <v>525</v>
      </c>
      <c r="B697" s="665"/>
      <c r="C697" s="666" t="e">
        <f>#REF!+#REF!</f>
        <v>#REF!</v>
      </c>
      <c r="D697" s="667">
        <v>0</v>
      </c>
      <c r="E697" s="668" t="s">
        <v>178</v>
      </c>
      <c r="F697" s="668" t="e">
        <f>ROUND(D697/100*C697,0)</f>
        <v>#REF!</v>
      </c>
      <c r="G697" s="747" t="e">
        <v>#REF!</v>
      </c>
      <c r="H697" s="668" t="s">
        <v>178</v>
      </c>
      <c r="I697" s="668" t="e">
        <f>ROUND(G697/100*$C697,0)</f>
        <v>#REF!</v>
      </c>
      <c r="J697" s="667" t="e">
        <f>#REF!</f>
        <v>#REF!</v>
      </c>
      <c r="K697" s="668" t="s">
        <v>178</v>
      </c>
      <c r="L697" s="668" t="e">
        <f>ROUND(J697/100*$C697,0)</f>
        <v>#REF!</v>
      </c>
      <c r="M697" s="11"/>
      <c r="N697" s="11"/>
      <c r="O697" s="38"/>
      <c r="P697" s="38"/>
      <c r="Q697" s="38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>
      <c r="A698" s="186" t="s">
        <v>204</v>
      </c>
      <c r="B698" s="1"/>
      <c r="C698" s="182">
        <f>C749+C800</f>
        <v>0</v>
      </c>
      <c r="D698" s="238">
        <f>D677</f>
        <v>58</v>
      </c>
      <c r="E698" s="186" t="s">
        <v>178</v>
      </c>
      <c r="F698" s="184">
        <f>F749+F800</f>
        <v>0</v>
      </c>
      <c r="G698" s="733">
        <v>58</v>
      </c>
      <c r="H698" s="186" t="s">
        <v>178</v>
      </c>
      <c r="I698" s="184">
        <f t="shared" ref="I698:I703" si="66">I749+I800</f>
        <v>0</v>
      </c>
      <c r="J698" s="238">
        <f>J677</f>
        <v>58</v>
      </c>
      <c r="K698" s="186" t="s">
        <v>178</v>
      </c>
      <c r="L698" s="184">
        <f t="shared" ref="L698:L703" si="67">L749+L800</f>
        <v>0</v>
      </c>
      <c r="M698" s="11"/>
      <c r="N698" s="11"/>
      <c r="O698" s="38"/>
      <c r="P698" s="38"/>
      <c r="Q698" s="38"/>
      <c r="R698" s="11"/>
      <c r="S698" s="11"/>
      <c r="T698" s="11"/>
      <c r="U698" s="11"/>
      <c r="V698" s="11"/>
      <c r="AA698" s="11"/>
      <c r="AB698" s="11"/>
      <c r="AC698" s="11"/>
      <c r="AD698" s="11"/>
      <c r="AE698" s="11"/>
      <c r="AF698" s="11"/>
      <c r="AG698" s="11"/>
      <c r="AH698" s="11"/>
    </row>
    <row r="699" spans="1:34">
      <c r="A699" s="186" t="s">
        <v>247</v>
      </c>
      <c r="B699" s="1"/>
      <c r="C699" s="182">
        <f>C750+C801</f>
        <v>12</v>
      </c>
      <c r="D699" s="200">
        <v>60</v>
      </c>
      <c r="E699" s="1"/>
      <c r="F699" s="184">
        <f>F750+F801</f>
        <v>720</v>
      </c>
      <c r="G699" s="216">
        <v>60</v>
      </c>
      <c r="H699" s="1"/>
      <c r="I699" s="184">
        <f t="shared" si="66"/>
        <v>720</v>
      </c>
      <c r="J699" s="200">
        <f t="shared" ref="J699:J700" si="68">G699</f>
        <v>60</v>
      </c>
      <c r="K699" s="1"/>
      <c r="L699" s="184">
        <f t="shared" si="67"/>
        <v>720</v>
      </c>
      <c r="M699" s="279"/>
      <c r="N699" s="279"/>
      <c r="O699" s="38"/>
      <c r="P699" s="512"/>
      <c r="Q699" s="38"/>
      <c r="R699" s="11"/>
      <c r="S699" s="11"/>
      <c r="T699" s="11"/>
      <c r="U699" s="11"/>
      <c r="V699" s="11"/>
      <c r="AA699" s="11"/>
      <c r="AB699" s="11"/>
      <c r="AC699" s="11"/>
      <c r="AD699" s="11"/>
      <c r="AE699" s="11"/>
      <c r="AF699" s="11"/>
      <c r="AG699" s="11"/>
      <c r="AH699" s="11"/>
    </row>
    <row r="700" spans="1:34">
      <c r="A700" s="186" t="s">
        <v>248</v>
      </c>
      <c r="B700" s="1"/>
      <c r="C700" s="182">
        <f>C751+C802</f>
        <v>468</v>
      </c>
      <c r="D700" s="474">
        <v>-30</v>
      </c>
      <c r="E700" s="184" t="s">
        <v>178</v>
      </c>
      <c r="F700" s="184">
        <f>F751+F802</f>
        <v>-140</v>
      </c>
      <c r="G700" s="748">
        <v>-30</v>
      </c>
      <c r="H700" s="184" t="s">
        <v>178</v>
      </c>
      <c r="I700" s="184">
        <f t="shared" si="66"/>
        <v>-140</v>
      </c>
      <c r="J700" s="341">
        <f t="shared" si="68"/>
        <v>-30</v>
      </c>
      <c r="K700" s="184" t="s">
        <v>178</v>
      </c>
      <c r="L700" s="184">
        <f t="shared" si="67"/>
        <v>-140</v>
      </c>
      <c r="M700" s="279"/>
      <c r="N700" s="279"/>
      <c r="O700" s="38"/>
      <c r="P700" s="512"/>
      <c r="Q700" s="38"/>
      <c r="R700" s="11"/>
      <c r="S700" s="11"/>
      <c r="T700" s="11"/>
      <c r="U700" s="11"/>
      <c r="V700" s="11"/>
      <c r="AA700" s="11"/>
      <c r="AB700" s="11"/>
      <c r="AC700" s="11"/>
      <c r="AD700" s="11"/>
      <c r="AE700" s="11"/>
      <c r="AF700" s="11"/>
      <c r="AG700" s="11"/>
      <c r="AH700" s="11"/>
    </row>
    <row r="701" spans="1:34">
      <c r="A701" s="1" t="s">
        <v>185</v>
      </c>
      <c r="B701" s="1"/>
      <c r="C701" s="182">
        <f>C752+C803</f>
        <v>156050797.84020001</v>
      </c>
      <c r="D701" s="187"/>
      <c r="E701" s="186"/>
      <c r="F701" s="2">
        <f>F752+F803</f>
        <v>14008737</v>
      </c>
      <c r="G701" s="516"/>
      <c r="H701" s="186"/>
      <c r="I701" s="529">
        <f t="shared" si="66"/>
        <v>14512782</v>
      </c>
      <c r="J701" s="2"/>
      <c r="K701" s="186"/>
      <c r="L701" s="529">
        <f t="shared" ca="1" si="67"/>
        <v>14489374</v>
      </c>
      <c r="M701" s="528"/>
      <c r="N701" s="528"/>
      <c r="O701" s="528"/>
      <c r="P701" s="512"/>
      <c r="Q701" s="511"/>
      <c r="R701" s="11"/>
      <c r="S701" s="11"/>
      <c r="T701" s="11"/>
      <c r="U701" s="11"/>
      <c r="V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4.25" customHeight="1">
      <c r="A702" s="1" t="s">
        <v>167</v>
      </c>
      <c r="B702" s="1"/>
      <c r="C702" s="203">
        <f>C753+C804</f>
        <v>8745000</v>
      </c>
      <c r="D702" s="172"/>
      <c r="E702" s="172"/>
      <c r="F702" s="173">
        <f>F753+F804</f>
        <v>1173000</v>
      </c>
      <c r="G702" s="284"/>
      <c r="H702" s="172"/>
      <c r="I702" s="613">
        <f t="shared" si="66"/>
        <v>1173000</v>
      </c>
      <c r="J702" s="172"/>
      <c r="K702" s="172"/>
      <c r="L702" s="613">
        <f t="shared" si="67"/>
        <v>1173000</v>
      </c>
      <c r="M702" s="11"/>
      <c r="N702" s="11"/>
      <c r="O702" s="38"/>
      <c r="P702" s="38"/>
      <c r="Q702" s="38"/>
      <c r="R702" s="11"/>
      <c r="S702" s="11"/>
      <c r="T702" s="11"/>
      <c r="U702" s="11"/>
      <c r="V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7.25" customHeight="1" thickBot="1">
      <c r="A703" s="1" t="s">
        <v>186</v>
      </c>
      <c r="B703" s="1"/>
      <c r="C703" s="229">
        <f>SUM(C701:C702)</f>
        <v>164795797.84020001</v>
      </c>
      <c r="D703" s="205"/>
      <c r="E703" s="208"/>
      <c r="F703" s="207">
        <f>F701+F702</f>
        <v>15181737</v>
      </c>
      <c r="G703" s="741"/>
      <c r="H703" s="208"/>
      <c r="I703" s="207">
        <f t="shared" si="66"/>
        <v>15685782</v>
      </c>
      <c r="J703" s="205"/>
      <c r="K703" s="208"/>
      <c r="L703" s="207">
        <f t="shared" ca="1" si="67"/>
        <v>15662374</v>
      </c>
      <c r="M703" s="279"/>
      <c r="N703" s="11"/>
      <c r="O703" s="279"/>
      <c r="P703" s="500"/>
      <c r="Q703" s="500"/>
      <c r="R703" s="490"/>
      <c r="S703" s="490"/>
      <c r="T703" s="11"/>
      <c r="U703" s="11"/>
      <c r="V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6.5" thickTop="1">
      <c r="A704" s="1"/>
      <c r="B704" s="1"/>
      <c r="C704" s="16"/>
      <c r="D704" s="214" t="s">
        <v>13</v>
      </c>
      <c r="E704" s="14"/>
      <c r="F704" s="185"/>
      <c r="G704" s="742" t="s">
        <v>13</v>
      </c>
      <c r="H704" s="14"/>
      <c r="I704" s="135" t="s">
        <v>13</v>
      </c>
      <c r="J704" s="249" t="s">
        <v>13</v>
      </c>
      <c r="K704" s="14"/>
      <c r="L704" s="135" t="s">
        <v>13</v>
      </c>
      <c r="M704" s="11"/>
      <c r="N704" s="11"/>
      <c r="O704" s="279"/>
      <c r="P704" s="11"/>
      <c r="Q704" s="509"/>
      <c r="R704" s="11"/>
      <c r="S704" s="11"/>
      <c r="T704" s="11"/>
      <c r="U704" s="11"/>
      <c r="V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idden="1">
      <c r="A705" s="156" t="s">
        <v>251</v>
      </c>
      <c r="B705" s="1"/>
      <c r="C705" s="12"/>
      <c r="D705" s="200"/>
      <c r="E705" s="1"/>
      <c r="F705" s="2"/>
      <c r="G705" s="216"/>
      <c r="H705" s="1"/>
      <c r="I705" s="2"/>
      <c r="J705" s="200"/>
      <c r="K705" s="1"/>
      <c r="L705" s="2"/>
      <c r="M705" s="11"/>
      <c r="N705" s="11"/>
      <c r="O705" s="38"/>
      <c r="P705" s="38"/>
      <c r="Q705" s="38"/>
      <c r="R705" s="11"/>
      <c r="S705" s="11"/>
      <c r="T705" s="11"/>
      <c r="U705" s="11"/>
      <c r="V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idden="1">
      <c r="A706" s="172" t="s">
        <v>84</v>
      </c>
      <c r="B706" s="1"/>
      <c r="C706" s="12"/>
      <c r="D706" s="200"/>
      <c r="E706" s="1"/>
      <c r="F706" s="2"/>
      <c r="G706" s="216"/>
      <c r="H706" s="1"/>
      <c r="I706" s="2"/>
      <c r="J706" s="200"/>
      <c r="K706" s="1"/>
      <c r="L706" s="2"/>
      <c r="M706" s="279"/>
      <c r="N706" s="279"/>
      <c r="O706" s="286"/>
      <c r="P706" s="300"/>
      <c r="Q706" s="300"/>
      <c r="R706" s="11"/>
      <c r="S706" s="11"/>
      <c r="T706" s="11"/>
      <c r="U706" s="11"/>
      <c r="V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idden="1">
      <c r="A707" s="186"/>
      <c r="B707" s="1"/>
      <c r="C707" s="12"/>
      <c r="D707" s="200"/>
      <c r="E707" s="1"/>
      <c r="F707" s="243"/>
      <c r="G707" s="216"/>
      <c r="H707" s="1"/>
      <c r="I707" s="244"/>
      <c r="J707" s="200"/>
      <c r="K707" s="1"/>
      <c r="L707" s="244"/>
      <c r="M707" s="11"/>
      <c r="N707" s="11"/>
      <c r="O707" s="38"/>
      <c r="P707" s="38"/>
      <c r="Q707" s="38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idden="1">
      <c r="A708" s="172" t="s">
        <v>253</v>
      </c>
      <c r="B708" s="1"/>
      <c r="C708" s="182"/>
      <c r="D708" s="2" t="s">
        <v>13</v>
      </c>
      <c r="E708" s="1"/>
      <c r="F708" s="1"/>
      <c r="G708" s="516" t="s">
        <v>13</v>
      </c>
      <c r="H708" s="1"/>
      <c r="I708" s="1"/>
      <c r="J708" s="2" t="s">
        <v>13</v>
      </c>
      <c r="K708" s="1"/>
      <c r="L708" s="1"/>
      <c r="M708" s="11"/>
      <c r="N708" s="11"/>
      <c r="O708" s="38"/>
      <c r="P708" s="38"/>
      <c r="Q708" s="38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idden="1">
      <c r="A709" s="172" t="s">
        <v>254</v>
      </c>
      <c r="B709" s="1"/>
      <c r="C709" s="182">
        <v>466.03559951751799</v>
      </c>
      <c r="D709" s="200">
        <f>D653</f>
        <v>0</v>
      </c>
      <c r="E709" s="187"/>
      <c r="F709" s="184">
        <f>ROUND(D709*C709,0)</f>
        <v>0</v>
      </c>
      <c r="G709" s="216">
        <v>0</v>
      </c>
      <c r="H709" s="187"/>
      <c r="I709" s="184">
        <f>ROUND(G709*$C709,0)</f>
        <v>0</v>
      </c>
      <c r="J709" s="200">
        <f>$G$653</f>
        <v>0</v>
      </c>
      <c r="K709" s="187"/>
      <c r="L709" s="184">
        <f>ROUND(J709*$C709,0)</f>
        <v>0</v>
      </c>
      <c r="M709" s="11"/>
      <c r="N709" s="11"/>
      <c r="O709" s="38"/>
      <c r="P709" s="38"/>
      <c r="Q709" s="38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idden="1">
      <c r="A710" s="172" t="s">
        <v>255</v>
      </c>
      <c r="B710" s="1"/>
      <c r="C710" s="182"/>
      <c r="D710" s="200"/>
      <c r="E710" s="187"/>
      <c r="F710" s="184"/>
      <c r="G710" s="216"/>
      <c r="H710" s="187"/>
      <c r="I710" s="184"/>
      <c r="J710" s="200"/>
      <c r="K710" s="187"/>
      <c r="L710" s="184"/>
      <c r="M710" s="11"/>
      <c r="N710" s="11"/>
      <c r="O710" s="38"/>
      <c r="P710" s="38"/>
      <c r="Q710" s="38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idden="1">
      <c r="A711" s="172" t="s">
        <v>256</v>
      </c>
      <c r="B711" s="1"/>
      <c r="C711" s="182">
        <v>2192.4547848167499</v>
      </c>
      <c r="D711" s="200">
        <f>D656</f>
        <v>0</v>
      </c>
      <c r="E711" s="187"/>
      <c r="F711" s="184">
        <f>ROUND(D711*C711,0)</f>
        <v>0</v>
      </c>
      <c r="G711" s="216">
        <v>0</v>
      </c>
      <c r="H711" s="187"/>
      <c r="I711" s="184">
        <f>ROUND(G711*$C711,0)</f>
        <v>0</v>
      </c>
      <c r="J711" s="200">
        <f>$G$656</f>
        <v>0</v>
      </c>
      <c r="K711" s="187"/>
      <c r="L711" s="184">
        <f>ROUND(J711*$C711,0)</f>
        <v>0</v>
      </c>
      <c r="M711" s="11"/>
      <c r="N711" s="11"/>
      <c r="O711" s="38"/>
      <c r="P711" s="38"/>
      <c r="Q711" s="38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idden="1">
      <c r="A712" s="172" t="s">
        <v>257</v>
      </c>
      <c r="B712" s="1"/>
      <c r="C712" s="182">
        <v>273.57538142360301</v>
      </c>
      <c r="D712" s="200">
        <f>D657</f>
        <v>449</v>
      </c>
      <c r="E712" s="187"/>
      <c r="F712" s="184">
        <f>ROUND(D712*C712,0)</f>
        <v>122835</v>
      </c>
      <c r="G712" s="216">
        <v>449</v>
      </c>
      <c r="H712" s="187"/>
      <c r="I712" s="184">
        <f>ROUND(G712*$C712,0)</f>
        <v>122835</v>
      </c>
      <c r="J712" s="200">
        <f>$G$657</f>
        <v>449</v>
      </c>
      <c r="K712" s="187"/>
      <c r="L712" s="184">
        <f>ROUND(J712*$C712,0)</f>
        <v>122835</v>
      </c>
      <c r="M712" s="11"/>
      <c r="N712" s="11"/>
      <c r="O712" s="38"/>
      <c r="P712" s="38"/>
      <c r="Q712" s="38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idden="1">
      <c r="A713" s="172" t="s">
        <v>258</v>
      </c>
      <c r="B713" s="1"/>
      <c r="C713" s="182">
        <v>8.0192081482092199</v>
      </c>
      <c r="D713" s="200">
        <f>D658</f>
        <v>1825</v>
      </c>
      <c r="E713" s="187"/>
      <c r="F713" s="184">
        <f>ROUND(D713*C713,0)</f>
        <v>14635</v>
      </c>
      <c r="G713" s="216">
        <v>1825</v>
      </c>
      <c r="H713" s="187"/>
      <c r="I713" s="184">
        <f>ROUND(G713*$C713,0)</f>
        <v>14635</v>
      </c>
      <c r="J713" s="200">
        <f>$G$658</f>
        <v>1825</v>
      </c>
      <c r="K713" s="187"/>
      <c r="L713" s="184">
        <f>ROUND(J713*$C713,0)</f>
        <v>14635</v>
      </c>
      <c r="M713" s="11"/>
      <c r="N713" s="11"/>
      <c r="O713" s="38"/>
      <c r="P713" s="38"/>
      <c r="Q713" s="38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idden="1">
      <c r="A714" s="172" t="s">
        <v>166</v>
      </c>
      <c r="B714" s="1"/>
      <c r="C714" s="182">
        <f>SUM(C709:C713)</f>
        <v>2940.0849739060804</v>
      </c>
      <c r="D714" s="200"/>
      <c r="E714" s="187"/>
      <c r="F714" s="184"/>
      <c r="G714" s="216"/>
      <c r="H714" s="187"/>
      <c r="I714" s="184"/>
      <c r="J714" s="200"/>
      <c r="K714" s="187"/>
      <c r="L714" s="184"/>
      <c r="M714" s="11"/>
      <c r="N714" s="11"/>
      <c r="O714" s="38"/>
      <c r="P714" s="38"/>
      <c r="Q714" s="38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idden="1">
      <c r="A715" s="172" t="s">
        <v>259</v>
      </c>
      <c r="B715" s="1"/>
      <c r="C715" s="182">
        <v>22331</v>
      </c>
      <c r="D715" s="200"/>
      <c r="E715" s="184"/>
      <c r="F715" s="184"/>
      <c r="G715" s="216"/>
      <c r="H715" s="184"/>
      <c r="I715" s="184"/>
      <c r="J715" s="200"/>
      <c r="K715" s="184"/>
      <c r="L715" s="184"/>
      <c r="M715" s="11"/>
      <c r="N715" s="11"/>
      <c r="O715" s="38"/>
      <c r="P715" s="38"/>
      <c r="Q715" s="38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idden="1">
      <c r="A716" s="172" t="s">
        <v>24</v>
      </c>
      <c r="B716" s="1"/>
      <c r="C716" s="182">
        <v>3002</v>
      </c>
      <c r="D716" s="200"/>
      <c r="E716" s="184"/>
      <c r="F716" s="184"/>
      <c r="G716" s="216"/>
      <c r="H716" s="184"/>
      <c r="I716" s="184"/>
      <c r="J716" s="200"/>
      <c r="K716" s="184"/>
      <c r="L716" s="184"/>
      <c r="M716" s="11"/>
      <c r="N716" s="11"/>
      <c r="O716" s="38"/>
      <c r="P716" s="38"/>
      <c r="Q716" s="38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idden="1">
      <c r="A717" s="172" t="s">
        <v>260</v>
      </c>
      <c r="B717" s="1"/>
      <c r="C717" s="182"/>
      <c r="D717" s="200"/>
      <c r="E717" s="187"/>
      <c r="F717" s="184"/>
      <c r="G717" s="216"/>
      <c r="H717" s="187"/>
      <c r="I717" s="184"/>
      <c r="J717" s="200"/>
      <c r="K717" s="187"/>
      <c r="L717" s="184"/>
      <c r="M717" s="11"/>
      <c r="N717" s="11"/>
      <c r="O717" s="38"/>
      <c r="P717" s="38"/>
      <c r="Q717" s="38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idden="1">
      <c r="A718" s="172" t="s">
        <v>261</v>
      </c>
      <c r="B718" s="1"/>
      <c r="C718" s="182">
        <v>1822.6373138064801</v>
      </c>
      <c r="D718" s="200">
        <f>D663</f>
        <v>31.58</v>
      </c>
      <c r="E718" s="187"/>
      <c r="F718" s="184">
        <f>ROUND(D718*C718,0)</f>
        <v>57559</v>
      </c>
      <c r="G718" s="216">
        <v>31.58</v>
      </c>
      <c r="H718" s="187"/>
      <c r="I718" s="184">
        <f>ROUND(G718*$C718,0)</f>
        <v>57559</v>
      </c>
      <c r="J718" s="200">
        <f>$G$663</f>
        <v>31.58</v>
      </c>
      <c r="K718" s="187"/>
      <c r="L718" s="184">
        <f>ROUND(J718*$C718,0)</f>
        <v>57559</v>
      </c>
      <c r="M718" s="11"/>
      <c r="N718" s="11"/>
      <c r="O718" s="38"/>
      <c r="P718" s="38"/>
      <c r="Q718" s="38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idden="1">
      <c r="A719" s="172" t="s">
        <v>262</v>
      </c>
      <c r="B719" s="1"/>
      <c r="C719" s="182"/>
      <c r="D719" s="200"/>
      <c r="E719" s="187"/>
      <c r="F719" s="184"/>
      <c r="G719" s="216"/>
      <c r="H719" s="187"/>
      <c r="I719" s="184"/>
      <c r="J719" s="200"/>
      <c r="K719" s="187"/>
      <c r="L719" s="184"/>
      <c r="M719" s="11"/>
      <c r="N719" s="11"/>
      <c r="O719" s="38"/>
      <c r="P719" s="38"/>
      <c r="Q719" s="38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idden="1">
      <c r="A720" s="172" t="s">
        <v>256</v>
      </c>
      <c r="B720" s="1"/>
      <c r="C720" s="182">
        <v>34411.773720115103</v>
      </c>
      <c r="D720" s="200">
        <f>D665</f>
        <v>31.58</v>
      </c>
      <c r="E720" s="187"/>
      <c r="F720" s="184">
        <f>ROUND(D720*C720,0)</f>
        <v>1086724</v>
      </c>
      <c r="G720" s="216">
        <v>31.58</v>
      </c>
      <c r="H720" s="187"/>
      <c r="I720" s="184">
        <f>ROUND(G720*$C720,0)</f>
        <v>1086724</v>
      </c>
      <c r="J720" s="200">
        <f>$G$665</f>
        <v>31.58</v>
      </c>
      <c r="K720" s="187"/>
      <c r="L720" s="184">
        <f>ROUND(J720*$C720,0)</f>
        <v>1086724</v>
      </c>
      <c r="M720" s="11"/>
      <c r="N720" s="11"/>
      <c r="O720" s="38"/>
      <c r="P720" s="38"/>
      <c r="Q720" s="38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idden="1">
      <c r="A721" s="172" t="s">
        <v>257</v>
      </c>
      <c r="B721" s="1"/>
      <c r="C721" s="182">
        <v>26713.8204399559</v>
      </c>
      <c r="D721" s="200">
        <f>D666</f>
        <v>21.97</v>
      </c>
      <c r="E721" s="187"/>
      <c r="F721" s="184">
        <f>ROUND(D721*C721,0)</f>
        <v>586903</v>
      </c>
      <c r="G721" s="216">
        <v>21.97</v>
      </c>
      <c r="H721" s="187"/>
      <c r="I721" s="184">
        <f>ROUND(G721*$C721,0)</f>
        <v>586903</v>
      </c>
      <c r="J721" s="200">
        <f>$G$666</f>
        <v>21.97</v>
      </c>
      <c r="K721" s="187"/>
      <c r="L721" s="184">
        <f>ROUND(J721*$C721,0)</f>
        <v>586903</v>
      </c>
      <c r="M721" s="11"/>
      <c r="N721" s="11"/>
      <c r="O721" s="38"/>
      <c r="P721" s="38"/>
      <c r="Q721" s="38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idden="1">
      <c r="A722" s="172" t="s">
        <v>258</v>
      </c>
      <c r="B722" s="1"/>
      <c r="C722" s="182">
        <v>3107.6765078724902</v>
      </c>
      <c r="D722" s="200">
        <f>D667</f>
        <v>17.18</v>
      </c>
      <c r="E722" s="187"/>
      <c r="F722" s="184">
        <f>ROUND(D722*C722,0)</f>
        <v>53390</v>
      </c>
      <c r="G722" s="216">
        <v>17.18</v>
      </c>
      <c r="H722" s="187"/>
      <c r="I722" s="184">
        <f>ROUND(G722*$C722,0)</f>
        <v>53390</v>
      </c>
      <c r="J722" s="200">
        <f>$G$667</f>
        <v>17.18</v>
      </c>
      <c r="K722" s="187"/>
      <c r="L722" s="184">
        <f>ROUND(J722*$C722,0)</f>
        <v>53390</v>
      </c>
      <c r="M722" s="11"/>
      <c r="N722" s="11"/>
      <c r="O722" s="38"/>
      <c r="P722" s="38"/>
      <c r="Q722" s="38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idden="1">
      <c r="A723" s="172" t="s">
        <v>264</v>
      </c>
      <c r="B723" s="1"/>
      <c r="C723" s="182">
        <v>226.93694454875501</v>
      </c>
      <c r="D723" s="200">
        <f>D668</f>
        <v>94.74</v>
      </c>
      <c r="E723" s="187"/>
      <c r="F723" s="184">
        <f>ROUND(D723*C723,0)</f>
        <v>21500</v>
      </c>
      <c r="G723" s="216">
        <v>94.74</v>
      </c>
      <c r="H723" s="187"/>
      <c r="I723" s="184">
        <f>ROUND(G723*$C723,0)</f>
        <v>21500</v>
      </c>
      <c r="J723" s="200">
        <f>$G$668</f>
        <v>94.74</v>
      </c>
      <c r="K723" s="187"/>
      <c r="L723" s="184">
        <f>ROUND(J723*$C723,0)</f>
        <v>21500</v>
      </c>
      <c r="M723" s="11"/>
      <c r="N723" s="11"/>
      <c r="O723" s="38"/>
      <c r="P723" s="38"/>
      <c r="Q723" s="38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idden="1">
      <c r="A724" s="172" t="s">
        <v>265</v>
      </c>
      <c r="B724" s="1"/>
      <c r="C724" s="182">
        <v>503.25743779564999</v>
      </c>
      <c r="D724" s="200">
        <f>D669</f>
        <v>189.48</v>
      </c>
      <c r="E724" s="187"/>
      <c r="F724" s="184">
        <f>ROUND(D724*C724,0)</f>
        <v>95357</v>
      </c>
      <c r="G724" s="216">
        <v>189.48</v>
      </c>
      <c r="H724" s="187"/>
      <c r="I724" s="184">
        <f>ROUND(G724*$C724,0)</f>
        <v>95357</v>
      </c>
      <c r="J724" s="200">
        <f>$G$669</f>
        <v>189.48</v>
      </c>
      <c r="K724" s="187"/>
      <c r="L724" s="184">
        <f>ROUND(J724*$C724,0)</f>
        <v>95357</v>
      </c>
      <c r="M724" s="11"/>
      <c r="N724" s="11"/>
      <c r="O724" s="38"/>
      <c r="P724" s="38"/>
      <c r="Q724" s="38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idden="1">
      <c r="A725" s="172" t="s">
        <v>266</v>
      </c>
      <c r="B725" s="1"/>
      <c r="C725" s="182"/>
      <c r="D725" s="200"/>
      <c r="E725" s="187"/>
      <c r="F725" s="184"/>
      <c r="G725" s="216"/>
      <c r="H725" s="187"/>
      <c r="I725" s="184"/>
      <c r="J725" s="200"/>
      <c r="K725" s="187"/>
      <c r="L725" s="184"/>
      <c r="M725" s="11"/>
      <c r="N725" s="11"/>
      <c r="O725" s="38"/>
      <c r="P725" s="38"/>
      <c r="Q725" s="38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idden="1">
      <c r="A726" s="172" t="s">
        <v>261</v>
      </c>
      <c r="B726" s="1"/>
      <c r="C726" s="182">
        <v>204.883652522218</v>
      </c>
      <c r="D726" s="226">
        <f>D692</f>
        <v>-31.58</v>
      </c>
      <c r="E726" s="187"/>
      <c r="F726" s="184">
        <f>ROUND(D726*C726,0)</f>
        <v>-6470</v>
      </c>
      <c r="G726" s="216">
        <v>-31.58</v>
      </c>
      <c r="H726" s="187"/>
      <c r="I726" s="184">
        <f>ROUND(G726*$C726,0)</f>
        <v>-6470</v>
      </c>
      <c r="J726" s="226">
        <f>-J718</f>
        <v>-31.58</v>
      </c>
      <c r="K726" s="187"/>
      <c r="L726" s="184">
        <f>ROUND(J726*$C726,0)</f>
        <v>-6470</v>
      </c>
      <c r="M726" s="11"/>
      <c r="N726" s="11"/>
      <c r="O726" s="38"/>
      <c r="P726" s="38"/>
      <c r="Q726" s="38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idden="1">
      <c r="A727" s="172" t="s">
        <v>267</v>
      </c>
      <c r="B727" s="1"/>
      <c r="C727" s="182">
        <v>708.61337464013002</v>
      </c>
      <c r="D727" s="226">
        <f>D672</f>
        <v>-31.58</v>
      </c>
      <c r="E727" s="187"/>
      <c r="F727" s="184">
        <f>ROUND(D727*C727,0)</f>
        <v>-22378</v>
      </c>
      <c r="G727" s="216">
        <v>-31.58</v>
      </c>
      <c r="H727" s="187"/>
      <c r="I727" s="184">
        <f>ROUND(G727*$C727,0)</f>
        <v>-22378</v>
      </c>
      <c r="J727" s="226">
        <f>-J720</f>
        <v>-31.58</v>
      </c>
      <c r="K727" s="187"/>
      <c r="L727" s="184">
        <f>ROUND(J727*$C727,0)</f>
        <v>-22378</v>
      </c>
      <c r="M727" s="11"/>
      <c r="N727" s="11"/>
      <c r="O727" s="38"/>
      <c r="P727" s="38"/>
      <c r="Q727" s="38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idden="1">
      <c r="A728" s="186" t="s">
        <v>230</v>
      </c>
      <c r="B728" s="1"/>
      <c r="C728" s="28" t="s">
        <v>13</v>
      </c>
      <c r="D728" s="200"/>
      <c r="E728" s="184"/>
      <c r="F728" s="184"/>
      <c r="G728" s="216"/>
      <c r="H728" s="184"/>
      <c r="I728" s="184"/>
      <c r="J728" s="200"/>
      <c r="K728" s="184"/>
      <c r="L728" s="184"/>
      <c r="M728" s="11"/>
      <c r="N728" s="11"/>
      <c r="O728" s="38"/>
      <c r="P728" s="38"/>
      <c r="Q728" s="38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idden="1">
      <c r="A729" s="172" t="s">
        <v>268</v>
      </c>
      <c r="B729" s="1"/>
      <c r="C729" s="182">
        <v>95695835.840200007</v>
      </c>
      <c r="D729" s="245">
        <f>D674</f>
        <v>6.891</v>
      </c>
      <c r="E729" s="184" t="s">
        <v>178</v>
      </c>
      <c r="F729" s="184">
        <f>ROUND(D729/100*C729,0)</f>
        <v>6594400</v>
      </c>
      <c r="G729" s="287">
        <v>7.2140000000000004</v>
      </c>
      <c r="H729" s="184" t="s">
        <v>178</v>
      </c>
      <c r="I729" s="184">
        <f>ROUND(G729/100*$C729,0)</f>
        <v>6903498</v>
      </c>
      <c r="J729" s="245">
        <f ca="1">$J$674</f>
        <v>7.1989999999999998</v>
      </c>
      <c r="K729" s="184" t="s">
        <v>178</v>
      </c>
      <c r="L729" s="184">
        <f ca="1">ROUND(J729/100*$C729,0)</f>
        <v>6889143</v>
      </c>
      <c r="M729" s="11"/>
      <c r="N729" s="11"/>
      <c r="O729" s="38"/>
      <c r="P729" s="38"/>
      <c r="Q729" s="38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idden="1">
      <c r="A730" s="186" t="s">
        <v>204</v>
      </c>
      <c r="B730" s="1"/>
      <c r="C730" s="182">
        <v>43479</v>
      </c>
      <c r="D730" s="202">
        <f>D677</f>
        <v>58</v>
      </c>
      <c r="E730" s="186" t="s">
        <v>178</v>
      </c>
      <c r="F730" s="184">
        <f>ROUND(D730/100*C730,0)</f>
        <v>25218</v>
      </c>
      <c r="G730" s="737">
        <v>58</v>
      </c>
      <c r="H730" s="186" t="s">
        <v>178</v>
      </c>
      <c r="I730" s="184">
        <f>ROUND(G730*$C730/100,0)</f>
        <v>25218</v>
      </c>
      <c r="J730" s="202">
        <f>$G$677</f>
        <v>58</v>
      </c>
      <c r="K730" s="186" t="s">
        <v>178</v>
      </c>
      <c r="L730" s="184">
        <f>ROUND(J730*$C730/100,0)</f>
        <v>25218</v>
      </c>
      <c r="M730" s="11"/>
      <c r="N730" s="11"/>
      <c r="O730" s="38"/>
      <c r="P730" s="38"/>
      <c r="Q730" s="38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idden="1">
      <c r="A731" s="223" t="s">
        <v>205</v>
      </c>
      <c r="B731" s="1"/>
      <c r="C731" s="182"/>
      <c r="D731" s="195">
        <v>-0.01</v>
      </c>
      <c r="E731" s="1"/>
      <c r="F731" s="184"/>
      <c r="G731" s="734">
        <v>-0.01</v>
      </c>
      <c r="H731" s="1"/>
      <c r="I731" s="184"/>
      <c r="J731" s="195">
        <v>-0.01</v>
      </c>
      <c r="K731" s="1"/>
      <c r="L731" s="184"/>
      <c r="M731" s="11"/>
      <c r="N731" s="11"/>
      <c r="O731" s="38"/>
      <c r="P731" s="38"/>
      <c r="Q731" s="38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idden="1">
      <c r="A732" s="172" t="s">
        <v>194</v>
      </c>
      <c r="B732" s="1"/>
      <c r="C732" s="182">
        <v>0</v>
      </c>
      <c r="D732" s="247">
        <v>0</v>
      </c>
      <c r="E732" s="187"/>
      <c r="F732" s="184">
        <f>ROUND(D732*C732*$D$678,0)</f>
        <v>0</v>
      </c>
      <c r="G732" s="216">
        <v>0</v>
      </c>
      <c r="H732" s="187"/>
      <c r="I732" s="184">
        <f>ROUND(G732*$C732*$G$731,0)</f>
        <v>0</v>
      </c>
      <c r="J732" s="247">
        <f>J709</f>
        <v>0</v>
      </c>
      <c r="K732" s="187"/>
      <c r="L732" s="184">
        <f>ROUND(J732*$C732*$G$731,0)</f>
        <v>0</v>
      </c>
      <c r="M732" s="11"/>
      <c r="N732" s="11"/>
      <c r="O732" s="38"/>
      <c r="P732" s="38"/>
      <c r="Q732" s="38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idden="1">
      <c r="A733" s="172" t="s">
        <v>195</v>
      </c>
      <c r="B733" s="1"/>
      <c r="C733" s="182"/>
      <c r="D733" s="247"/>
      <c r="E733" s="187"/>
      <c r="F733" s="184"/>
      <c r="G733" s="216"/>
      <c r="H733" s="187"/>
      <c r="I733" s="184"/>
      <c r="J733" s="247"/>
      <c r="K733" s="187"/>
      <c r="L733" s="184"/>
      <c r="M733" s="11"/>
      <c r="N733" s="11"/>
      <c r="O733" s="38"/>
      <c r="P733" s="38"/>
      <c r="Q733" s="38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idden="1">
      <c r="A734" s="172" t="s">
        <v>256</v>
      </c>
      <c r="B734" s="1"/>
      <c r="C734" s="182">
        <v>1</v>
      </c>
      <c r="D734" s="247">
        <f>D711</f>
        <v>0</v>
      </c>
      <c r="E734" s="187"/>
      <c r="F734" s="184">
        <f>ROUND(D734*C734*$D$678,0)</f>
        <v>0</v>
      </c>
      <c r="G734" s="216">
        <v>0</v>
      </c>
      <c r="H734" s="187"/>
      <c r="I734" s="184">
        <f>ROUND(G734*$C734*$G$731,0)</f>
        <v>0</v>
      </c>
      <c r="J734" s="247">
        <f>J711</f>
        <v>0</v>
      </c>
      <c r="K734" s="187"/>
      <c r="L734" s="184">
        <f>ROUND(J734*$C734*$G$731,0)</f>
        <v>0</v>
      </c>
      <c r="M734" s="11"/>
      <c r="N734" s="11"/>
      <c r="O734" s="38"/>
      <c r="P734" s="38"/>
      <c r="Q734" s="38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idden="1">
      <c r="A735" s="172" t="s">
        <v>257</v>
      </c>
      <c r="B735" s="1"/>
      <c r="C735" s="182">
        <v>0</v>
      </c>
      <c r="D735" s="247">
        <f>D712</f>
        <v>449</v>
      </c>
      <c r="E735" s="187"/>
      <c r="F735" s="184">
        <f>ROUND(D735*C735*$D$678,0)</f>
        <v>0</v>
      </c>
      <c r="G735" s="216">
        <v>449</v>
      </c>
      <c r="H735" s="187"/>
      <c r="I735" s="184">
        <f>ROUND(G735*$C735*$G$731,0)</f>
        <v>0</v>
      </c>
      <c r="J735" s="247">
        <f>J712</f>
        <v>449</v>
      </c>
      <c r="K735" s="187"/>
      <c r="L735" s="184">
        <f>ROUND(J735*$C735*$G$731,0)</f>
        <v>0</v>
      </c>
      <c r="M735" s="11"/>
      <c r="N735" s="11"/>
      <c r="O735" s="38"/>
      <c r="P735" s="38"/>
      <c r="Q735" s="38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idden="1">
      <c r="A736" s="172" t="s">
        <v>258</v>
      </c>
      <c r="B736" s="1"/>
      <c r="C736" s="182">
        <v>0</v>
      </c>
      <c r="D736" s="247">
        <f>D713</f>
        <v>1825</v>
      </c>
      <c r="E736" s="187"/>
      <c r="F736" s="184">
        <f>ROUND(D736*C736*$D$678,0)</f>
        <v>0</v>
      </c>
      <c r="G736" s="216">
        <v>1825</v>
      </c>
      <c r="H736" s="187"/>
      <c r="I736" s="184">
        <f>ROUND(G736*$C736*$G$731,0)</f>
        <v>0</v>
      </c>
      <c r="J736" s="247">
        <f>J713</f>
        <v>1825</v>
      </c>
      <c r="K736" s="187"/>
      <c r="L736" s="184">
        <f>ROUND(J736*$C736*$G$731,0)</f>
        <v>0</v>
      </c>
      <c r="M736" s="11"/>
      <c r="N736" s="11"/>
      <c r="O736" s="38"/>
      <c r="P736" s="38"/>
      <c r="Q736" s="38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idden="1">
      <c r="A737" s="172" t="s">
        <v>194</v>
      </c>
      <c r="B737" s="1"/>
      <c r="C737" s="182">
        <v>0</v>
      </c>
      <c r="D737" s="247">
        <f>D709</f>
        <v>0</v>
      </c>
      <c r="E737" s="187"/>
      <c r="F737" s="184">
        <f>ROUND(D737*C737*$D$678,0)</f>
        <v>0</v>
      </c>
      <c r="G737" s="216">
        <v>31.58</v>
      </c>
      <c r="H737" s="187"/>
      <c r="I737" s="184">
        <f>ROUND(G737*$C737*$G$731,0)</f>
        <v>0</v>
      </c>
      <c r="J737" s="247">
        <f>J718</f>
        <v>31.58</v>
      </c>
      <c r="K737" s="187"/>
      <c r="L737" s="184">
        <f>ROUND(J737*$C737*$G$731,0)</f>
        <v>0</v>
      </c>
      <c r="M737" s="11"/>
      <c r="N737" s="11"/>
      <c r="O737" s="38"/>
      <c r="P737" s="38"/>
      <c r="Q737" s="38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idden="1">
      <c r="A738" s="172" t="s">
        <v>195</v>
      </c>
      <c r="B738" s="1"/>
      <c r="C738" s="182"/>
      <c r="D738" s="247"/>
      <c r="E738" s="187"/>
      <c r="F738" s="184"/>
      <c r="G738" s="216"/>
      <c r="H738" s="187"/>
      <c r="I738" s="184"/>
      <c r="J738" s="247"/>
      <c r="K738" s="187"/>
      <c r="L738" s="184"/>
      <c r="M738" s="11"/>
      <c r="N738" s="11"/>
      <c r="O738" s="38"/>
      <c r="P738" s="38"/>
      <c r="Q738" s="38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idden="1">
      <c r="A739" s="172" t="s">
        <v>256</v>
      </c>
      <c r="B739" s="1"/>
      <c r="C739" s="182">
        <v>39</v>
      </c>
      <c r="D739" s="247">
        <f>D720</f>
        <v>31.58</v>
      </c>
      <c r="E739" s="187"/>
      <c r="F739" s="184">
        <f>ROUND(D739*C739*$D$678,0)</f>
        <v>-12</v>
      </c>
      <c r="G739" s="216">
        <v>31.58</v>
      </c>
      <c r="H739" s="187"/>
      <c r="I739" s="184">
        <f>ROUND(G739*$C739*$G$731,0)</f>
        <v>-12</v>
      </c>
      <c r="J739" s="247">
        <f>J720</f>
        <v>31.58</v>
      </c>
      <c r="K739" s="187"/>
      <c r="L739" s="184">
        <f>ROUND(J739*$C739*$G$731,0)</f>
        <v>-12</v>
      </c>
      <c r="M739" s="11"/>
      <c r="N739" s="11"/>
      <c r="O739" s="38"/>
      <c r="P739" s="38"/>
      <c r="Q739" s="38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idden="1">
      <c r="A740" s="172" t="s">
        <v>257</v>
      </c>
      <c r="B740" s="1"/>
      <c r="C740" s="182">
        <v>0</v>
      </c>
      <c r="D740" s="247">
        <f>D721</f>
        <v>21.97</v>
      </c>
      <c r="E740" s="187"/>
      <c r="F740" s="184">
        <f>ROUND(D740*C740*$D$678,0)</f>
        <v>0</v>
      </c>
      <c r="G740" s="216">
        <v>21.97</v>
      </c>
      <c r="H740" s="187"/>
      <c r="I740" s="184">
        <f>ROUND(G740*$C740*$G$731,0)</f>
        <v>0</v>
      </c>
      <c r="J740" s="247">
        <f>J721</f>
        <v>21.97</v>
      </c>
      <c r="K740" s="187"/>
      <c r="L740" s="184">
        <f>ROUND(J740*$C740*$G$731,0)</f>
        <v>0</v>
      </c>
      <c r="M740" s="11"/>
      <c r="N740" s="11"/>
      <c r="O740" s="38"/>
      <c r="P740" s="38"/>
      <c r="Q740" s="38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idden="1">
      <c r="A741" s="172" t="s">
        <v>258</v>
      </c>
      <c r="B741" s="1"/>
      <c r="C741" s="182">
        <v>0</v>
      </c>
      <c r="D741" s="247">
        <f>D722</f>
        <v>17.18</v>
      </c>
      <c r="E741" s="187"/>
      <c r="F741" s="184">
        <f>ROUND(D741*C741*$D$678,0)</f>
        <v>0</v>
      </c>
      <c r="G741" s="216">
        <v>17.18</v>
      </c>
      <c r="H741" s="187"/>
      <c r="I741" s="184">
        <f>ROUND(G741*$C741*$G$731,0)</f>
        <v>0</v>
      </c>
      <c r="J741" s="247">
        <f>J722</f>
        <v>17.18</v>
      </c>
      <c r="K741" s="187"/>
      <c r="L741" s="184">
        <f>ROUND(J741*$C741*$G$731,0)</f>
        <v>0</v>
      </c>
      <c r="M741" s="11"/>
      <c r="N741" s="11"/>
      <c r="O741" s="38"/>
      <c r="P741" s="38"/>
      <c r="Q741" s="38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idden="1">
      <c r="A742" s="172" t="s">
        <v>269</v>
      </c>
      <c r="B742" s="1"/>
      <c r="C742" s="182">
        <v>0</v>
      </c>
      <c r="D742" s="247">
        <f>D723</f>
        <v>94.74</v>
      </c>
      <c r="E742" s="187"/>
      <c r="F742" s="184">
        <f>ROUND(D742*C742*$D$678,0)</f>
        <v>0</v>
      </c>
      <c r="G742" s="216">
        <v>94.74</v>
      </c>
      <c r="H742" s="187"/>
      <c r="I742" s="184">
        <f>ROUND(G742*$C742*$G$731,0)</f>
        <v>0</v>
      </c>
      <c r="J742" s="216">
        <f>J723</f>
        <v>94.74</v>
      </c>
      <c r="K742" s="187"/>
      <c r="L742" s="184">
        <f>ROUND(J742*$C742*$G$731,0)</f>
        <v>0</v>
      </c>
      <c r="M742" s="11"/>
      <c r="N742" s="11"/>
      <c r="O742" s="38"/>
      <c r="P742" s="38"/>
      <c r="Q742" s="38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idden="1">
      <c r="A743" s="172" t="s">
        <v>270</v>
      </c>
      <c r="B743" s="1"/>
      <c r="C743" s="182">
        <v>0</v>
      </c>
      <c r="D743" s="247">
        <f>D724</f>
        <v>189.48</v>
      </c>
      <c r="E743" s="187"/>
      <c r="F743" s="184">
        <f>ROUND(D743*C743*$D$678,0)</f>
        <v>0</v>
      </c>
      <c r="G743" s="216">
        <v>189.48</v>
      </c>
      <c r="H743" s="187"/>
      <c r="I743" s="184">
        <f>ROUND(G743*$C743*$G$731,0)</f>
        <v>0</v>
      </c>
      <c r="J743" s="216">
        <f>J724</f>
        <v>189.48</v>
      </c>
      <c r="K743" s="187"/>
      <c r="L743" s="184">
        <f>ROUND(J743*$C743*$G$731,0)</f>
        <v>0</v>
      </c>
      <c r="M743" s="11"/>
      <c r="N743" s="11"/>
      <c r="O743" s="38"/>
      <c r="P743" s="38"/>
      <c r="Q743" s="38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idden="1">
      <c r="A744" s="172" t="s">
        <v>266</v>
      </c>
      <c r="B744" s="1"/>
      <c r="C744" s="182"/>
      <c r="D744" s="200"/>
      <c r="E744" s="187"/>
      <c r="F744" s="184"/>
      <c r="G744" s="216"/>
      <c r="H744" s="187"/>
      <c r="I744" s="184"/>
      <c r="J744" s="200"/>
      <c r="K744" s="187"/>
      <c r="L744" s="184"/>
      <c r="M744" s="11"/>
      <c r="N744" s="11"/>
      <c r="O744" s="38"/>
      <c r="P744" s="38"/>
      <c r="Q744" s="38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idden="1">
      <c r="A745" s="172" t="s">
        <v>261</v>
      </c>
      <c r="B745" s="1"/>
      <c r="C745" s="182">
        <v>0</v>
      </c>
      <c r="D745" s="226">
        <f>D726</f>
        <v>-31.58</v>
      </c>
      <c r="E745" s="187"/>
      <c r="F745" s="184">
        <f>ROUND(D745*C745*$D$678,0)</f>
        <v>0</v>
      </c>
      <c r="G745" s="216">
        <v>-31.58</v>
      </c>
      <c r="H745" s="187"/>
      <c r="I745" s="184">
        <f>ROUND(G745*$C745*$G$731,0)</f>
        <v>0</v>
      </c>
      <c r="J745" s="226">
        <f>J726</f>
        <v>-31.58</v>
      </c>
      <c r="K745" s="187"/>
      <c r="L745" s="184">
        <f>ROUND(J745*$C745*$G$731,0)</f>
        <v>0</v>
      </c>
      <c r="M745" s="11"/>
      <c r="N745" s="11"/>
      <c r="O745" s="38"/>
      <c r="P745" s="38"/>
      <c r="Q745" s="38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idden="1">
      <c r="A746" s="172" t="s">
        <v>267</v>
      </c>
      <c r="B746" s="1"/>
      <c r="C746" s="182">
        <v>0</v>
      </c>
      <c r="D746" s="226">
        <f>D727</f>
        <v>-31.58</v>
      </c>
      <c r="E746" s="187"/>
      <c r="F746" s="184">
        <f>ROUND(D746*C746*$D$678,0)</f>
        <v>0</v>
      </c>
      <c r="G746" s="216">
        <v>-31.58</v>
      </c>
      <c r="H746" s="187"/>
      <c r="I746" s="184">
        <f>ROUND(G746*$C746*$G$731,0)</f>
        <v>0</v>
      </c>
      <c r="J746" s="226">
        <f>J727</f>
        <v>-31.58</v>
      </c>
      <c r="K746" s="187"/>
      <c r="L746" s="184">
        <f>ROUND(J746*$C746*$G$731,0)</f>
        <v>0</v>
      </c>
      <c r="M746" s="11"/>
      <c r="N746" s="11"/>
      <c r="O746" s="38"/>
      <c r="P746" s="38"/>
      <c r="Q746" s="38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idden="1">
      <c r="A747" s="186" t="s">
        <v>230</v>
      </c>
      <c r="B747" s="1"/>
      <c r="C747" s="182"/>
      <c r="D747" s="247"/>
      <c r="E747" s="184"/>
      <c r="F747" s="184"/>
      <c r="G747" s="216"/>
      <c r="H747" s="184"/>
      <c r="I747" s="184"/>
      <c r="J747" s="247"/>
      <c r="K747" s="184"/>
      <c r="L747" s="184"/>
      <c r="M747" s="11"/>
      <c r="N747" s="11"/>
      <c r="O747" s="38"/>
      <c r="P747" s="38"/>
      <c r="Q747" s="38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idden="1">
      <c r="A748" s="172" t="s">
        <v>268</v>
      </c>
      <c r="B748" s="1"/>
      <c r="C748" s="182">
        <v>9458</v>
      </c>
      <c r="D748" s="248">
        <f>D729</f>
        <v>6.891</v>
      </c>
      <c r="E748" s="184" t="s">
        <v>178</v>
      </c>
      <c r="F748" s="184">
        <f>ROUND(D748*C748/100*D731,0)</f>
        <v>-7</v>
      </c>
      <c r="G748" s="287">
        <v>7.2140000000000004</v>
      </c>
      <c r="H748" s="184" t="s">
        <v>178</v>
      </c>
      <c r="I748" s="184">
        <f>ROUND(G748/100*$C748*$G$731,0)</f>
        <v>-7</v>
      </c>
      <c r="J748" s="248">
        <f ca="1">J729</f>
        <v>7.1989999999999998</v>
      </c>
      <c r="K748" s="184" t="s">
        <v>178</v>
      </c>
      <c r="L748" s="184">
        <f ca="1">ROUND(J748/100*$C748*$G$731,0)</f>
        <v>-7</v>
      </c>
      <c r="M748" s="11"/>
      <c r="N748" s="11"/>
      <c r="O748" s="38"/>
      <c r="P748" s="38"/>
      <c r="Q748" s="38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idden="1">
      <c r="A749" s="186" t="s">
        <v>204</v>
      </c>
      <c r="B749" s="1"/>
      <c r="C749" s="182">
        <v>0</v>
      </c>
      <c r="D749" s="238">
        <f>D730</f>
        <v>58</v>
      </c>
      <c r="E749" s="186" t="s">
        <v>178</v>
      </c>
      <c r="F749" s="184">
        <f>ROUND(D749*C749,0)</f>
        <v>0</v>
      </c>
      <c r="G749" s="733">
        <v>58</v>
      </c>
      <c r="H749" s="186" t="s">
        <v>178</v>
      </c>
      <c r="I749" s="184">
        <f>ROUND(G749/100*$C749*$G$731,0)</f>
        <v>0</v>
      </c>
      <c r="J749" s="238">
        <f>J730</f>
        <v>58</v>
      </c>
      <c r="K749" s="186" t="s">
        <v>178</v>
      </c>
      <c r="L749" s="184">
        <f>ROUND(J749/100*$C749*$G$731,0)</f>
        <v>0</v>
      </c>
      <c r="M749" s="11"/>
      <c r="N749" s="11"/>
      <c r="O749" s="38"/>
      <c r="P749" s="38"/>
      <c r="Q749" s="38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idden="1">
      <c r="A750" s="186" t="s">
        <v>247</v>
      </c>
      <c r="B750" s="1"/>
      <c r="C750" s="182">
        <v>12</v>
      </c>
      <c r="D750" s="161">
        <v>60</v>
      </c>
      <c r="E750" s="1"/>
      <c r="F750" s="184">
        <f>ROUND(D750*$C750,0)</f>
        <v>720</v>
      </c>
      <c r="G750" s="506">
        <v>60</v>
      </c>
      <c r="H750" s="1"/>
      <c r="I750" s="184">
        <f>ROUND(G750*$C750,0)</f>
        <v>720</v>
      </c>
      <c r="J750" s="161">
        <f>$G$699</f>
        <v>60</v>
      </c>
      <c r="K750" s="1"/>
      <c r="L750" s="184">
        <f>ROUND(J750*$C750,0)</f>
        <v>720</v>
      </c>
      <c r="M750" s="11"/>
      <c r="N750" s="11"/>
      <c r="O750" s="38"/>
      <c r="P750" s="38"/>
      <c r="Q750" s="38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idden="1">
      <c r="A751" s="186" t="s">
        <v>248</v>
      </c>
      <c r="B751" s="1"/>
      <c r="C751" s="182">
        <v>468</v>
      </c>
      <c r="D751" s="202">
        <v>-30</v>
      </c>
      <c r="E751" s="184" t="s">
        <v>178</v>
      </c>
      <c r="F751" s="184">
        <f>ROUND(D751*$C751/100,0)</f>
        <v>-140</v>
      </c>
      <c r="G751" s="737">
        <v>-30</v>
      </c>
      <c r="H751" s="184" t="s">
        <v>178</v>
      </c>
      <c r="I751" s="184">
        <f>ROUND(G751*$C751/100,0)</f>
        <v>-140</v>
      </c>
      <c r="J751" s="202">
        <f>$G$700</f>
        <v>-30</v>
      </c>
      <c r="K751" s="184" t="s">
        <v>178</v>
      </c>
      <c r="L751" s="184">
        <f>ROUND(J751*$C751/100,0)</f>
        <v>-140</v>
      </c>
      <c r="M751" s="11"/>
      <c r="N751" s="11"/>
      <c r="O751" s="38"/>
      <c r="P751" s="38"/>
      <c r="Q751" s="38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idden="1">
      <c r="A752" s="1" t="s">
        <v>185</v>
      </c>
      <c r="B752" s="1"/>
      <c r="C752" s="182">
        <f>SUM(C729:C729)</f>
        <v>95695835.840200007</v>
      </c>
      <c r="D752" s="193"/>
      <c r="E752" s="186"/>
      <c r="F752" s="2">
        <f>SUM(F709:F751)</f>
        <v>8630234</v>
      </c>
      <c r="G752" s="733"/>
      <c r="H752" s="186"/>
      <c r="I752" s="2">
        <f>SUM(I709:I751)</f>
        <v>8939332</v>
      </c>
      <c r="J752" s="193"/>
      <c r="K752" s="186"/>
      <c r="L752" s="2">
        <f ca="1">SUM(L709:L751)</f>
        <v>8924977</v>
      </c>
      <c r="M752" s="11"/>
      <c r="N752" s="11"/>
      <c r="O752" s="38"/>
      <c r="P752" s="38"/>
      <c r="Q752" s="38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idden="1">
      <c r="A753" s="1" t="s">
        <v>167</v>
      </c>
      <c r="B753" s="1"/>
      <c r="C753" s="212">
        <v>5472390.0467772651</v>
      </c>
      <c r="D753" s="172"/>
      <c r="E753" s="172"/>
      <c r="F753" s="173">
        <v>710400.5754126875</v>
      </c>
      <c r="G753" s="284"/>
      <c r="H753" s="172"/>
      <c r="I753" s="173">
        <f>F753</f>
        <v>710400.5754126875</v>
      </c>
      <c r="J753" s="172"/>
      <c r="K753" s="172"/>
      <c r="L753" s="173">
        <f>I753</f>
        <v>710400.5754126875</v>
      </c>
      <c r="M753" s="307"/>
      <c r="N753" s="307"/>
      <c r="O753" s="150"/>
      <c r="P753" s="38"/>
      <c r="Q753" s="38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6.5" hidden="1" thickBot="1">
      <c r="A754" s="1" t="s">
        <v>186</v>
      </c>
      <c r="B754" s="1"/>
      <c r="C754" s="229">
        <f>SUM(C752:C753)</f>
        <v>101168225.88697727</v>
      </c>
      <c r="D754" s="205"/>
      <c r="E754" s="208"/>
      <c r="F754" s="207">
        <f>F752+F753</f>
        <v>9340634.5754126869</v>
      </c>
      <c r="G754" s="741"/>
      <c r="H754" s="208"/>
      <c r="I754" s="207">
        <f>I752+I753</f>
        <v>9649732.5754126869</v>
      </c>
      <c r="J754" s="205"/>
      <c r="K754" s="208"/>
      <c r="L754" s="207">
        <f ca="1">L752+L753</f>
        <v>9635377.5754126869</v>
      </c>
      <c r="M754" s="274"/>
      <c r="N754" s="274"/>
      <c r="O754" s="333"/>
      <c r="P754" s="38"/>
      <c r="Q754" s="38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6.5" hidden="1" thickTop="1">
      <c r="A755" s="1"/>
      <c r="B755" s="1"/>
      <c r="C755" s="16"/>
      <c r="D755" s="214" t="s">
        <v>13</v>
      </c>
      <c r="E755" s="14"/>
      <c r="F755" s="185"/>
      <c r="G755" s="742" t="s">
        <v>13</v>
      </c>
      <c r="H755" s="14"/>
      <c r="I755" s="135" t="s">
        <v>13</v>
      </c>
      <c r="J755" s="249" t="s">
        <v>13</v>
      </c>
      <c r="K755" s="14"/>
      <c r="L755" s="135" t="s">
        <v>13</v>
      </c>
      <c r="M755" s="11"/>
      <c r="N755" s="11"/>
      <c r="O755" s="38"/>
      <c r="P755" s="38"/>
      <c r="Q755" s="38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idden="1">
      <c r="A756" s="156" t="s">
        <v>271</v>
      </c>
      <c r="B756" s="1"/>
      <c r="C756" s="12"/>
      <c r="D756" s="200"/>
      <c r="E756" s="1"/>
      <c r="F756" s="2"/>
      <c r="G756" s="216"/>
      <c r="H756" s="1"/>
      <c r="I756" s="2"/>
      <c r="J756" s="200"/>
      <c r="K756" s="1"/>
      <c r="L756" s="2"/>
      <c r="M756" s="11"/>
      <c r="N756" s="11"/>
      <c r="O756" s="38"/>
      <c r="P756" s="38"/>
      <c r="Q756" s="38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idden="1">
      <c r="A757" s="172" t="s">
        <v>84</v>
      </c>
      <c r="B757" s="1"/>
      <c r="C757" s="12"/>
      <c r="D757" s="200"/>
      <c r="E757" s="1"/>
      <c r="F757" s="2"/>
      <c r="G757" s="216"/>
      <c r="H757" s="1"/>
      <c r="I757" s="2"/>
      <c r="J757" s="200"/>
      <c r="K757" s="1"/>
      <c r="L757" s="2"/>
      <c r="M757" s="11"/>
      <c r="N757" s="11"/>
      <c r="O757" s="38"/>
      <c r="P757" s="38"/>
      <c r="Q757" s="38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idden="1">
      <c r="A758" s="186"/>
      <c r="B758" s="1"/>
      <c r="C758" s="12"/>
      <c r="D758" s="200"/>
      <c r="E758" s="1"/>
      <c r="F758" s="243"/>
      <c r="G758" s="216"/>
      <c r="H758" s="1"/>
      <c r="I758" s="244"/>
      <c r="J758" s="200"/>
      <c r="K758" s="1"/>
      <c r="L758" s="244"/>
      <c r="M758" s="11"/>
      <c r="N758" s="11"/>
      <c r="O758" s="38"/>
      <c r="P758" s="38"/>
      <c r="Q758" s="38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idden="1">
      <c r="A759" s="172" t="s">
        <v>253</v>
      </c>
      <c r="B759" s="1"/>
      <c r="C759" s="182"/>
      <c r="D759" s="2" t="s">
        <v>13</v>
      </c>
      <c r="E759" s="1"/>
      <c r="F759" s="1"/>
      <c r="G759" s="516" t="s">
        <v>13</v>
      </c>
      <c r="H759" s="1"/>
      <c r="I759" s="1"/>
      <c r="J759" s="2" t="s">
        <v>13</v>
      </c>
      <c r="K759" s="1"/>
      <c r="L759" s="1"/>
      <c r="M759" s="11"/>
      <c r="N759" s="11"/>
      <c r="O759" s="38"/>
      <c r="P759" s="38"/>
      <c r="Q759" s="38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idden="1">
      <c r="A760" s="172" t="s">
        <v>254</v>
      </c>
      <c r="B760" s="1"/>
      <c r="C760" s="182">
        <v>538.12375460135195</v>
      </c>
      <c r="D760" s="200">
        <f>D653</f>
        <v>0</v>
      </c>
      <c r="E760" s="187"/>
      <c r="F760" s="184">
        <f>ROUND(D760*C760,0)</f>
        <v>0</v>
      </c>
      <c r="G760" s="216">
        <v>0</v>
      </c>
      <c r="H760" s="187"/>
      <c r="I760" s="184">
        <f>ROUND(G760*$C760,0)</f>
        <v>0</v>
      </c>
      <c r="J760" s="200">
        <f>$G$653</f>
        <v>0</v>
      </c>
      <c r="K760" s="187"/>
      <c r="L760" s="184">
        <f>ROUND(J760*$C760,0)</f>
        <v>0</v>
      </c>
      <c r="M760" s="11"/>
      <c r="N760" s="11"/>
      <c r="O760" s="38"/>
      <c r="P760" s="38"/>
      <c r="Q760" s="38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idden="1">
      <c r="A761" s="172" t="s">
        <v>255</v>
      </c>
      <c r="B761" s="1"/>
      <c r="C761" s="182" t="s">
        <v>13</v>
      </c>
      <c r="D761" s="200">
        <f>D655</f>
        <v>0</v>
      </c>
      <c r="E761" s="187"/>
      <c r="F761" s="184"/>
      <c r="G761" s="216"/>
      <c r="H761" s="187"/>
      <c r="I761" s="184"/>
      <c r="J761" s="200"/>
      <c r="K761" s="187"/>
      <c r="L761" s="184"/>
      <c r="M761" s="11"/>
      <c r="N761" s="11"/>
      <c r="O761" s="38"/>
      <c r="P761" s="38"/>
      <c r="Q761" s="38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idden="1">
      <c r="A762" s="172" t="s">
        <v>256</v>
      </c>
      <c r="B762" s="1"/>
      <c r="C762" s="182">
        <v>1492.45772020801</v>
      </c>
      <c r="D762" s="200">
        <f>D656</f>
        <v>0</v>
      </c>
      <c r="E762" s="187"/>
      <c r="F762" s="184">
        <f>ROUND(D762*C762,0)</f>
        <v>0</v>
      </c>
      <c r="G762" s="216">
        <v>0</v>
      </c>
      <c r="H762" s="187"/>
      <c r="I762" s="184">
        <f>ROUND(G762*$C762,0)</f>
        <v>0</v>
      </c>
      <c r="J762" s="200">
        <f>$G$656</f>
        <v>0</v>
      </c>
      <c r="K762" s="187"/>
      <c r="L762" s="184">
        <f>ROUND(J762*$C762,0)</f>
        <v>0</v>
      </c>
      <c r="M762" s="11"/>
      <c r="N762" s="11"/>
      <c r="O762" s="38"/>
      <c r="P762" s="38"/>
      <c r="Q762" s="38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idden="1">
      <c r="A763" s="172" t="s">
        <v>257</v>
      </c>
      <c r="B763" s="1"/>
      <c r="C763" s="182">
        <v>160.74797930372401</v>
      </c>
      <c r="D763" s="200">
        <f>D657</f>
        <v>449</v>
      </c>
      <c r="E763" s="187"/>
      <c r="F763" s="184">
        <f>ROUND(D763*C763,0)</f>
        <v>72176</v>
      </c>
      <c r="G763" s="216">
        <v>449</v>
      </c>
      <c r="H763" s="187"/>
      <c r="I763" s="184">
        <f>ROUND(G763*$C763,0)</f>
        <v>72176</v>
      </c>
      <c r="J763" s="200">
        <f>$G$657</f>
        <v>449</v>
      </c>
      <c r="K763" s="187"/>
      <c r="L763" s="184">
        <f>ROUND(J763*$C763,0)</f>
        <v>72176</v>
      </c>
      <c r="M763" s="11"/>
      <c r="N763" s="11"/>
      <c r="O763" s="38"/>
      <c r="P763" s="38"/>
      <c r="Q763" s="38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idden="1">
      <c r="A764" s="172" t="s">
        <v>258</v>
      </c>
      <c r="B764" s="1"/>
      <c r="C764" s="182">
        <v>4.2821915715397401</v>
      </c>
      <c r="D764" s="200">
        <f>D658</f>
        <v>1825</v>
      </c>
      <c r="E764" s="187"/>
      <c r="F764" s="184">
        <f>ROUND(D764*C764,0)</f>
        <v>7815</v>
      </c>
      <c r="G764" s="216">
        <v>1825</v>
      </c>
      <c r="H764" s="187"/>
      <c r="I764" s="184">
        <f>ROUND(G764*$C764,0)</f>
        <v>7815</v>
      </c>
      <c r="J764" s="200">
        <f>$G$658</f>
        <v>1825</v>
      </c>
      <c r="K764" s="187"/>
      <c r="L764" s="184">
        <f>ROUND(J764*$C764,0)</f>
        <v>7815</v>
      </c>
      <c r="M764" s="11"/>
      <c r="N764" s="11"/>
      <c r="O764" s="38"/>
      <c r="P764" s="38"/>
      <c r="Q764" s="38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idden="1">
      <c r="A765" s="284" t="s">
        <v>166</v>
      </c>
      <c r="B765" s="1"/>
      <c r="C765" s="182">
        <f>SUM(C760:C764)</f>
        <v>2195.6116456846257</v>
      </c>
      <c r="D765" s="200"/>
      <c r="E765" s="187"/>
      <c r="F765" s="184"/>
      <c r="G765" s="216"/>
      <c r="H765" s="187"/>
      <c r="I765" s="184"/>
      <c r="J765" s="200"/>
      <c r="K765" s="187"/>
      <c r="L765" s="184"/>
      <c r="M765" s="11"/>
      <c r="N765" s="11"/>
      <c r="O765" s="38"/>
      <c r="P765" s="38"/>
      <c r="Q765" s="38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idden="1">
      <c r="A766" s="172" t="s">
        <v>259</v>
      </c>
      <c r="B766" s="1"/>
      <c r="C766" s="182">
        <v>6867.8944444444687</v>
      </c>
      <c r="D766" s="200"/>
      <c r="E766" s="184"/>
      <c r="F766" s="184"/>
      <c r="G766" s="216"/>
      <c r="H766" s="184"/>
      <c r="I766" s="184"/>
      <c r="J766" s="200"/>
      <c r="K766" s="184"/>
      <c r="L766" s="184"/>
      <c r="M766" s="11"/>
      <c r="N766" s="11"/>
      <c r="O766" s="38"/>
      <c r="P766" s="38"/>
      <c r="Q766" s="38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idden="1">
      <c r="A767" s="172" t="s">
        <v>24</v>
      </c>
      <c r="B767" s="1"/>
      <c r="C767" s="182">
        <v>17742</v>
      </c>
      <c r="D767" s="200"/>
      <c r="E767" s="184"/>
      <c r="F767" s="184"/>
      <c r="G767" s="216"/>
      <c r="H767" s="184"/>
      <c r="I767" s="184"/>
      <c r="J767" s="200"/>
      <c r="K767" s="184"/>
      <c r="L767" s="184"/>
      <c r="M767" s="11"/>
      <c r="N767" s="11"/>
      <c r="O767" s="38"/>
      <c r="P767" s="38"/>
      <c r="Q767" s="38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idden="1">
      <c r="A768" s="172" t="s">
        <v>260</v>
      </c>
      <c r="B768" s="1"/>
      <c r="C768" s="182"/>
      <c r="D768" s="200"/>
      <c r="E768" s="187"/>
      <c r="F768" s="184"/>
      <c r="G768" s="216"/>
      <c r="H768" s="187"/>
      <c r="I768" s="184"/>
      <c r="J768" s="200"/>
      <c r="K768" s="187"/>
      <c r="L768" s="184"/>
      <c r="M768" s="11"/>
      <c r="N768" s="11"/>
      <c r="O768" s="38"/>
      <c r="P768" s="38"/>
      <c r="Q768" s="38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idden="1">
      <c r="A769" s="172" t="s">
        <v>261</v>
      </c>
      <c r="B769" s="1"/>
      <c r="C769" s="182">
        <v>1938.6234197020899</v>
      </c>
      <c r="D769" s="200">
        <f>D663</f>
        <v>31.58</v>
      </c>
      <c r="E769" s="187"/>
      <c r="F769" s="184">
        <f>ROUND(D769*C769,0)</f>
        <v>61222</v>
      </c>
      <c r="G769" s="216">
        <v>31.58</v>
      </c>
      <c r="H769" s="187"/>
      <c r="I769" s="184">
        <f>ROUND(G769*$C769,0)</f>
        <v>61222</v>
      </c>
      <c r="J769" s="200">
        <f>$G$663</f>
        <v>31.58</v>
      </c>
      <c r="K769" s="187"/>
      <c r="L769" s="184">
        <f>ROUND(J769*$C769,0)</f>
        <v>61222</v>
      </c>
      <c r="M769" s="11"/>
      <c r="N769" s="11"/>
      <c r="O769" s="38"/>
      <c r="P769" s="38"/>
      <c r="Q769" s="38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idden="1">
      <c r="A770" s="172" t="s">
        <v>262</v>
      </c>
      <c r="B770" s="1"/>
      <c r="C770" s="182"/>
      <c r="D770" s="189" t="s">
        <v>13</v>
      </c>
      <c r="E770" s="187"/>
      <c r="F770" s="184"/>
      <c r="G770" s="216"/>
      <c r="H770" s="187"/>
      <c r="I770" s="184"/>
      <c r="J770" s="200"/>
      <c r="K770" s="187"/>
      <c r="L770" s="184"/>
      <c r="M770" s="11"/>
      <c r="N770" s="11"/>
      <c r="O770" s="38"/>
      <c r="P770" s="38"/>
      <c r="Q770" s="38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idden="1">
      <c r="A771" s="172" t="s">
        <v>256</v>
      </c>
      <c r="B771" s="1"/>
      <c r="C771" s="182">
        <v>19493.809988734502</v>
      </c>
      <c r="D771" s="200">
        <f>D665</f>
        <v>31.58</v>
      </c>
      <c r="E771" s="187"/>
      <c r="F771" s="184">
        <f>ROUND(D771*C771,0)</f>
        <v>615615</v>
      </c>
      <c r="G771" s="216">
        <v>31.58</v>
      </c>
      <c r="H771" s="187"/>
      <c r="I771" s="184">
        <f>ROUND(G771*$C771,0)</f>
        <v>615615</v>
      </c>
      <c r="J771" s="200">
        <f>$G$665</f>
        <v>31.58</v>
      </c>
      <c r="K771" s="187"/>
      <c r="L771" s="184">
        <f>ROUND(J771*$C771,0)</f>
        <v>615615</v>
      </c>
      <c r="M771" s="11"/>
      <c r="N771" s="11"/>
      <c r="O771" s="38"/>
      <c r="P771" s="38"/>
      <c r="Q771" s="38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idden="1">
      <c r="A772" s="172" t="s">
        <v>257</v>
      </c>
      <c r="B772" s="1"/>
      <c r="C772" s="182">
        <v>15296.3927914835</v>
      </c>
      <c r="D772" s="200">
        <f>D666</f>
        <v>21.97</v>
      </c>
      <c r="E772" s="187"/>
      <c r="F772" s="184">
        <f>ROUND(D772*C772,0)</f>
        <v>336062</v>
      </c>
      <c r="G772" s="216">
        <v>21.97</v>
      </c>
      <c r="H772" s="187"/>
      <c r="I772" s="184">
        <f>ROUND(G772*$C772,0)</f>
        <v>336062</v>
      </c>
      <c r="J772" s="200">
        <f>$G$666</f>
        <v>21.97</v>
      </c>
      <c r="K772" s="187"/>
      <c r="L772" s="184">
        <f>ROUND(J772*$C772,0)</f>
        <v>336062</v>
      </c>
      <c r="M772" s="11"/>
      <c r="N772" s="11"/>
      <c r="O772" s="38"/>
      <c r="P772" s="38"/>
      <c r="Q772" s="38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idden="1">
      <c r="A773" s="172" t="s">
        <v>258</v>
      </c>
      <c r="B773" s="1"/>
      <c r="C773" s="182">
        <v>1632.1944217667599</v>
      </c>
      <c r="D773" s="200">
        <f>D667</f>
        <v>17.18</v>
      </c>
      <c r="E773" s="187"/>
      <c r="F773" s="184">
        <f>ROUND(D773*C773,0)</f>
        <v>28041</v>
      </c>
      <c r="G773" s="216">
        <v>17.18</v>
      </c>
      <c r="H773" s="187"/>
      <c r="I773" s="184">
        <f>ROUND(G773*$C773,0)</f>
        <v>28041</v>
      </c>
      <c r="J773" s="200">
        <f>$G$667</f>
        <v>17.18</v>
      </c>
      <c r="K773" s="187"/>
      <c r="L773" s="184">
        <f>ROUND(J773*$C773,0)</f>
        <v>28041</v>
      </c>
      <c r="M773" s="11"/>
      <c r="N773" s="11"/>
      <c r="O773" s="38"/>
      <c r="P773" s="38"/>
      <c r="Q773" s="38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idden="1">
      <c r="A774" s="172" t="s">
        <v>264</v>
      </c>
      <c r="B774" s="1"/>
      <c r="C774" s="182">
        <v>298.69634765659902</v>
      </c>
      <c r="D774" s="200">
        <f>D668</f>
        <v>94.74</v>
      </c>
      <c r="E774" s="187"/>
      <c r="F774" s="184">
        <f>ROUND(D774*C774,0)</f>
        <v>28298</v>
      </c>
      <c r="G774" s="216">
        <v>94.74</v>
      </c>
      <c r="H774" s="187"/>
      <c r="I774" s="184">
        <f>ROUND(G774*$C774,0)</f>
        <v>28298</v>
      </c>
      <c r="J774" s="200">
        <f>$G$668</f>
        <v>94.74</v>
      </c>
      <c r="K774" s="187"/>
      <c r="L774" s="184">
        <f>ROUND(J774*$C774,0)</f>
        <v>28298</v>
      </c>
      <c r="M774" s="11"/>
      <c r="N774" s="11"/>
      <c r="O774" s="38"/>
      <c r="P774" s="38"/>
      <c r="Q774" s="38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idden="1">
      <c r="A775" s="172" t="s">
        <v>265</v>
      </c>
      <c r="B775" s="1"/>
      <c r="C775" s="182">
        <v>485.83561355334598</v>
      </c>
      <c r="D775" s="200">
        <f>D669</f>
        <v>189.48</v>
      </c>
      <c r="E775" s="187"/>
      <c r="F775" s="184">
        <f>ROUND(D775*C775,0)</f>
        <v>92056</v>
      </c>
      <c r="G775" s="216">
        <v>189.48</v>
      </c>
      <c r="H775" s="187"/>
      <c r="I775" s="184">
        <f>ROUND(G775*$C775,0)</f>
        <v>92056</v>
      </c>
      <c r="J775" s="200">
        <f>$G$669</f>
        <v>189.48</v>
      </c>
      <c r="K775" s="187"/>
      <c r="L775" s="184">
        <f>ROUND(J775*$C775,0)</f>
        <v>92056</v>
      </c>
      <c r="M775" s="11"/>
      <c r="N775" s="11"/>
      <c r="O775" s="38"/>
      <c r="P775" s="38"/>
      <c r="Q775" s="38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idden="1">
      <c r="A776" s="172" t="s">
        <v>266</v>
      </c>
      <c r="B776" s="1"/>
      <c r="C776" s="182"/>
      <c r="D776" s="200"/>
      <c r="E776" s="187"/>
      <c r="F776" s="184"/>
      <c r="G776" s="216"/>
      <c r="H776" s="187"/>
      <c r="I776" s="184"/>
      <c r="J776" s="200"/>
      <c r="K776" s="187"/>
      <c r="L776" s="184"/>
      <c r="M776" s="11"/>
      <c r="N776" s="11"/>
      <c r="O776" s="38"/>
      <c r="P776" s="38"/>
      <c r="Q776" s="38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idden="1">
      <c r="A777" s="172" t="s">
        <v>261</v>
      </c>
      <c r="B777" s="1"/>
      <c r="C777" s="182">
        <v>294.168669420453</v>
      </c>
      <c r="D777" s="226">
        <f>D671</f>
        <v>-31.58</v>
      </c>
      <c r="E777" s="187"/>
      <c r="F777" s="184">
        <f>ROUND(D777*C777,0)</f>
        <v>-9290</v>
      </c>
      <c r="G777" s="216">
        <v>-31.58</v>
      </c>
      <c r="H777" s="187"/>
      <c r="I777" s="184">
        <f>ROUND(G777*$C777,0)</f>
        <v>-9290</v>
      </c>
      <c r="J777" s="226">
        <f>-J769</f>
        <v>-31.58</v>
      </c>
      <c r="K777" s="187"/>
      <c r="L777" s="184">
        <f>ROUND(J777*$C777,0)</f>
        <v>-9290</v>
      </c>
      <c r="M777" s="11"/>
      <c r="N777" s="11"/>
      <c r="O777" s="38"/>
      <c r="P777" s="38"/>
      <c r="Q777" s="38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idden="1">
      <c r="A778" s="172" t="s">
        <v>267</v>
      </c>
      <c r="B778" s="1"/>
      <c r="C778" s="182">
        <v>822.90480660908702</v>
      </c>
      <c r="D778" s="226">
        <f>D672</f>
        <v>-31.58</v>
      </c>
      <c r="E778" s="187"/>
      <c r="F778" s="184">
        <f>ROUND(D778*C778,0)</f>
        <v>-25987</v>
      </c>
      <c r="G778" s="216">
        <v>-31.58</v>
      </c>
      <c r="H778" s="187"/>
      <c r="I778" s="184">
        <f>ROUND(G778*$C778,0)</f>
        <v>-25987</v>
      </c>
      <c r="J778" s="226">
        <f>-J771</f>
        <v>-31.58</v>
      </c>
      <c r="K778" s="187"/>
      <c r="L778" s="184">
        <f>ROUND(J778*$C778,0)</f>
        <v>-25987</v>
      </c>
      <c r="M778" s="11"/>
      <c r="N778" s="11"/>
      <c r="O778" s="38"/>
      <c r="P778" s="38"/>
      <c r="Q778" s="38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idden="1">
      <c r="A779" s="186" t="s">
        <v>230</v>
      </c>
      <c r="B779" s="1"/>
      <c r="C779" s="182"/>
      <c r="D779" s="200"/>
      <c r="E779" s="184"/>
      <c r="F779" s="184"/>
      <c r="G779" s="216"/>
      <c r="H779" s="184"/>
      <c r="I779" s="184"/>
      <c r="J779" s="200"/>
      <c r="K779" s="184"/>
      <c r="L779" s="184"/>
      <c r="M779" s="11"/>
      <c r="N779" s="11"/>
      <c r="O779" s="38"/>
      <c r="P779" s="38"/>
      <c r="Q779" s="38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idden="1">
      <c r="A780" s="172" t="s">
        <v>268</v>
      </c>
      <c r="B780" s="1"/>
      <c r="C780" s="182">
        <v>60354962</v>
      </c>
      <c r="D780" s="245">
        <f>D674</f>
        <v>6.891</v>
      </c>
      <c r="E780" s="184" t="s">
        <v>178</v>
      </c>
      <c r="F780" s="184">
        <f>ROUND(D780/100*C780,0)</f>
        <v>4159060</v>
      </c>
      <c r="G780" s="287">
        <v>7.2140000000000004</v>
      </c>
      <c r="H780" s="184" t="s">
        <v>178</v>
      </c>
      <c r="I780" s="184">
        <f>ROUND(G780/100*$C780,0)</f>
        <v>4354007</v>
      </c>
      <c r="J780" s="245">
        <f ca="1">$J$674</f>
        <v>7.1989999999999998</v>
      </c>
      <c r="K780" s="184" t="s">
        <v>178</v>
      </c>
      <c r="L780" s="184">
        <f ca="1">ROUND(J780/100*$C780,0)</f>
        <v>4344954</v>
      </c>
      <c r="M780" s="11"/>
      <c r="N780" s="11"/>
      <c r="O780" s="38"/>
      <c r="P780" s="38"/>
      <c r="Q780" s="38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idden="1">
      <c r="A781" s="186" t="s">
        <v>204</v>
      </c>
      <c r="B781" s="1"/>
      <c r="C781" s="182">
        <v>23164</v>
      </c>
      <c r="D781" s="202">
        <f>D677</f>
        <v>58</v>
      </c>
      <c r="E781" s="186" t="s">
        <v>178</v>
      </c>
      <c r="F781" s="184">
        <f>ROUND(D781*C781/100,0)</f>
        <v>13435</v>
      </c>
      <c r="G781" s="737">
        <v>58</v>
      </c>
      <c r="H781" s="186" t="s">
        <v>178</v>
      </c>
      <c r="I781" s="184">
        <f>ROUND(G781*$C781/100,0)</f>
        <v>13435</v>
      </c>
      <c r="J781" s="202">
        <f>$G$677</f>
        <v>58</v>
      </c>
      <c r="K781" s="186" t="s">
        <v>178</v>
      </c>
      <c r="L781" s="184">
        <f>ROUND(J781*$C781/100,0)</f>
        <v>13435</v>
      </c>
      <c r="M781" s="11"/>
      <c r="N781" s="11"/>
      <c r="O781" s="38"/>
      <c r="P781" s="38"/>
      <c r="Q781" s="38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idden="1">
      <c r="A782" s="223" t="s">
        <v>205</v>
      </c>
      <c r="B782" s="1"/>
      <c r="C782" s="182"/>
      <c r="D782" s="195">
        <v>-0.01</v>
      </c>
      <c r="E782" s="1"/>
      <c r="F782" s="184"/>
      <c r="G782" s="734">
        <v>-0.01</v>
      </c>
      <c r="H782" s="1"/>
      <c r="I782" s="184"/>
      <c r="J782" s="195">
        <v>-0.01</v>
      </c>
      <c r="K782" s="1"/>
      <c r="L782" s="184"/>
      <c r="M782" s="11"/>
      <c r="N782" s="11"/>
      <c r="O782" s="38"/>
      <c r="P782" s="38"/>
      <c r="Q782" s="38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idden="1">
      <c r="A783" s="172" t="s">
        <v>194</v>
      </c>
      <c r="B783" s="1"/>
      <c r="C783" s="182">
        <v>0</v>
      </c>
      <c r="D783" s="247">
        <f>D760</f>
        <v>0</v>
      </c>
      <c r="E783" s="187"/>
      <c r="F783" s="184">
        <f>ROUND(D783*C783,0)</f>
        <v>0</v>
      </c>
      <c r="G783" s="216">
        <v>0</v>
      </c>
      <c r="H783" s="187"/>
      <c r="I783" s="184">
        <f>ROUND(G783*$C783*$G$782,0)</f>
        <v>0</v>
      </c>
      <c r="J783" s="247">
        <f>J760</f>
        <v>0</v>
      </c>
      <c r="K783" s="187"/>
      <c r="L783" s="184">
        <f>ROUND(J783*$C783*$G$782,0)</f>
        <v>0</v>
      </c>
      <c r="M783" s="11"/>
      <c r="N783" s="11"/>
      <c r="O783" s="38"/>
      <c r="P783" s="38"/>
      <c r="Q783" s="38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idden="1">
      <c r="A784" s="172" t="s">
        <v>195</v>
      </c>
      <c r="B784" s="1"/>
      <c r="C784" s="182"/>
      <c r="D784" s="247"/>
      <c r="E784" s="187"/>
      <c r="F784" s="184"/>
      <c r="G784" s="216"/>
      <c r="H784" s="187"/>
      <c r="I784" s="184"/>
      <c r="J784" s="247"/>
      <c r="K784" s="187"/>
      <c r="L784" s="184"/>
      <c r="M784" s="11"/>
      <c r="N784" s="11"/>
      <c r="O784" s="38"/>
      <c r="P784" s="38"/>
      <c r="Q784" s="38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idden="1">
      <c r="A785" s="172" t="s">
        <v>256</v>
      </c>
      <c r="B785" s="1"/>
      <c r="C785" s="182">
        <v>0</v>
      </c>
      <c r="D785" s="247">
        <f>D762</f>
        <v>0</v>
      </c>
      <c r="E785" s="187"/>
      <c r="F785" s="184">
        <f>ROUND(D785*C785,0)</f>
        <v>0</v>
      </c>
      <c r="G785" s="216">
        <v>0</v>
      </c>
      <c r="H785" s="187"/>
      <c r="I785" s="184">
        <f>ROUND(G785*$C785*$G$782,0)</f>
        <v>0</v>
      </c>
      <c r="J785" s="247">
        <f>J762</f>
        <v>0</v>
      </c>
      <c r="K785" s="187"/>
      <c r="L785" s="184">
        <f>ROUND(J785*$C785*$G$782,0)</f>
        <v>0</v>
      </c>
      <c r="M785" s="11"/>
      <c r="N785" s="11"/>
      <c r="O785" s="38"/>
      <c r="P785" s="38"/>
      <c r="Q785" s="38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idden="1">
      <c r="A786" s="172" t="s">
        <v>257</v>
      </c>
      <c r="B786" s="1"/>
      <c r="C786" s="182">
        <v>0</v>
      </c>
      <c r="D786" s="247">
        <f>D763</f>
        <v>449</v>
      </c>
      <c r="E786" s="187"/>
      <c r="F786" s="184">
        <f>ROUND(D786*C786,0)</f>
        <v>0</v>
      </c>
      <c r="G786" s="216">
        <v>449</v>
      </c>
      <c r="H786" s="187"/>
      <c r="I786" s="184">
        <f>ROUND(G786*$C786*$G$782,0)</f>
        <v>0</v>
      </c>
      <c r="J786" s="247">
        <f>J763</f>
        <v>449</v>
      </c>
      <c r="K786" s="187"/>
      <c r="L786" s="184">
        <f>ROUND(J786*$C786*$G$782,0)</f>
        <v>0</v>
      </c>
      <c r="M786" s="11"/>
      <c r="N786" s="11"/>
      <c r="O786" s="38"/>
      <c r="P786" s="38"/>
      <c r="Q786" s="38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idden="1">
      <c r="A787" s="172" t="s">
        <v>258</v>
      </c>
      <c r="B787" s="1"/>
      <c r="C787" s="182">
        <v>0</v>
      </c>
      <c r="D787" s="247">
        <f>D764</f>
        <v>1825</v>
      </c>
      <c r="E787" s="187"/>
      <c r="F787" s="184">
        <f>ROUND(D787*C787,0)</f>
        <v>0</v>
      </c>
      <c r="G787" s="216">
        <v>1825</v>
      </c>
      <c r="H787" s="187"/>
      <c r="I787" s="184">
        <f>ROUND(G787*$C787*$G$782,0)</f>
        <v>0</v>
      </c>
      <c r="J787" s="247">
        <f>J764</f>
        <v>1825</v>
      </c>
      <c r="K787" s="187"/>
      <c r="L787" s="184">
        <f>ROUND(J787*$C787*$G$782,0)</f>
        <v>0</v>
      </c>
      <c r="M787" s="11"/>
      <c r="N787" s="11"/>
      <c r="O787" s="38"/>
      <c r="P787" s="38"/>
      <c r="Q787" s="38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idden="1">
      <c r="A788" s="172" t="s">
        <v>194</v>
      </c>
      <c r="B788" s="1"/>
      <c r="C788" s="182">
        <v>0</v>
      </c>
      <c r="D788" s="247">
        <f>D769</f>
        <v>31.58</v>
      </c>
      <c r="E788" s="187"/>
      <c r="F788" s="184">
        <f>ROUND(D788*C788,0)</f>
        <v>0</v>
      </c>
      <c r="G788" s="216">
        <v>31.58</v>
      </c>
      <c r="H788" s="187"/>
      <c r="I788" s="184">
        <f>ROUND(G788*$C788*$G$782,0)</f>
        <v>0</v>
      </c>
      <c r="J788" s="247">
        <f>J769</f>
        <v>31.58</v>
      </c>
      <c r="K788" s="187"/>
      <c r="L788" s="184">
        <f>ROUND(J788*$C788*$G$782,0)</f>
        <v>0</v>
      </c>
      <c r="M788" s="11"/>
      <c r="N788" s="11"/>
      <c r="O788" s="38"/>
      <c r="P788" s="38"/>
      <c r="Q788" s="38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idden="1">
      <c r="A789" s="172" t="s">
        <v>195</v>
      </c>
      <c r="B789" s="1"/>
      <c r="C789" s="182"/>
      <c r="D789" s="247"/>
      <c r="E789" s="187"/>
      <c r="F789" s="184"/>
      <c r="G789" s="216"/>
      <c r="H789" s="187"/>
      <c r="I789" s="184"/>
      <c r="J789" s="247"/>
      <c r="K789" s="187"/>
      <c r="L789" s="184"/>
      <c r="M789" s="11"/>
      <c r="N789" s="11"/>
      <c r="O789" s="38"/>
      <c r="P789" s="38"/>
      <c r="Q789" s="38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idden="1">
      <c r="A790" s="172" t="s">
        <v>256</v>
      </c>
      <c r="B790" s="1"/>
      <c r="C790" s="182">
        <v>0</v>
      </c>
      <c r="D790" s="247">
        <f>D771</f>
        <v>31.58</v>
      </c>
      <c r="E790" s="187"/>
      <c r="F790" s="184">
        <f>ROUND(D790*$C790*$D$678,0)</f>
        <v>0</v>
      </c>
      <c r="G790" s="216">
        <v>31.58</v>
      </c>
      <c r="H790" s="187"/>
      <c r="I790" s="184">
        <f>ROUND(G790*$C790*$G$782,0)</f>
        <v>0</v>
      </c>
      <c r="J790" s="247">
        <f>J771</f>
        <v>31.58</v>
      </c>
      <c r="K790" s="187"/>
      <c r="L790" s="184">
        <f>ROUND(J790*$C790*$G$782,0)</f>
        <v>0</v>
      </c>
      <c r="M790" s="11"/>
      <c r="N790" s="11"/>
      <c r="O790" s="38"/>
      <c r="P790" s="38"/>
      <c r="Q790" s="38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idden="1">
      <c r="A791" s="172" t="s">
        <v>257</v>
      </c>
      <c r="B791" s="1"/>
      <c r="C791" s="182">
        <v>0</v>
      </c>
      <c r="D791" s="247">
        <f>D772</f>
        <v>21.97</v>
      </c>
      <c r="E791" s="187"/>
      <c r="F791" s="184">
        <f>ROUND(D791*$C791*$D$678,0)</f>
        <v>0</v>
      </c>
      <c r="G791" s="216">
        <v>21.97</v>
      </c>
      <c r="H791" s="187"/>
      <c r="I791" s="184">
        <f>ROUND(G791*$C791*$G$782,0)</f>
        <v>0</v>
      </c>
      <c r="J791" s="247">
        <f>J772</f>
        <v>21.97</v>
      </c>
      <c r="K791" s="187"/>
      <c r="L791" s="184">
        <f>ROUND(J791*$C791*$G$782,0)</f>
        <v>0</v>
      </c>
      <c r="M791" s="11"/>
      <c r="N791" s="11"/>
      <c r="O791" s="38"/>
      <c r="P791" s="38"/>
      <c r="Q791" s="38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idden="1">
      <c r="A792" s="172" t="s">
        <v>258</v>
      </c>
      <c r="B792" s="1"/>
      <c r="C792" s="182">
        <v>0</v>
      </c>
      <c r="D792" s="247">
        <f>D773</f>
        <v>17.18</v>
      </c>
      <c r="E792" s="187"/>
      <c r="F792" s="184">
        <f>ROUND(D792*$C792*$D$678,0)</f>
        <v>0</v>
      </c>
      <c r="G792" s="216">
        <v>17.18</v>
      </c>
      <c r="H792" s="187"/>
      <c r="I792" s="184">
        <f>ROUND(G792*$C792*$G$782,0)</f>
        <v>0</v>
      </c>
      <c r="J792" s="247">
        <f>J773</f>
        <v>17.18</v>
      </c>
      <c r="K792" s="187"/>
      <c r="L792" s="184">
        <f>ROUND(J792*$C792*$G$782,0)</f>
        <v>0</v>
      </c>
      <c r="M792" s="11"/>
      <c r="N792" s="11"/>
      <c r="O792" s="38"/>
      <c r="P792" s="38"/>
      <c r="Q792" s="38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idden="1">
      <c r="A793" s="172" t="s">
        <v>269</v>
      </c>
      <c r="B793" s="1"/>
      <c r="C793" s="182">
        <v>0</v>
      </c>
      <c r="D793" s="247">
        <f>D774</f>
        <v>94.74</v>
      </c>
      <c r="E793" s="187"/>
      <c r="F793" s="184">
        <f>ROUND(D793*$C793*$D$678,0)</f>
        <v>0</v>
      </c>
      <c r="G793" s="216">
        <v>94.74</v>
      </c>
      <c r="H793" s="187"/>
      <c r="I793" s="184">
        <f>ROUND(G793*$C793*$G$782,0)</f>
        <v>0</v>
      </c>
      <c r="J793" s="216">
        <f>J774</f>
        <v>94.74</v>
      </c>
      <c r="K793" s="187"/>
      <c r="L793" s="184">
        <f>ROUND(J793*$C793*$G$782,0)</f>
        <v>0</v>
      </c>
      <c r="M793" s="11"/>
      <c r="N793" s="11"/>
      <c r="O793" s="38"/>
      <c r="P793" s="38"/>
      <c r="Q793" s="38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idden="1">
      <c r="A794" s="172" t="s">
        <v>270</v>
      </c>
      <c r="B794" s="1"/>
      <c r="C794" s="182">
        <v>0</v>
      </c>
      <c r="D794" s="247">
        <f>D775</f>
        <v>189.48</v>
      </c>
      <c r="E794" s="187"/>
      <c r="F794" s="184">
        <f>ROUND(D794*$C794*$D$678,0)</f>
        <v>0</v>
      </c>
      <c r="G794" s="216">
        <v>189.48</v>
      </c>
      <c r="H794" s="187"/>
      <c r="I794" s="184">
        <f>ROUND(G794*$C794*$G$782,0)</f>
        <v>0</v>
      </c>
      <c r="J794" s="216">
        <f>J775</f>
        <v>189.48</v>
      </c>
      <c r="K794" s="187"/>
      <c r="L794" s="184">
        <f>ROUND(J794*$C794*$G$782,0)</f>
        <v>0</v>
      </c>
      <c r="M794" s="11"/>
      <c r="N794" s="11"/>
      <c r="O794" s="38"/>
      <c r="P794" s="38"/>
      <c r="Q794" s="38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idden="1">
      <c r="A795" s="172" t="s">
        <v>266</v>
      </c>
      <c r="B795" s="1"/>
      <c r="C795" s="182"/>
      <c r="D795" s="200"/>
      <c r="E795" s="187"/>
      <c r="F795" s="184"/>
      <c r="G795" s="216"/>
      <c r="H795" s="187"/>
      <c r="I795" s="184"/>
      <c r="J795" s="200"/>
      <c r="K795" s="187"/>
      <c r="L795" s="184"/>
      <c r="M795" s="11"/>
      <c r="N795" s="11"/>
      <c r="O795" s="38"/>
      <c r="P795" s="38"/>
      <c r="Q795" s="38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idden="1">
      <c r="A796" s="172" t="s">
        <v>261</v>
      </c>
      <c r="B796" s="1"/>
      <c r="C796" s="182">
        <v>0</v>
      </c>
      <c r="D796" s="226">
        <f>D777</f>
        <v>-31.58</v>
      </c>
      <c r="E796" s="187"/>
      <c r="F796" s="184">
        <f>ROUND(D796*$C796*$D$678,0)</f>
        <v>0</v>
      </c>
      <c r="G796" s="216">
        <v>-31.58</v>
      </c>
      <c r="H796" s="187"/>
      <c r="I796" s="184">
        <f>ROUND(G796*$C796*$G$782,0)</f>
        <v>0</v>
      </c>
      <c r="J796" s="226">
        <f>J777</f>
        <v>-31.58</v>
      </c>
      <c r="K796" s="187"/>
      <c r="L796" s="184">
        <f>ROUND(J796*$C796*$G$782,0)</f>
        <v>0</v>
      </c>
      <c r="M796" s="11"/>
      <c r="N796" s="11"/>
      <c r="O796" s="38"/>
      <c r="P796" s="38"/>
      <c r="Q796" s="38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idden="1">
      <c r="A797" s="172" t="s">
        <v>267</v>
      </c>
      <c r="B797" s="1"/>
      <c r="C797" s="182">
        <v>0</v>
      </c>
      <c r="D797" s="226">
        <f>D778</f>
        <v>-31.58</v>
      </c>
      <c r="E797" s="187"/>
      <c r="F797" s="184">
        <f>ROUND(D797*$C797*$D$678,0)</f>
        <v>0</v>
      </c>
      <c r="G797" s="216">
        <v>-31.58</v>
      </c>
      <c r="H797" s="187"/>
      <c r="I797" s="184">
        <f>ROUND(G797*$C797*$G$782,0)</f>
        <v>0</v>
      </c>
      <c r="J797" s="226">
        <f>J778</f>
        <v>-31.58</v>
      </c>
      <c r="K797" s="187"/>
      <c r="L797" s="184">
        <f>ROUND(J797*$C797*$G$782,0)</f>
        <v>0</v>
      </c>
      <c r="M797" s="11"/>
      <c r="N797" s="11"/>
      <c r="O797" s="38"/>
      <c r="P797" s="38"/>
      <c r="Q797" s="38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idden="1">
      <c r="A798" s="186" t="s">
        <v>230</v>
      </c>
      <c r="B798" s="1"/>
      <c r="C798" s="182"/>
      <c r="D798" s="247"/>
      <c r="E798" s="184"/>
      <c r="F798" s="184"/>
      <c r="G798" s="216"/>
      <c r="H798" s="184"/>
      <c r="I798" s="184"/>
      <c r="J798" s="247"/>
      <c r="K798" s="184"/>
      <c r="L798" s="184"/>
      <c r="M798" s="11"/>
      <c r="N798" s="11"/>
      <c r="O798" s="38"/>
      <c r="P798" s="38"/>
      <c r="Q798" s="38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idden="1">
      <c r="A799" s="172" t="s">
        <v>268</v>
      </c>
      <c r="B799" s="1"/>
      <c r="C799" s="182">
        <v>0</v>
      </c>
      <c r="D799" s="248">
        <f>D780</f>
        <v>6.891</v>
      </c>
      <c r="E799" s="184" t="s">
        <v>178</v>
      </c>
      <c r="F799" s="184">
        <f>ROUND(D799/100*C799*$D$678,0)</f>
        <v>0</v>
      </c>
      <c r="G799" s="287">
        <v>7.2140000000000004</v>
      </c>
      <c r="H799" s="184" t="s">
        <v>178</v>
      </c>
      <c r="I799" s="184">
        <f>ROUND(G799/100*$C799*$G$782,0)</f>
        <v>0</v>
      </c>
      <c r="J799" s="248">
        <f ca="1">J780</f>
        <v>7.1989999999999998</v>
      </c>
      <c r="K799" s="184" t="s">
        <v>178</v>
      </c>
      <c r="L799" s="184">
        <f ca="1">ROUND(J799/100*$C799*$G$782,0)</f>
        <v>0</v>
      </c>
      <c r="M799" s="11"/>
      <c r="N799" s="11"/>
      <c r="O799" s="38"/>
      <c r="P799" s="38"/>
      <c r="Q799" s="38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idden="1">
      <c r="A800" s="186" t="s">
        <v>204</v>
      </c>
      <c r="B800" s="1"/>
      <c r="C800" s="182">
        <v>0</v>
      </c>
      <c r="D800" s="238">
        <f>D781</f>
        <v>58</v>
      </c>
      <c r="E800" s="186" t="s">
        <v>178</v>
      </c>
      <c r="F800" s="184">
        <f>ROUND(D800/100*C800*$D$678,0)</f>
        <v>0</v>
      </c>
      <c r="G800" s="733">
        <v>58</v>
      </c>
      <c r="H800" s="186" t="s">
        <v>178</v>
      </c>
      <c r="I800" s="184">
        <f>ROUND(G800/100*$C800*$G$782,0)</f>
        <v>0</v>
      </c>
      <c r="J800" s="238">
        <f>J781</f>
        <v>58</v>
      </c>
      <c r="K800" s="186" t="s">
        <v>178</v>
      </c>
      <c r="L800" s="184">
        <f>ROUND(J800/100*$C800*$G$782,0)</f>
        <v>0</v>
      </c>
      <c r="M800" s="11"/>
      <c r="N800" s="11"/>
      <c r="O800" s="38"/>
      <c r="P800" s="38"/>
      <c r="Q800" s="38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idden="1">
      <c r="A801" s="186" t="s">
        <v>247</v>
      </c>
      <c r="B801" s="1"/>
      <c r="C801" s="182">
        <v>0</v>
      </c>
      <c r="D801" s="161">
        <v>60</v>
      </c>
      <c r="E801" s="1"/>
      <c r="F801" s="184">
        <f>ROUND(D801*$C801,0)</f>
        <v>0</v>
      </c>
      <c r="G801" s="506">
        <v>60</v>
      </c>
      <c r="H801" s="1"/>
      <c r="I801" s="184">
        <f>ROUND(G801*$C801,0)</f>
        <v>0</v>
      </c>
      <c r="J801" s="161">
        <f>$G$699</f>
        <v>60</v>
      </c>
      <c r="K801" s="1"/>
      <c r="L801" s="184">
        <f>ROUND(J801*$C801,0)</f>
        <v>0</v>
      </c>
      <c r="M801" s="11"/>
      <c r="N801" s="11"/>
      <c r="O801" s="17"/>
      <c r="P801" s="38"/>
      <c r="Q801" s="38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idden="1">
      <c r="A802" s="186" t="s">
        <v>248</v>
      </c>
      <c r="B802" s="1"/>
      <c r="C802" s="182">
        <v>0</v>
      </c>
      <c r="D802" s="202">
        <v>-30</v>
      </c>
      <c r="E802" s="184" t="s">
        <v>178</v>
      </c>
      <c r="F802" s="184">
        <f>ROUND(D802*$C802/100,0)</f>
        <v>0</v>
      </c>
      <c r="G802" s="737">
        <v>-30</v>
      </c>
      <c r="H802" s="184" t="s">
        <v>178</v>
      </c>
      <c r="I802" s="184">
        <f>ROUND(G802*$C802/100,0)</f>
        <v>0</v>
      </c>
      <c r="J802" s="202">
        <f>$G$700</f>
        <v>-30</v>
      </c>
      <c r="K802" s="184" t="s">
        <v>178</v>
      </c>
      <c r="L802" s="184">
        <f>ROUND(J802*$C802/100,0)</f>
        <v>0</v>
      </c>
      <c r="M802" s="11"/>
      <c r="N802" s="11"/>
      <c r="O802" s="38"/>
      <c r="P802" s="38"/>
      <c r="Q802" s="38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idden="1">
      <c r="A803" s="1" t="s">
        <v>185</v>
      </c>
      <c r="B803" s="1"/>
      <c r="C803" s="182">
        <f>SUM(C780:C780)</f>
        <v>60354962</v>
      </c>
      <c r="D803" s="193"/>
      <c r="E803" s="186"/>
      <c r="F803" s="2">
        <f>SUM(F760:F802)</f>
        <v>5378503</v>
      </c>
      <c r="G803" s="733"/>
      <c r="H803" s="186"/>
      <c r="I803" s="2">
        <f>SUM(I760:I802)</f>
        <v>5573450</v>
      </c>
      <c r="J803" s="193"/>
      <c r="K803" s="186"/>
      <c r="L803" s="2">
        <f ca="1">SUM(L760:L802)</f>
        <v>5564397</v>
      </c>
      <c r="M803" s="11"/>
      <c r="N803" s="11"/>
      <c r="O803" s="38"/>
      <c r="P803" s="38"/>
      <c r="Q803" s="38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idden="1">
      <c r="A804" s="1" t="s">
        <v>167</v>
      </c>
      <c r="B804" s="1"/>
      <c r="C804" s="212">
        <v>3272609.9532227353</v>
      </c>
      <c r="D804" s="172"/>
      <c r="E804" s="172"/>
      <c r="F804" s="173">
        <v>462599.42458731245</v>
      </c>
      <c r="G804" s="284"/>
      <c r="H804" s="172"/>
      <c r="I804" s="173">
        <f>F804</f>
        <v>462599.42458731245</v>
      </c>
      <c r="J804" s="172"/>
      <c r="K804" s="172"/>
      <c r="L804" s="173">
        <f>I804</f>
        <v>462599.42458731245</v>
      </c>
      <c r="M804" s="307"/>
      <c r="N804" s="307"/>
      <c r="O804" s="150"/>
      <c r="P804" s="38"/>
      <c r="Q804" s="38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6.5" hidden="1" thickBot="1">
      <c r="A805" s="1" t="s">
        <v>186</v>
      </c>
      <c r="B805" s="1"/>
      <c r="C805" s="229">
        <f>SUM(C803:C804)</f>
        <v>63627571.953222737</v>
      </c>
      <c r="D805" s="205"/>
      <c r="E805" s="208"/>
      <c r="F805" s="207">
        <f>F803+F804</f>
        <v>5841102.4245873122</v>
      </c>
      <c r="G805" s="741"/>
      <c r="H805" s="208"/>
      <c r="I805" s="207">
        <f>I803+I804</f>
        <v>6036049.4245873122</v>
      </c>
      <c r="J805" s="205"/>
      <c r="K805" s="208"/>
      <c r="L805" s="207">
        <f ca="1">L803+L804</f>
        <v>6026996.4245873122</v>
      </c>
      <c r="M805" s="274"/>
      <c r="N805" s="274"/>
      <c r="O805" s="333"/>
      <c r="P805" s="38"/>
      <c r="Q805" s="38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6.5" hidden="1" thickTop="1">
      <c r="A806" s="1"/>
      <c r="B806" s="1"/>
      <c r="C806" s="16"/>
      <c r="D806" s="214"/>
      <c r="E806" s="14"/>
      <c r="F806" s="185"/>
      <c r="G806" s="742"/>
      <c r="H806" s="14"/>
      <c r="I806" s="185"/>
      <c r="J806" s="214"/>
      <c r="K806" s="14"/>
      <c r="L806" s="185"/>
      <c r="M806" s="616"/>
      <c r="N806" s="616"/>
      <c r="O806" s="616"/>
      <c r="P806" s="616"/>
      <c r="Q806" s="38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idden="1">
      <c r="A807" s="1"/>
      <c r="B807" s="1"/>
      <c r="C807" s="16"/>
      <c r="D807" s="214"/>
      <c r="E807" s="14"/>
      <c r="F807" s="185"/>
      <c r="G807" s="742"/>
      <c r="H807" s="14"/>
      <c r="I807" s="185"/>
      <c r="J807" s="214"/>
      <c r="K807" s="14"/>
      <c r="L807" s="185"/>
      <c r="M807" s="274"/>
      <c r="N807" s="274"/>
      <c r="O807" s="274"/>
      <c r="P807" s="274"/>
      <c r="Q807" s="17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>
      <c r="A808" s="166"/>
      <c r="B808" s="241"/>
      <c r="C808" s="166"/>
      <c r="D808" s="1"/>
      <c r="E808" s="166"/>
      <c r="F808" s="242" t="s">
        <v>13</v>
      </c>
      <c r="G808" s="4"/>
      <c r="H808" s="166"/>
      <c r="I808" s="166"/>
      <c r="J808" s="166"/>
      <c r="K808" s="166"/>
      <c r="L808" s="166"/>
      <c r="M808" s="11"/>
      <c r="N808" s="11"/>
      <c r="O808" s="38"/>
      <c r="P808" s="38"/>
      <c r="Q808" s="38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>
      <c r="A809" s="156" t="s">
        <v>273</v>
      </c>
      <c r="B809" s="1"/>
      <c r="C809" s="1"/>
      <c r="D809" s="2"/>
      <c r="E809" s="1"/>
      <c r="F809" s="1"/>
      <c r="G809" s="516"/>
      <c r="H809" s="1"/>
      <c r="I809" s="1"/>
      <c r="J809" s="2"/>
      <c r="K809" s="1"/>
      <c r="L809" s="1"/>
      <c r="M809" s="11"/>
      <c r="N809" s="11"/>
      <c r="O809" s="38"/>
      <c r="P809" s="38"/>
      <c r="Q809" s="38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>
      <c r="A810" s="284" t="s">
        <v>489</v>
      </c>
      <c r="B810" s="1"/>
      <c r="C810" s="1"/>
      <c r="D810" s="2"/>
      <c r="E810" s="1"/>
      <c r="F810" s="1"/>
      <c r="G810" s="516"/>
      <c r="H810" s="1"/>
      <c r="I810" s="1"/>
      <c r="J810" s="2"/>
      <c r="K810" s="1"/>
      <c r="L810" s="1"/>
      <c r="M810" s="11"/>
      <c r="N810" s="11"/>
      <c r="O810" s="38"/>
      <c r="P810" s="38"/>
      <c r="Q810" s="38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>
      <c r="A811" s="186"/>
      <c r="B811" s="1"/>
      <c r="C811" s="1"/>
      <c r="D811" s="2"/>
      <c r="E811" s="1"/>
      <c r="F811" s="1"/>
      <c r="G811" s="516"/>
      <c r="H811" s="1"/>
      <c r="I811" s="1"/>
      <c r="J811" s="2"/>
      <c r="K811" s="1"/>
      <c r="L811" s="1"/>
      <c r="M811" s="11"/>
      <c r="N811" s="11"/>
      <c r="O811" s="38"/>
      <c r="P811" s="38"/>
      <c r="Q811" s="38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>
      <c r="A812" s="186" t="s">
        <v>197</v>
      </c>
      <c r="B812" s="1"/>
      <c r="C812" s="182"/>
      <c r="D812" s="2"/>
      <c r="E812" s="1"/>
      <c r="F812" s="1"/>
      <c r="G812" s="516"/>
      <c r="H812" s="1"/>
      <c r="I812" s="1"/>
      <c r="J812" s="2"/>
      <c r="K812" s="1"/>
      <c r="L812" s="1"/>
      <c r="M812" s="11"/>
      <c r="N812" s="11"/>
      <c r="O812" s="38"/>
      <c r="P812" s="38"/>
      <c r="Q812" s="38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>
      <c r="A813" s="186" t="s">
        <v>275</v>
      </c>
      <c r="B813" s="1"/>
      <c r="C813" s="182">
        <v>12</v>
      </c>
      <c r="D813" s="247">
        <f>D875</f>
        <v>1313</v>
      </c>
      <c r="E813" s="184"/>
      <c r="F813" s="2">
        <f>ROUND(D813*C813,0)</f>
        <v>15756</v>
      </c>
      <c r="G813" s="216">
        <v>1313</v>
      </c>
      <c r="H813" s="184"/>
      <c r="I813" s="2">
        <f>ROUND(G813*$C813,0)</f>
        <v>15756</v>
      </c>
      <c r="J813" s="247">
        <f>J895</f>
        <v>1313</v>
      </c>
      <c r="K813" s="184"/>
      <c r="L813" s="2">
        <f>ROUND(J813*$C813,0)</f>
        <v>15756</v>
      </c>
      <c r="M813" s="11"/>
      <c r="N813" s="11"/>
      <c r="O813" s="104"/>
      <c r="P813" s="38"/>
      <c r="Q813" s="38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>
      <c r="A814" s="186" t="s">
        <v>276</v>
      </c>
      <c r="B814" s="1"/>
      <c r="C814" s="182">
        <v>0</v>
      </c>
      <c r="D814" s="247">
        <f>D876</f>
        <v>1587</v>
      </c>
      <c r="E814" s="187"/>
      <c r="F814" s="2">
        <f>ROUND(D814*C814,0)</f>
        <v>0</v>
      </c>
      <c r="G814" s="216">
        <v>1587</v>
      </c>
      <c r="H814" s="187"/>
      <c r="I814" s="2">
        <f>ROUND(G814*$C814,0)</f>
        <v>0</v>
      </c>
      <c r="J814" s="247">
        <f>J896</f>
        <v>1587</v>
      </c>
      <c r="K814" s="187"/>
      <c r="L814" s="2">
        <f>ROUND(J814*$C814,0)</f>
        <v>0</v>
      </c>
      <c r="M814" s="11"/>
      <c r="N814" s="11"/>
      <c r="O814" s="104"/>
      <c r="P814" s="38"/>
      <c r="Q814" s="38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>
      <c r="A815" s="186" t="s">
        <v>198</v>
      </c>
      <c r="B815" s="1"/>
      <c r="C815" s="182">
        <f>SUM(C813:C814)</f>
        <v>12</v>
      </c>
      <c r="D815" s="247"/>
      <c r="E815" s="184"/>
      <c r="F815" s="2" t="s">
        <v>13</v>
      </c>
      <c r="G815" s="216">
        <v>0</v>
      </c>
      <c r="H815" s="184"/>
      <c r="I815" s="2" t="s">
        <v>13</v>
      </c>
      <c r="J815" s="247">
        <f>U858</f>
        <v>0</v>
      </c>
      <c r="K815" s="184"/>
      <c r="L815" s="2" t="s">
        <v>13</v>
      </c>
      <c r="M815" s="279"/>
      <c r="N815" s="185"/>
      <c r="O815" s="477"/>
      <c r="P815" s="38"/>
      <c r="Q815" s="38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>
      <c r="A816" s="186" t="s">
        <v>277</v>
      </c>
      <c r="B816" s="1"/>
      <c r="C816" s="182">
        <v>27697</v>
      </c>
      <c r="D816" s="247">
        <f>D878</f>
        <v>1.22</v>
      </c>
      <c r="E816" s="184"/>
      <c r="F816" s="2">
        <f>ROUND(D816*C816,0)</f>
        <v>33790</v>
      </c>
      <c r="G816" s="216">
        <v>1.22</v>
      </c>
      <c r="H816" s="184"/>
      <c r="I816" s="2">
        <f>ROUND(G816*$C816,0)</f>
        <v>33790</v>
      </c>
      <c r="J816" s="247">
        <f>J898</f>
        <v>1.22</v>
      </c>
      <c r="K816" s="184"/>
      <c r="L816" s="2">
        <f>ROUND(J816*$C816,0)</f>
        <v>33790</v>
      </c>
      <c r="M816" s="11"/>
      <c r="N816" s="11"/>
      <c r="O816" s="104"/>
      <c r="P816" s="38"/>
      <c r="Q816" s="38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6">
      <c r="A817" s="186" t="s">
        <v>278</v>
      </c>
      <c r="B817" s="1"/>
      <c r="C817" s="182">
        <v>0</v>
      </c>
      <c r="D817" s="247">
        <f>D879</f>
        <v>1.0900000000000001</v>
      </c>
      <c r="E817" s="184"/>
      <c r="F817" s="2">
        <f>ROUND(D817*C817,0)</f>
        <v>0</v>
      </c>
      <c r="G817" s="216">
        <v>1.0900000000000001</v>
      </c>
      <c r="H817" s="184"/>
      <c r="I817" s="2">
        <f>ROUND(G817*$C817,0)</f>
        <v>0</v>
      </c>
      <c r="J817" s="247">
        <f>J899</f>
        <v>1.0900000000000001</v>
      </c>
      <c r="K817" s="184"/>
      <c r="L817" s="2">
        <f>ROUND(J817*$C817,0)</f>
        <v>0</v>
      </c>
      <c r="M817" s="11"/>
      <c r="N817" s="185"/>
      <c r="O817" s="38"/>
      <c r="P817" s="38"/>
      <c r="Q817" s="38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6">
      <c r="A818" s="284" t="s">
        <v>539</v>
      </c>
      <c r="B818" s="1"/>
      <c r="C818" s="182">
        <v>20114.639175257729</v>
      </c>
      <c r="D818" s="695">
        <f>D880</f>
        <v>8.73</v>
      </c>
      <c r="E818" s="184"/>
      <c r="F818" s="2">
        <f>D818*C818</f>
        <v>175600.8</v>
      </c>
      <c r="G818" s="216">
        <v>8.73</v>
      </c>
      <c r="H818" s="184"/>
      <c r="I818" s="2">
        <f>G818*C818</f>
        <v>175600.8</v>
      </c>
      <c r="J818" s="247">
        <f>J900</f>
        <v>8.73</v>
      </c>
      <c r="K818" s="184"/>
      <c r="L818" s="2">
        <f>J818*C818</f>
        <v>175600.8</v>
      </c>
      <c r="M818" s="11"/>
      <c r="N818" s="279"/>
      <c r="O818" s="38"/>
      <c r="P818" s="38"/>
      <c r="Q818" s="38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6">
      <c r="A819" s="186" t="s">
        <v>230</v>
      </c>
      <c r="B819" s="1"/>
      <c r="C819" s="182"/>
      <c r="D819" s="247"/>
      <c r="E819" s="184"/>
      <c r="F819" s="2"/>
      <c r="G819" s="216"/>
      <c r="H819" s="184"/>
      <c r="I819" s="2"/>
      <c r="J819" s="247"/>
      <c r="K819" s="184"/>
      <c r="L819" s="2"/>
      <c r="M819" s="11"/>
      <c r="N819" s="11"/>
      <c r="O819" s="38"/>
      <c r="P819" s="38"/>
      <c r="Q819" s="38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6">
      <c r="A820" s="186" t="s">
        <v>268</v>
      </c>
      <c r="B820" s="1"/>
      <c r="C820" s="182">
        <v>2630000</v>
      </c>
      <c r="D820" s="250"/>
      <c r="E820" s="184"/>
      <c r="F820" s="2"/>
      <c r="G820" s="749"/>
      <c r="H820" s="184"/>
      <c r="I820" s="2"/>
      <c r="J820" s="250"/>
      <c r="K820" s="184"/>
      <c r="L820" s="2"/>
      <c r="M820" s="11"/>
      <c r="N820" s="279"/>
      <c r="O820" s="38"/>
      <c r="P820" s="38"/>
      <c r="Q820" s="38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6">
      <c r="A821" s="172" t="s">
        <v>524</v>
      </c>
      <c r="B821" s="1"/>
      <c r="C821" s="182">
        <f>C903/C906*C820</f>
        <v>1034755.3414975932</v>
      </c>
      <c r="D821" s="245">
        <f>D883</f>
        <v>5.3079999999999998</v>
      </c>
      <c r="E821" s="184" t="s">
        <v>178</v>
      </c>
      <c r="F821" s="184">
        <f>ROUND(D821/100*C821,0)</f>
        <v>54925</v>
      </c>
      <c r="G821" s="287">
        <v>5.6310000000000002</v>
      </c>
      <c r="H821" s="184" t="s">
        <v>178</v>
      </c>
      <c r="I821" s="184">
        <f>ROUND(G821/100*$C821,0)</f>
        <v>58267</v>
      </c>
      <c r="J821" s="245">
        <f ca="1">J883</f>
        <v>5.617</v>
      </c>
      <c r="K821" s="184" t="s">
        <v>178</v>
      </c>
      <c r="L821" s="184">
        <f ca="1">ROUND(J821/100*$C821,0)</f>
        <v>58122</v>
      </c>
      <c r="M821" s="11"/>
      <c r="N821" s="11"/>
      <c r="O821" s="38"/>
      <c r="P821" s="38"/>
      <c r="Q821" s="38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6">
      <c r="A822" s="172" t="s">
        <v>525</v>
      </c>
      <c r="B822" s="1"/>
      <c r="C822" s="182">
        <f>C828-C821</f>
        <v>1595244.6585024069</v>
      </c>
      <c r="D822" s="245">
        <f>D884</f>
        <v>4.375</v>
      </c>
      <c r="E822" s="184" t="s">
        <v>178</v>
      </c>
      <c r="F822" s="184">
        <f>ROUND(D822/100*C822,0)</f>
        <v>69792</v>
      </c>
      <c r="G822" s="287">
        <v>4.6980000000000004</v>
      </c>
      <c r="H822" s="184" t="s">
        <v>178</v>
      </c>
      <c r="I822" s="184">
        <f>ROUND(G822/100*$C822,0)</f>
        <v>74945</v>
      </c>
      <c r="J822" s="245">
        <f ca="1">J884</f>
        <v>4.6840000000000002</v>
      </c>
      <c r="K822" s="184" t="s">
        <v>178</v>
      </c>
      <c r="L822" s="184">
        <f ca="1">ROUND(J822/100*$C822,0)</f>
        <v>74721</v>
      </c>
      <c r="M822" s="11"/>
      <c r="N822" s="279"/>
      <c r="O822" s="38"/>
      <c r="P822" s="38"/>
      <c r="Q822" s="38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6">
      <c r="A823" s="186" t="s">
        <v>204</v>
      </c>
      <c r="B823" s="1"/>
      <c r="C823" s="182">
        <v>12558</v>
      </c>
      <c r="D823" s="216">
        <f>D885</f>
        <v>0.56999999999999995</v>
      </c>
      <c r="E823" s="184"/>
      <c r="F823" s="2">
        <f>C823*D823</f>
        <v>7158.0599999999995</v>
      </c>
      <c r="G823" s="216">
        <v>0.56999999999999995</v>
      </c>
      <c r="H823" s="184"/>
      <c r="I823" s="2">
        <f>G823*C823</f>
        <v>7158.0599999999995</v>
      </c>
      <c r="J823" s="216">
        <f>J885</f>
        <v>0.56999999999999995</v>
      </c>
      <c r="K823" s="184"/>
      <c r="L823" s="2">
        <f>J823*F823</f>
        <v>4080.0941999999995</v>
      </c>
      <c r="M823" s="512"/>
      <c r="N823" s="279"/>
      <c r="O823" s="38"/>
      <c r="P823" s="11"/>
      <c r="Q823" s="11"/>
      <c r="R823" s="11"/>
      <c r="S823" s="11"/>
      <c r="T823" s="11"/>
      <c r="U823" s="11"/>
      <c r="V823" s="11"/>
      <c r="Y823" s="11"/>
      <c r="Z823" s="11"/>
      <c r="AA823" s="11"/>
      <c r="AB823" s="11"/>
      <c r="AC823" s="11"/>
      <c r="AD823" s="11"/>
      <c r="AE823" s="11"/>
      <c r="AF823" s="11"/>
    </row>
    <row r="824" spans="1:36">
      <c r="A824" s="172" t="s">
        <v>237</v>
      </c>
      <c r="B824" s="1"/>
      <c r="C824" s="182">
        <v>3816</v>
      </c>
      <c r="D824" s="197">
        <v>4.3499999999999996</v>
      </c>
      <c r="E824" s="184"/>
      <c r="F824" s="184">
        <f>ROUND(D824*$C824,0)</f>
        <v>16600</v>
      </c>
      <c r="G824" s="216">
        <v>4.3499999999999996</v>
      </c>
      <c r="H824" s="184"/>
      <c r="I824" s="184">
        <f>ROUND($C824*G824,0)</f>
        <v>16600</v>
      </c>
      <c r="J824" s="197">
        <f t="shared" ref="J824:J825" si="69">G824</f>
        <v>4.3499999999999996</v>
      </c>
      <c r="K824" s="184"/>
      <c r="L824" s="184">
        <f>ROUND($C824*J824,0)</f>
        <v>16600</v>
      </c>
      <c r="M824" s="11"/>
      <c r="N824" s="279"/>
      <c r="O824" s="38"/>
      <c r="P824" s="38"/>
      <c r="Q824" s="38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6">
      <c r="A825" s="172" t="s">
        <v>238</v>
      </c>
      <c r="B825" s="1"/>
      <c r="C825" s="182">
        <v>563</v>
      </c>
      <c r="D825" s="197">
        <v>34.799999999999997</v>
      </c>
      <c r="E825" s="184"/>
      <c r="F825" s="184">
        <f>ROUND(D825*$C825,0)</f>
        <v>19592</v>
      </c>
      <c r="G825" s="216">
        <v>34.799999999999997</v>
      </c>
      <c r="H825" s="184"/>
      <c r="I825" s="184">
        <f>ROUND($C825*G825,0)</f>
        <v>19592</v>
      </c>
      <c r="J825" s="197">
        <f t="shared" si="69"/>
        <v>34.799999999999997</v>
      </c>
      <c r="K825" s="184"/>
      <c r="L825" s="184">
        <f>ROUND($C825*J825,0)</f>
        <v>19592</v>
      </c>
      <c r="M825" s="11"/>
      <c r="N825" s="279"/>
      <c r="O825" s="38"/>
      <c r="P825" s="38"/>
      <c r="Q825" s="38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6">
      <c r="A826" s="3" t="s">
        <v>239</v>
      </c>
      <c r="B826" s="166"/>
      <c r="C826" s="182">
        <v>625</v>
      </c>
      <c r="D826" s="255">
        <v>21.231999999999999</v>
      </c>
      <c r="E826" s="184" t="s">
        <v>178</v>
      </c>
      <c r="F826" s="184">
        <f>ROUND($C826*D826/100,0)</f>
        <v>133</v>
      </c>
      <c r="G826" s="750">
        <v>22.524000000000001</v>
      </c>
      <c r="H826" s="184" t="s">
        <v>178</v>
      </c>
      <c r="I826" s="184">
        <f>ROUND($C826*G826/100,0)</f>
        <v>141</v>
      </c>
      <c r="J826" s="255">
        <f ca="1">ROUND((J821)*4,3)</f>
        <v>22.468</v>
      </c>
      <c r="K826" s="184" t="s">
        <v>178</v>
      </c>
      <c r="L826" s="184">
        <f ca="1">ROUND($C826*J826/100,0)</f>
        <v>140</v>
      </c>
      <c r="M826" s="11"/>
      <c r="N826" s="279"/>
      <c r="O826" s="38"/>
      <c r="P826" s="38"/>
      <c r="Q826" s="38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6" s="545" customFormat="1">
      <c r="A827" s="524" t="s">
        <v>488</v>
      </c>
      <c r="C827" s="547">
        <f>C820</f>
        <v>2630000</v>
      </c>
      <c r="D827" s="132">
        <v>0</v>
      </c>
      <c r="E827" s="546"/>
      <c r="F827" s="548"/>
      <c r="G827" s="751">
        <v>4.6980000000000004</v>
      </c>
      <c r="H827" s="529" t="s">
        <v>178</v>
      </c>
      <c r="I827" s="548">
        <v>0</v>
      </c>
      <c r="J827" s="556">
        <f ca="1">J884</f>
        <v>4.6840000000000002</v>
      </c>
      <c r="K827" s="529" t="s">
        <v>178</v>
      </c>
      <c r="L827" s="548">
        <v>0</v>
      </c>
      <c r="M827" s="546"/>
      <c r="N827" s="546"/>
      <c r="O827" s="315"/>
      <c r="P827" s="546"/>
      <c r="Q827" s="546"/>
      <c r="R827" s="700"/>
      <c r="S827" s="700"/>
      <c r="T827" s="546"/>
      <c r="U827" s="546"/>
      <c r="V827" s="546"/>
      <c r="X827" s="546"/>
      <c r="Y827" s="546"/>
      <c r="Z827" s="546"/>
      <c r="AA827" s="546"/>
      <c r="AB827" s="546"/>
      <c r="AC827" s="546"/>
      <c r="AD827" s="546"/>
      <c r="AE827" s="546"/>
      <c r="AF827" s="546"/>
      <c r="AG827" s="546"/>
      <c r="AH827" s="546"/>
      <c r="AJ827" s="549"/>
    </row>
    <row r="828" spans="1:36">
      <c r="A828" s="1" t="s">
        <v>185</v>
      </c>
      <c r="B828" s="1"/>
      <c r="C828" s="182">
        <f>C827</f>
        <v>2630000</v>
      </c>
      <c r="D828" s="193"/>
      <c r="E828" s="1"/>
      <c r="F828" s="2">
        <f>SUM(F813:F826)</f>
        <v>393346.86</v>
      </c>
      <c r="G828" s="733"/>
      <c r="H828" s="1"/>
      <c r="I828" s="2">
        <f>SUM(I813:I826)</f>
        <v>401849.86</v>
      </c>
      <c r="J828" s="193"/>
      <c r="K828" s="1"/>
      <c r="L828" s="2">
        <f ca="1">SUM(L813:L826)</f>
        <v>398401.89419999998</v>
      </c>
      <c r="M828" s="11"/>
      <c r="N828" s="11"/>
      <c r="O828" s="38"/>
      <c r="P828" s="38"/>
      <c r="Q828" s="38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6">
      <c r="A829" s="1" t="s">
        <v>167</v>
      </c>
      <c r="B829" s="1"/>
      <c r="C829" s="182">
        <v>49157.633181796118</v>
      </c>
      <c r="D829" s="172"/>
      <c r="E829" s="172"/>
      <c r="F829" s="204">
        <v>2312.6842468239438</v>
      </c>
      <c r="G829" s="284"/>
      <c r="H829" s="172"/>
      <c r="I829" s="204">
        <f>F829</f>
        <v>2312.6842468239438</v>
      </c>
      <c r="J829" s="172"/>
      <c r="K829" s="172"/>
      <c r="L829" s="204">
        <f>I829</f>
        <v>2312.6842468239438</v>
      </c>
      <c r="M829" s="11"/>
      <c r="N829" s="11"/>
      <c r="O829" s="38"/>
      <c r="P829" s="38"/>
      <c r="Q829" s="38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6" ht="16.5" thickBot="1">
      <c r="A830" s="1" t="s">
        <v>186</v>
      </c>
      <c r="B830" s="1"/>
      <c r="C830" s="256">
        <f>SUM(C828)+C829</f>
        <v>2679157.6331817959</v>
      </c>
      <c r="D830" s="205"/>
      <c r="E830" s="208"/>
      <c r="F830" s="207">
        <f>F828+F829</f>
        <v>395659.54424682393</v>
      </c>
      <c r="G830" s="741"/>
      <c r="H830" s="208"/>
      <c r="I830" s="207">
        <f>I828+I829</f>
        <v>404162.54424682393</v>
      </c>
      <c r="J830" s="205"/>
      <c r="K830" s="208"/>
      <c r="L830" s="207">
        <f ca="1">L828+L829</f>
        <v>400714.57844682393</v>
      </c>
      <c r="M830" s="11"/>
      <c r="N830" s="11"/>
      <c r="O830" s="279"/>
      <c r="P830" s="500"/>
      <c r="Q830" s="500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6" ht="16.5" thickTop="1">
      <c r="A831" s="1"/>
      <c r="B831" s="1"/>
      <c r="C831" s="12"/>
      <c r="D831" s="200"/>
      <c r="E831" s="1"/>
      <c r="F831" s="2"/>
      <c r="G831" s="216"/>
      <c r="H831" s="1"/>
      <c r="I831" s="2" t="s">
        <v>13</v>
      </c>
      <c r="J831" s="200"/>
      <c r="K831" s="1"/>
      <c r="L831" s="2" t="s">
        <v>13</v>
      </c>
      <c r="M831" s="11"/>
      <c r="N831" s="11"/>
      <c r="O831" s="279"/>
      <c r="P831" s="11"/>
      <c r="Q831" s="512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6">
      <c r="A832" s="156" t="s">
        <v>280</v>
      </c>
      <c r="B832" s="1"/>
      <c r="C832" s="1"/>
      <c r="D832" s="2"/>
      <c r="E832" s="1"/>
      <c r="F832" s="1"/>
      <c r="G832" s="516"/>
      <c r="H832" s="1"/>
      <c r="I832" s="1"/>
      <c r="J832" s="2"/>
      <c r="K832" s="1"/>
      <c r="L832" s="1"/>
      <c r="M832" s="11"/>
      <c r="N832" s="11"/>
      <c r="O832" s="853" t="s">
        <v>1458</v>
      </c>
      <c r="P832" s="500"/>
      <c r="Q832" s="38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7">
      <c r="A833" s="172" t="s">
        <v>281</v>
      </c>
      <c r="B833" s="1"/>
      <c r="C833" s="1"/>
      <c r="D833" s="2"/>
      <c r="E833" s="1"/>
      <c r="F833" s="1"/>
      <c r="G833" s="516"/>
      <c r="H833" s="1"/>
      <c r="I833" s="1"/>
      <c r="J833" s="2"/>
      <c r="K833" s="1"/>
      <c r="L833" s="1"/>
      <c r="M833" s="11"/>
      <c r="N833" s="11"/>
      <c r="O833" s="852">
        <f ca="1">'Exhibit No.__(RMM-2)pg1'!O27*1000</f>
        <v>-54947.95677843281</v>
      </c>
      <c r="P833" s="38"/>
      <c r="Q833" s="38"/>
      <c r="R833" s="38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7">
      <c r="A834" s="186"/>
      <c r="B834" s="1"/>
      <c r="C834" s="1"/>
      <c r="D834" s="2"/>
      <c r="E834" s="1"/>
      <c r="F834" s="1"/>
      <c r="G834" s="516"/>
      <c r="H834" s="1"/>
      <c r="I834" s="1"/>
      <c r="J834" s="2"/>
      <c r="K834" s="1"/>
      <c r="L834" s="1"/>
      <c r="M834" s="11"/>
      <c r="N834" s="11"/>
      <c r="O834" s="38"/>
      <c r="P834" s="38"/>
      <c r="Q834" s="38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7">
      <c r="A835" s="186" t="s">
        <v>197</v>
      </c>
      <c r="B835" s="1"/>
      <c r="C835" s="182"/>
      <c r="D835" s="2"/>
      <c r="E835" s="1"/>
      <c r="F835" s="1"/>
      <c r="G835" s="516"/>
      <c r="H835" s="1"/>
      <c r="I835" s="1"/>
      <c r="J835" s="2"/>
      <c r="K835" s="1"/>
      <c r="L835" s="1"/>
      <c r="M835" s="11"/>
      <c r="N835" s="11"/>
      <c r="O835" s="38"/>
      <c r="P835" s="38"/>
      <c r="Q835" s="38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7">
      <c r="A836" s="186" t="s">
        <v>275</v>
      </c>
      <c r="B836" s="1"/>
      <c r="C836" s="182">
        <f t="shared" ref="C836:C841" si="70">C856+C1032</f>
        <v>773.72727272727298</v>
      </c>
      <c r="D836" s="200"/>
      <c r="E836" s="184"/>
      <c r="F836" s="2">
        <f>F856+F1032</f>
        <v>1019996</v>
      </c>
      <c r="G836" s="216"/>
      <c r="H836" s="184"/>
      <c r="I836" s="2">
        <f>I856+I1032</f>
        <v>1019996</v>
      </c>
      <c r="J836" s="200"/>
      <c r="K836" s="184"/>
      <c r="L836" s="2">
        <f>L856+L1032</f>
        <v>1019996</v>
      </c>
      <c r="M836" s="11"/>
      <c r="N836" s="11"/>
      <c r="O836" s="512"/>
      <c r="P836" s="11"/>
      <c r="Q836" s="11"/>
      <c r="R836" s="11"/>
      <c r="S836" s="11"/>
      <c r="T836" s="11"/>
      <c r="U836" s="11"/>
      <c r="V836" s="11"/>
      <c r="Y836" s="192"/>
      <c r="Z836" s="192"/>
      <c r="AF836" s="11"/>
      <c r="AG836" s="11"/>
      <c r="AH836" s="11"/>
      <c r="AI836" s="11"/>
      <c r="AJ836" s="11"/>
      <c r="AK836" s="11"/>
    </row>
    <row r="837" spans="1:37">
      <c r="A837" s="186" t="s">
        <v>276</v>
      </c>
      <c r="B837" s="1"/>
      <c r="C837" s="182">
        <f t="shared" si="70"/>
        <v>12</v>
      </c>
      <c r="D837" s="200"/>
      <c r="E837" s="187"/>
      <c r="F837" s="2">
        <f>F857+F1033</f>
        <v>35988</v>
      </c>
      <c r="G837" s="216"/>
      <c r="H837" s="187"/>
      <c r="I837" s="2">
        <f>I857+I1033</f>
        <v>35988</v>
      </c>
      <c r="J837" s="200"/>
      <c r="K837" s="187"/>
      <c r="L837" s="2">
        <f>L857+L1033</f>
        <v>35988</v>
      </c>
      <c r="M837" s="11"/>
      <c r="N837" s="11"/>
      <c r="O837" s="512"/>
      <c r="P837" s="11"/>
      <c r="Q837" s="11"/>
      <c r="R837" s="710"/>
      <c r="S837" s="711"/>
      <c r="T837" s="711"/>
      <c r="U837" s="711"/>
      <c r="V837" s="711"/>
      <c r="W837" s="49"/>
      <c r="X837" s="101"/>
      <c r="Y837" s="192"/>
      <c r="Z837" s="192"/>
      <c r="AF837" s="11"/>
      <c r="AG837" s="11"/>
      <c r="AH837" s="11"/>
      <c r="AI837" s="11"/>
      <c r="AJ837" s="11"/>
      <c r="AK837" s="11"/>
    </row>
    <row r="838" spans="1:37">
      <c r="A838" s="186" t="s">
        <v>198</v>
      </c>
      <c r="B838" s="1"/>
      <c r="C838" s="182">
        <f t="shared" si="70"/>
        <v>785.72727272727298</v>
      </c>
      <c r="D838" s="200"/>
      <c r="E838" s="184"/>
      <c r="F838" s="2"/>
      <c r="G838" s="216"/>
      <c r="H838" s="184"/>
      <c r="I838" s="2"/>
      <c r="J838" s="200"/>
      <c r="K838" s="184"/>
      <c r="L838" s="2"/>
      <c r="M838" s="11"/>
      <c r="N838" s="11"/>
      <c r="O838" s="490"/>
      <c r="P838" s="11"/>
      <c r="Q838" s="11"/>
      <c r="R838" s="711"/>
      <c r="S838" s="711"/>
      <c r="T838" s="711"/>
      <c r="U838" s="711"/>
      <c r="V838" s="711"/>
      <c r="W838" s="49"/>
      <c r="X838" s="101"/>
      <c r="AF838" s="11"/>
      <c r="AG838" s="11"/>
      <c r="AH838" s="11"/>
      <c r="AI838" s="11"/>
      <c r="AJ838" s="11"/>
      <c r="AK838" s="11"/>
    </row>
    <row r="839" spans="1:37">
      <c r="A839" s="186" t="s">
        <v>277</v>
      </c>
      <c r="B839" s="1"/>
      <c r="C839" s="182">
        <f t="shared" si="70"/>
        <v>1121158.068965517</v>
      </c>
      <c r="D839" s="200"/>
      <c r="E839" s="184"/>
      <c r="F839" s="2">
        <f>F859+F1035</f>
        <v>1242181</v>
      </c>
      <c r="G839" s="216"/>
      <c r="H839" s="184"/>
      <c r="I839" s="2">
        <f>I859+I1035</f>
        <v>1242181</v>
      </c>
      <c r="J839" s="200"/>
      <c r="K839" s="184"/>
      <c r="L839" s="2">
        <f>L859+L1035</f>
        <v>1242181</v>
      </c>
      <c r="M839" s="11"/>
      <c r="N839" s="11"/>
      <c r="O839" s="512"/>
      <c r="P839" s="11"/>
      <c r="Q839" s="11"/>
      <c r="R839" s="711"/>
      <c r="S839" s="711"/>
      <c r="T839" s="711"/>
      <c r="U839" s="711"/>
      <c r="V839" s="711"/>
      <c r="W839" s="49"/>
      <c r="X839" s="101"/>
      <c r="AF839" s="11"/>
      <c r="AG839" s="11"/>
      <c r="AH839" s="11"/>
      <c r="AI839" s="11"/>
      <c r="AJ839" s="11"/>
      <c r="AK839" s="11"/>
    </row>
    <row r="840" spans="1:37">
      <c r="A840" s="186" t="s">
        <v>278</v>
      </c>
      <c r="B840" s="1"/>
      <c r="C840" s="182">
        <f t="shared" si="70"/>
        <v>686556</v>
      </c>
      <c r="D840" s="200"/>
      <c r="E840" s="184"/>
      <c r="F840" s="2">
        <f>F860+F1036</f>
        <v>178505</v>
      </c>
      <c r="G840" s="216"/>
      <c r="H840" s="184"/>
      <c r="I840" s="2">
        <f>I860+I1036</f>
        <v>178505</v>
      </c>
      <c r="J840" s="200"/>
      <c r="K840" s="184"/>
      <c r="L840" s="2">
        <f>L860+L1036</f>
        <v>178505</v>
      </c>
      <c r="M840" s="11"/>
      <c r="N840" s="11"/>
      <c r="O840" s="512"/>
      <c r="P840" s="11"/>
      <c r="Q840" s="11"/>
      <c r="R840" s="711"/>
      <c r="S840" s="711"/>
      <c r="T840" s="711"/>
      <c r="U840" s="711"/>
      <c r="V840" s="711"/>
      <c r="W840" s="49"/>
      <c r="X840" s="101"/>
      <c r="AF840" s="11"/>
      <c r="AG840" s="11"/>
      <c r="AH840" s="11"/>
      <c r="AI840" s="11"/>
      <c r="AJ840" s="11"/>
      <c r="AK840" s="11"/>
    </row>
    <row r="841" spans="1:37">
      <c r="A841" s="284" t="s">
        <v>539</v>
      </c>
      <c r="B841" s="1"/>
      <c r="C841" s="182">
        <f t="shared" si="70"/>
        <v>1584894.432</v>
      </c>
      <c r="D841" s="200"/>
      <c r="E841" s="184"/>
      <c r="F841" s="2">
        <f>F861+F1037</f>
        <v>13984002</v>
      </c>
      <c r="G841" s="216"/>
      <c r="H841" s="184"/>
      <c r="I841" s="2">
        <f>I861+I1037</f>
        <v>13984002</v>
      </c>
      <c r="J841" s="200"/>
      <c r="K841" s="184"/>
      <c r="L841" s="2">
        <f>L861+L1037</f>
        <v>13984002</v>
      </c>
      <c r="M841" s="11"/>
      <c r="N841" s="11"/>
      <c r="O841" s="512"/>
      <c r="P841" s="11"/>
      <c r="Q841" s="11"/>
      <c r="R841" s="711"/>
      <c r="S841" s="711"/>
      <c r="T841" s="711"/>
      <c r="U841" s="711"/>
      <c r="V841" s="711"/>
      <c r="W841" s="49"/>
      <c r="X841" s="101"/>
      <c r="AF841" s="11"/>
      <c r="AG841" s="11"/>
      <c r="AH841" s="11"/>
      <c r="AI841" s="11"/>
      <c r="AJ841" s="11"/>
      <c r="AK841" s="11"/>
    </row>
    <row r="842" spans="1:37">
      <c r="A842" s="186" t="s">
        <v>230</v>
      </c>
      <c r="B842" s="1"/>
      <c r="C842" s="182"/>
      <c r="D842" s="200"/>
      <c r="E842" s="184"/>
      <c r="F842" s="2"/>
      <c r="G842" s="216"/>
      <c r="H842" s="184"/>
      <c r="I842" s="2"/>
      <c r="J842" s="200"/>
      <c r="K842" s="184"/>
      <c r="L842" s="2"/>
      <c r="M842" s="11"/>
      <c r="N842" s="11"/>
      <c r="O842" s="490"/>
      <c r="P842" s="38"/>
      <c r="Q842" s="38"/>
      <c r="R842" s="11"/>
      <c r="S842" s="11"/>
      <c r="T842" s="11"/>
      <c r="U842" s="11"/>
      <c r="V842" s="11"/>
      <c r="AA842" s="11"/>
      <c r="AB842" s="11"/>
      <c r="AC842" s="11"/>
      <c r="AD842" s="11"/>
      <c r="AE842" s="11"/>
      <c r="AF842" s="11"/>
      <c r="AG842" s="11"/>
      <c r="AH842" s="11"/>
    </row>
    <row r="843" spans="1:37">
      <c r="A843" s="186" t="s">
        <v>268</v>
      </c>
      <c r="B843" s="1"/>
      <c r="C843" s="182">
        <f t="shared" ref="C843:C848" si="71">C863+C1039</f>
        <v>858139786.12835383</v>
      </c>
      <c r="D843" s="521"/>
      <c r="E843" s="184"/>
      <c r="F843" s="2">
        <f t="shared" ref="F843:F848" si="72">F863+F1039</f>
        <v>0</v>
      </c>
      <c r="G843" s="749"/>
      <c r="H843" s="184"/>
      <c r="I843" s="2">
        <f t="shared" ref="I843:I848" si="73">I863+I1039</f>
        <v>0</v>
      </c>
      <c r="J843" s="258"/>
      <c r="K843" s="184"/>
      <c r="L843" s="2">
        <f t="shared" ref="L843:L848" si="74">L863+L1039</f>
        <v>0</v>
      </c>
      <c r="M843" s="11"/>
      <c r="N843" s="11"/>
      <c r="O843" s="512"/>
      <c r="P843" s="38"/>
      <c r="Q843" s="38"/>
      <c r="R843" s="11"/>
      <c r="S843" s="11"/>
      <c r="T843" s="11"/>
      <c r="U843" s="11"/>
      <c r="V843" s="11"/>
      <c r="AA843" s="11"/>
      <c r="AB843" s="11"/>
      <c r="AC843" s="11"/>
      <c r="AD843" s="11"/>
      <c r="AE843" s="11"/>
      <c r="AF843" s="11"/>
      <c r="AG843" s="11"/>
      <c r="AH843" s="11"/>
    </row>
    <row r="844" spans="1:37">
      <c r="A844" s="172" t="s">
        <v>524</v>
      </c>
      <c r="B844" s="1"/>
      <c r="C844" s="182">
        <f t="shared" si="71"/>
        <v>339453752.09193075</v>
      </c>
      <c r="D844" s="515" t="s">
        <v>13</v>
      </c>
      <c r="E844" s="184" t="s">
        <v>13</v>
      </c>
      <c r="F844" s="2">
        <f t="shared" si="72"/>
        <v>17767079</v>
      </c>
      <c r="G844" s="287" t="s">
        <v>13</v>
      </c>
      <c r="H844" s="184" t="s">
        <v>13</v>
      </c>
      <c r="I844" s="2">
        <f t="shared" si="73"/>
        <v>18863514</v>
      </c>
      <c r="J844" s="515" t="s">
        <v>13</v>
      </c>
      <c r="K844" s="184" t="s">
        <v>13</v>
      </c>
      <c r="L844" s="2">
        <f t="shared" ca="1" si="74"/>
        <v>18821502</v>
      </c>
      <c r="M844" s="11"/>
      <c r="N844" s="11"/>
      <c r="O844" s="38"/>
      <c r="P844" s="38"/>
      <c r="Q844" s="38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7">
      <c r="A845" s="172" t="s">
        <v>525</v>
      </c>
      <c r="B845" s="1"/>
      <c r="C845" s="182">
        <f t="shared" si="71"/>
        <v>518686034.03642309</v>
      </c>
      <c r="D845" s="515" t="s">
        <v>13</v>
      </c>
      <c r="E845" s="184" t="s">
        <v>13</v>
      </c>
      <c r="F845" s="2">
        <f t="shared" si="72"/>
        <v>22310453</v>
      </c>
      <c r="G845" s="287" t="s">
        <v>13</v>
      </c>
      <c r="H845" s="184" t="s">
        <v>13</v>
      </c>
      <c r="I845" s="2">
        <f t="shared" si="73"/>
        <v>23985809</v>
      </c>
      <c r="J845" s="515" t="s">
        <v>13</v>
      </c>
      <c r="K845" s="184" t="s">
        <v>13</v>
      </c>
      <c r="L845" s="2">
        <f t="shared" ca="1" si="74"/>
        <v>23921588</v>
      </c>
      <c r="M845" s="11"/>
      <c r="N845" s="11"/>
      <c r="O845" s="38"/>
      <c r="P845" s="38"/>
      <c r="Q845" s="38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7">
      <c r="A846" s="186" t="s">
        <v>204</v>
      </c>
      <c r="B846" s="1"/>
      <c r="C846" s="182">
        <f t="shared" si="71"/>
        <v>179017.36363636321</v>
      </c>
      <c r="D846" s="189"/>
      <c r="E846" s="184"/>
      <c r="F846" s="2">
        <f t="shared" si="72"/>
        <v>101516.41727272703</v>
      </c>
      <c r="G846" s="216"/>
      <c r="H846" s="184"/>
      <c r="I846" s="2">
        <f t="shared" si="73"/>
        <v>101516.41727272702</v>
      </c>
      <c r="J846" s="189"/>
      <c r="K846" s="184"/>
      <c r="L846" s="2">
        <f t="shared" si="74"/>
        <v>101516.41727272702</v>
      </c>
      <c r="M846" s="512"/>
      <c r="N846" s="38"/>
      <c r="O846" s="38"/>
      <c r="P846" s="11"/>
      <c r="Q846" s="11"/>
      <c r="R846" s="11"/>
      <c r="S846" s="11"/>
      <c r="T846" s="11"/>
      <c r="U846" s="11"/>
      <c r="V846" s="11"/>
      <c r="Y846" s="11"/>
      <c r="Z846" s="11"/>
      <c r="AA846" s="11"/>
      <c r="AB846" s="11"/>
      <c r="AC846" s="11"/>
      <c r="AD846" s="11"/>
      <c r="AE846" s="11"/>
      <c r="AF846" s="11"/>
    </row>
    <row r="847" spans="1:37">
      <c r="A847" s="1" t="s">
        <v>185</v>
      </c>
      <c r="B847" s="1"/>
      <c r="C847" s="182">
        <f t="shared" si="71"/>
        <v>858139786.12835383</v>
      </c>
      <c r="D847" s="187"/>
      <c r="E847" s="1"/>
      <c r="F847" s="2">
        <f t="shared" si="72"/>
        <v>56639720.417272732</v>
      </c>
      <c r="G847" s="516"/>
      <c r="H847" s="1"/>
      <c r="I847" s="2">
        <f t="shared" si="73"/>
        <v>59411511.417272732</v>
      </c>
      <c r="J847" s="2"/>
      <c r="K847" s="1"/>
      <c r="L847" s="2">
        <f t="shared" ca="1" si="74"/>
        <v>59305278.417272732</v>
      </c>
      <c r="M847" s="11"/>
      <c r="N847" s="11"/>
      <c r="O847" s="38"/>
      <c r="P847" s="38"/>
      <c r="Q847" s="38"/>
      <c r="R847" s="11"/>
      <c r="S847" s="11"/>
      <c r="T847" s="11"/>
      <c r="U847" s="11"/>
      <c r="V847" s="11"/>
      <c r="AA847" s="11"/>
      <c r="AB847" s="11"/>
      <c r="AC847" s="11"/>
      <c r="AD847" s="11"/>
      <c r="AE847" s="11"/>
      <c r="AF847" s="11"/>
      <c r="AG847" s="11"/>
      <c r="AH847" s="11"/>
    </row>
    <row r="848" spans="1:37">
      <c r="A848" s="1" t="s">
        <v>167</v>
      </c>
      <c r="B848" s="1"/>
      <c r="C848" s="203">
        <f t="shared" si="71"/>
        <v>13301070.745551404</v>
      </c>
      <c r="D848" s="172"/>
      <c r="E848" s="172"/>
      <c r="F848" s="494">
        <f t="shared" si="72"/>
        <v>427250.33704310609</v>
      </c>
      <c r="G848" s="284"/>
      <c r="H848" s="172"/>
      <c r="I848" s="494">
        <f t="shared" si="73"/>
        <v>427250.33704310609</v>
      </c>
      <c r="J848" s="172"/>
      <c r="K848" s="172"/>
      <c r="L848" s="494">
        <f t="shared" si="74"/>
        <v>427250.33704310609</v>
      </c>
      <c r="M848" s="11"/>
      <c r="N848" s="11"/>
      <c r="O848" s="38"/>
      <c r="P848" s="38"/>
      <c r="Q848" s="38"/>
      <c r="R848" s="511"/>
      <c r="S848" s="511"/>
      <c r="T848" s="11"/>
      <c r="U848" s="11"/>
      <c r="V848" s="11"/>
      <c r="AA848" s="11"/>
      <c r="AB848" s="11"/>
      <c r="AC848" s="11"/>
      <c r="AD848" s="11"/>
      <c r="AE848" s="11"/>
      <c r="AF848" s="11"/>
      <c r="AG848" s="11"/>
      <c r="AH848" s="11"/>
    </row>
    <row r="849" spans="1:36" ht="16.5" thickBot="1">
      <c r="A849" s="1" t="s">
        <v>186</v>
      </c>
      <c r="B849" s="1"/>
      <c r="C849" s="497">
        <f>SUM(C847:C848)</f>
        <v>871440856.87390518</v>
      </c>
      <c r="D849" s="205"/>
      <c r="E849" s="208"/>
      <c r="F849" s="495">
        <f>F847+F848</f>
        <v>57066970.754315838</v>
      </c>
      <c r="G849" s="741"/>
      <c r="H849" s="208"/>
      <c r="I849" s="495">
        <f>I847+I848</f>
        <v>59838761.754315838</v>
      </c>
      <c r="J849" s="205"/>
      <c r="K849" s="208"/>
      <c r="L849" s="495">
        <f ca="1">L847+L848</f>
        <v>59732528.754315838</v>
      </c>
      <c r="M849" s="11"/>
      <c r="N849" s="11"/>
      <c r="O849" s="279"/>
      <c r="P849" s="500"/>
      <c r="Q849" s="500"/>
      <c r="R849" s="11"/>
      <c r="S849" s="11"/>
      <c r="T849" s="11"/>
      <c r="U849" s="11"/>
      <c r="V849" s="11"/>
      <c r="AA849" s="11"/>
      <c r="AB849" s="11"/>
      <c r="AC849" s="11"/>
      <c r="AD849" s="11"/>
      <c r="AE849" s="11"/>
      <c r="AF849" s="11"/>
      <c r="AG849" s="11"/>
      <c r="AH849" s="11"/>
    </row>
    <row r="850" spans="1:36" ht="16.5" hidden="1" thickTop="1">
      <c r="A850" s="1"/>
      <c r="B850" s="1"/>
      <c r="C850" s="12"/>
      <c r="D850" s="200" t="s">
        <v>13</v>
      </c>
      <c r="E850" s="1"/>
      <c r="F850" s="2"/>
      <c r="G850" s="216" t="s">
        <v>13</v>
      </c>
      <c r="H850" s="1"/>
      <c r="I850" s="2" t="s">
        <v>13</v>
      </c>
      <c r="J850" s="216" t="s">
        <v>13</v>
      </c>
      <c r="K850" s="1"/>
      <c r="L850" s="2" t="s">
        <v>13</v>
      </c>
      <c r="M850" s="11"/>
      <c r="N850" s="11"/>
      <c r="O850" s="279"/>
      <c r="P850" s="11"/>
      <c r="Q850" s="511"/>
      <c r="R850" s="11"/>
      <c r="S850" s="11"/>
      <c r="T850" s="11"/>
      <c r="U850" s="11"/>
      <c r="V850" s="11"/>
      <c r="AA850" s="11"/>
      <c r="AB850" s="11"/>
      <c r="AC850" s="11"/>
      <c r="AD850" s="11"/>
      <c r="AE850" s="11"/>
      <c r="AF850" s="11"/>
      <c r="AG850" s="11"/>
      <c r="AH850" s="11"/>
    </row>
    <row r="851" spans="1:36" ht="16.5" hidden="1" thickTop="1">
      <c r="A851" s="1"/>
      <c r="B851" s="1"/>
      <c r="C851" s="12"/>
      <c r="D851" s="200"/>
      <c r="E851" s="1"/>
      <c r="F851" s="2" t="s">
        <v>13</v>
      </c>
      <c r="G851" s="216"/>
      <c r="H851" s="1"/>
      <c r="I851" s="243"/>
      <c r="J851" s="200"/>
      <c r="K851" s="1"/>
      <c r="L851" s="243"/>
      <c r="M851" s="11"/>
      <c r="N851" s="11"/>
      <c r="O851" s="38"/>
      <c r="P851" s="38"/>
      <c r="Q851" s="38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6" ht="16.5" hidden="1" thickTop="1">
      <c r="A852" s="156" t="s">
        <v>280</v>
      </c>
      <c r="B852" s="1"/>
      <c r="C852" s="1"/>
      <c r="D852" s="2"/>
      <c r="E852" s="1"/>
      <c r="F852" s="1"/>
      <c r="G852" s="516"/>
      <c r="H852" s="1"/>
      <c r="I852" s="1"/>
      <c r="J852" s="2"/>
      <c r="K852" s="1"/>
      <c r="L852" s="1"/>
      <c r="M852" s="279"/>
      <c r="N852" s="279"/>
      <c r="O852" s="38"/>
      <c r="P852" s="38"/>
      <c r="Q852" s="38"/>
      <c r="R852" s="475"/>
      <c r="S852" s="18"/>
      <c r="T852" s="697"/>
      <c r="U852" s="698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6" ht="16.5" hidden="1" thickTop="1">
      <c r="A853" s="172" t="s">
        <v>282</v>
      </c>
      <c r="B853" s="1"/>
      <c r="C853" s="1"/>
      <c r="D853" s="2"/>
      <c r="E853" s="1"/>
      <c r="F853" s="1"/>
      <c r="G853" s="516"/>
      <c r="H853" s="1"/>
      <c r="I853" s="1"/>
      <c r="J853" s="2"/>
      <c r="K853" s="1"/>
      <c r="L853" s="1"/>
      <c r="M853" s="11"/>
      <c r="N853" s="11"/>
      <c r="O853" s="38"/>
      <c r="P853" s="38"/>
      <c r="Q853" s="38"/>
      <c r="R853" s="661"/>
      <c r="S853" s="661"/>
      <c r="T853" s="661"/>
      <c r="U853" s="66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6" ht="16.5" hidden="1" thickTop="1">
      <c r="A854" s="186"/>
      <c r="B854" s="1"/>
      <c r="C854" s="1"/>
      <c r="D854" s="2"/>
      <c r="E854" s="1"/>
      <c r="F854" s="1"/>
      <c r="G854" s="516"/>
      <c r="H854" s="1"/>
      <c r="I854" s="1"/>
      <c r="J854" s="2"/>
      <c r="K854" s="1"/>
      <c r="L854" s="1"/>
      <c r="M854" s="11"/>
      <c r="N854" s="11"/>
      <c r="O854" s="38"/>
      <c r="P854" s="38"/>
      <c r="Q854" s="38"/>
      <c r="R854" s="660"/>
      <c r="S854" s="11"/>
      <c r="T854" s="686"/>
      <c r="U854" s="660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6" ht="16.5" hidden="1" thickTop="1">
      <c r="A855" s="186" t="s">
        <v>197</v>
      </c>
      <c r="B855" s="1"/>
      <c r="C855" s="182"/>
      <c r="D855" s="2"/>
      <c r="E855" s="1"/>
      <c r="F855" s="1"/>
      <c r="G855" s="516"/>
      <c r="H855" s="1"/>
      <c r="I855" s="1"/>
      <c r="J855" s="2"/>
      <c r="K855" s="1"/>
      <c r="L855" s="1"/>
      <c r="M855" s="11"/>
      <c r="N855" s="11"/>
      <c r="O855" s="38"/>
      <c r="P855" s="11"/>
      <c r="Q855" s="11"/>
      <c r="R855" s="38"/>
      <c r="S855" s="11"/>
      <c r="T855" s="11"/>
      <c r="U855" s="11"/>
      <c r="V855" s="11"/>
      <c r="Z855" s="10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</row>
    <row r="856" spans="1:36" ht="16.5" hidden="1" thickTop="1">
      <c r="A856" s="186" t="s">
        <v>275</v>
      </c>
      <c r="B856" s="1"/>
      <c r="C856" s="182">
        <f>C875+C934</f>
        <v>773.72727272727298</v>
      </c>
      <c r="D856" s="276"/>
      <c r="E856" s="184"/>
      <c r="F856" s="184">
        <f>F875+F934</f>
        <v>1019996</v>
      </c>
      <c r="G856" s="4"/>
      <c r="H856" s="184"/>
      <c r="I856" s="184">
        <f>I875+I934</f>
        <v>1019996</v>
      </c>
      <c r="K856" s="184"/>
      <c r="L856" s="184">
        <f>L875+L934</f>
        <v>1019996</v>
      </c>
      <c r="M856" s="11"/>
      <c r="N856" s="11"/>
      <c r="O856" s="38"/>
      <c r="P856" s="512"/>
      <c r="Q856" s="104"/>
      <c r="R856" s="712"/>
      <c r="S856" s="660"/>
      <c r="T856" s="711"/>
      <c r="U856" s="300"/>
      <c r="V856" s="711"/>
      <c r="W856" s="101"/>
      <c r="X856" s="49"/>
      <c r="Y856" s="49"/>
      <c r="Z856" s="483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</row>
    <row r="857" spans="1:36" ht="16.5" hidden="1" thickTop="1">
      <c r="A857" s="186" t="s">
        <v>276</v>
      </c>
      <c r="B857" s="1"/>
      <c r="C857" s="182">
        <f>C876+C935</f>
        <v>0</v>
      </c>
      <c r="D857" s="276"/>
      <c r="E857" s="187"/>
      <c r="F857" s="184">
        <f>F876+F935</f>
        <v>0</v>
      </c>
      <c r="G857" s="4"/>
      <c r="H857" s="187"/>
      <c r="I857" s="184">
        <f>I876+I935</f>
        <v>0</v>
      </c>
      <c r="K857" s="187"/>
      <c r="L857" s="184">
        <f>L876+L935</f>
        <v>0</v>
      </c>
      <c r="M857" s="11"/>
      <c r="N857" s="11"/>
      <c r="O857" s="38"/>
      <c r="P857" s="512"/>
      <c r="Q857" s="104"/>
      <c r="R857" s="712"/>
      <c r="S857" s="11"/>
      <c r="T857" s="711"/>
      <c r="U857" s="300"/>
      <c r="V857" s="711"/>
      <c r="W857" s="101"/>
      <c r="X857" s="49"/>
      <c r="Y857" s="49"/>
      <c r="Z857" s="483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</row>
    <row r="858" spans="1:36" ht="16.5" hidden="1" thickTop="1">
      <c r="A858" s="186" t="s">
        <v>198</v>
      </c>
      <c r="B858" s="1"/>
      <c r="C858" s="182">
        <f>C995+C1015</f>
        <v>773.72727272727298</v>
      </c>
      <c r="D858" s="276"/>
      <c r="E858" s="184"/>
      <c r="F858" s="516" t="s">
        <v>13</v>
      </c>
      <c r="G858" s="4"/>
      <c r="H858" s="184"/>
      <c r="I858" s="516" t="s">
        <v>13</v>
      </c>
      <c r="K858" s="184"/>
      <c r="L858" s="516" t="s">
        <v>13</v>
      </c>
      <c r="M858" s="279"/>
      <c r="N858" s="185"/>
      <c r="O858" s="185"/>
      <c r="P858" s="490"/>
      <c r="Q858" s="490"/>
      <c r="R858" s="713"/>
      <c r="S858" s="11"/>
      <c r="T858" s="711"/>
      <c r="U858" s="300"/>
      <c r="V858" s="711"/>
      <c r="W858" s="101"/>
      <c r="X858" s="49"/>
      <c r="Y858" s="49"/>
      <c r="Z858" s="483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</row>
    <row r="859" spans="1:36" ht="16.5" hidden="1" thickTop="1">
      <c r="A859" s="186" t="s">
        <v>277</v>
      </c>
      <c r="B859" s="1"/>
      <c r="C859" s="182">
        <f>C878+C937</f>
        <v>1121158.068965517</v>
      </c>
      <c r="D859" s="276"/>
      <c r="E859" s="184"/>
      <c r="F859" s="184">
        <f>F878+F937</f>
        <v>1242181</v>
      </c>
      <c r="G859" s="4"/>
      <c r="H859" s="184"/>
      <c r="I859" s="184">
        <f>I878+I937</f>
        <v>1242181</v>
      </c>
      <c r="K859" s="184"/>
      <c r="L859" s="184">
        <f>L878+L937</f>
        <v>1242181</v>
      </c>
      <c r="M859" s="11"/>
      <c r="N859" s="11"/>
      <c r="O859" s="11"/>
      <c r="P859" s="104"/>
      <c r="Q859" s="104"/>
      <c r="R859" s="712"/>
      <c r="S859" s="11"/>
      <c r="T859" s="711"/>
      <c r="U859" s="300"/>
      <c r="V859" s="711"/>
      <c r="W859" s="101"/>
      <c r="X859" s="49"/>
      <c r="Y859" s="49"/>
      <c r="Z859" s="483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</row>
    <row r="860" spans="1:36" ht="16.5" hidden="1" thickTop="1">
      <c r="A860" s="186" t="s">
        <v>278</v>
      </c>
      <c r="B860" s="1"/>
      <c r="C860" s="182">
        <f>C879+C938</f>
        <v>0</v>
      </c>
      <c r="D860" s="276"/>
      <c r="E860" s="184"/>
      <c r="F860" s="184">
        <f>F879+F938</f>
        <v>0</v>
      </c>
      <c r="G860" s="4"/>
      <c r="H860" s="184"/>
      <c r="I860" s="184">
        <f>I879+I938</f>
        <v>0</v>
      </c>
      <c r="K860" s="184"/>
      <c r="L860" s="184">
        <f>L879+L938</f>
        <v>0</v>
      </c>
      <c r="M860" s="279"/>
      <c r="N860" s="185"/>
      <c r="O860" s="185"/>
      <c r="P860" s="490"/>
      <c r="Q860" s="104"/>
      <c r="R860" s="712"/>
      <c r="S860" s="11"/>
      <c r="T860" s="711"/>
      <c r="U860" s="300"/>
      <c r="V860" s="711"/>
      <c r="W860" s="101"/>
      <c r="X860" s="49"/>
      <c r="Y860" s="49"/>
      <c r="Z860" s="483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</row>
    <row r="861" spans="1:36" ht="16.5" hidden="1" thickTop="1">
      <c r="A861" s="284" t="s">
        <v>539</v>
      </c>
      <c r="B861" s="1"/>
      <c r="C861" s="182">
        <f>C880+C939</f>
        <v>901614.43199999991</v>
      </c>
      <c r="D861" s="276"/>
      <c r="E861" s="184"/>
      <c r="F861" s="184">
        <f>F880+F939</f>
        <v>7882312</v>
      </c>
      <c r="G861" s="4"/>
      <c r="H861" s="184"/>
      <c r="I861" s="184">
        <f>I880+I939</f>
        <v>7882312</v>
      </c>
      <c r="K861" s="184"/>
      <c r="L861" s="184">
        <f>L880+L939</f>
        <v>7882312</v>
      </c>
      <c r="M861" s="279"/>
      <c r="N861" s="185"/>
      <c r="O861" s="185"/>
      <c r="P861" s="490"/>
      <c r="Q861" s="104"/>
      <c r="R861" s="713"/>
      <c r="S861" s="38"/>
      <c r="T861" s="487"/>
      <c r="U861" s="288"/>
      <c r="V861" s="487"/>
      <c r="W861" s="483"/>
      <c r="X861" s="487"/>
      <c r="Y861" s="38"/>
      <c r="Z861" s="483"/>
      <c r="AA861" s="11"/>
      <c r="AB861" s="11"/>
      <c r="AC861" s="11"/>
      <c r="AD861" s="11"/>
      <c r="AE861" s="11"/>
      <c r="AF861" s="11"/>
      <c r="AG861" s="11"/>
      <c r="AH861" s="11"/>
    </row>
    <row r="862" spans="1:36" ht="16.5" hidden="1" thickTop="1">
      <c r="A862" s="186" t="s">
        <v>230</v>
      </c>
      <c r="B862" s="1"/>
      <c r="C862" s="28" t="s">
        <v>13</v>
      </c>
      <c r="D862" s="276"/>
      <c r="E862" s="184"/>
      <c r="F862" s="516" t="s">
        <v>13</v>
      </c>
      <c r="G862" s="4"/>
      <c r="H862" s="184"/>
      <c r="I862" s="516" t="s">
        <v>13</v>
      </c>
      <c r="K862" s="184"/>
      <c r="L862" s="516" t="s">
        <v>13</v>
      </c>
      <c r="M862" s="11"/>
      <c r="N862" s="11"/>
      <c r="O862" s="11"/>
      <c r="P862" s="490"/>
      <c r="Q862" s="490"/>
      <c r="R862" s="713"/>
      <c r="S862" s="38"/>
      <c r="T862" s="11"/>
      <c r="U862" s="11"/>
      <c r="V862" s="279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6" ht="16.5" hidden="1" thickTop="1">
      <c r="A863" s="186" t="s">
        <v>268</v>
      </c>
      <c r="B863" s="1"/>
      <c r="C863" s="182">
        <f t="shared" ref="C863:C869" si="75">C882+C941</f>
        <v>394620593.62835383</v>
      </c>
      <c r="D863" s="276"/>
      <c r="E863" s="184"/>
      <c r="F863" s="184">
        <f t="shared" ref="F863:F869" si="76">F882+F941</f>
        <v>0</v>
      </c>
      <c r="G863" s="4"/>
      <c r="H863" s="184"/>
      <c r="I863" s="184">
        <f t="shared" ref="I863:I869" si="77">I882+I941</f>
        <v>0</v>
      </c>
      <c r="K863" s="184"/>
      <c r="L863" s="184">
        <f t="shared" ref="L863:L869" si="78">L882+L941</f>
        <v>0</v>
      </c>
      <c r="M863" s="279"/>
      <c r="N863" s="279"/>
      <c r="O863" s="279"/>
      <c r="P863" s="490"/>
      <c r="Q863" s="104"/>
      <c r="R863" s="714"/>
      <c r="S863" s="38"/>
      <c r="T863" s="11"/>
      <c r="U863" s="11"/>
      <c r="V863" s="487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6" ht="16.5" hidden="1" thickTop="1">
      <c r="A864" s="172" t="s">
        <v>524</v>
      </c>
      <c r="B864" s="1"/>
      <c r="C864" s="182">
        <f t="shared" si="75"/>
        <v>155748767.09193075</v>
      </c>
      <c r="D864" s="515" t="s">
        <v>13</v>
      </c>
      <c r="E864" s="184" t="s">
        <v>13</v>
      </c>
      <c r="F864" s="184">
        <f t="shared" si="76"/>
        <v>8251161</v>
      </c>
      <c r="G864" s="287" t="s">
        <v>13</v>
      </c>
      <c r="H864" s="184" t="s">
        <v>13</v>
      </c>
      <c r="I864" s="184">
        <f t="shared" si="77"/>
        <v>8754229</v>
      </c>
      <c r="J864" s="515" t="s">
        <v>13</v>
      </c>
      <c r="K864" s="184" t="s">
        <v>13</v>
      </c>
      <c r="L864" s="184">
        <f t="shared" ca="1" si="78"/>
        <v>8732424</v>
      </c>
      <c r="M864" s="11"/>
      <c r="N864" s="11"/>
      <c r="O864" s="38"/>
      <c r="P864" s="38"/>
      <c r="Q864" s="38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6.5" hidden="1" thickTop="1">
      <c r="A865" s="172" t="s">
        <v>525</v>
      </c>
      <c r="B865" s="1"/>
      <c r="C865" s="182">
        <f t="shared" si="75"/>
        <v>238871826.53642312</v>
      </c>
      <c r="D865" s="515" t="s">
        <v>13</v>
      </c>
      <c r="E865" s="184" t="s">
        <v>13</v>
      </c>
      <c r="F865" s="184">
        <f t="shared" si="76"/>
        <v>10426744</v>
      </c>
      <c r="G865" s="287" t="s">
        <v>13</v>
      </c>
      <c r="H865" s="184" t="s">
        <v>13</v>
      </c>
      <c r="I865" s="184">
        <f t="shared" si="77"/>
        <v>11198300</v>
      </c>
      <c r="J865" s="515" t="s">
        <v>13</v>
      </c>
      <c r="K865" s="184" t="s">
        <v>13</v>
      </c>
      <c r="L865" s="184">
        <f t="shared" ca="1" si="78"/>
        <v>11164858</v>
      </c>
      <c r="M865" s="11"/>
      <c r="N865" s="279"/>
      <c r="O865" s="38"/>
      <c r="P865" s="38"/>
      <c r="Q865" s="38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6.5" hidden="1" thickTop="1">
      <c r="A866" s="186" t="s">
        <v>204</v>
      </c>
      <c r="B866" s="1"/>
      <c r="C866" s="182">
        <f t="shared" si="75"/>
        <v>160351.36363636321</v>
      </c>
      <c r="D866" s="189"/>
      <c r="E866" s="184"/>
      <c r="F866" s="2">
        <f t="shared" si="76"/>
        <v>91250.117272727031</v>
      </c>
      <c r="G866" s="216"/>
      <c r="H866" s="184"/>
      <c r="I866" s="2">
        <f t="shared" si="77"/>
        <v>91250.117272727017</v>
      </c>
      <c r="J866" s="189"/>
      <c r="K866" s="184"/>
      <c r="L866" s="2">
        <f t="shared" si="78"/>
        <v>91250.117272727017</v>
      </c>
      <c r="M866" s="279"/>
      <c r="N866" s="279"/>
      <c r="O866" s="279"/>
      <c r="P866" s="490"/>
      <c r="Q866" s="11"/>
      <c r="R866" s="11"/>
      <c r="S866" s="11"/>
      <c r="T866" s="11"/>
      <c r="U866" s="11"/>
      <c r="V866" s="11"/>
      <c r="Y866" s="11"/>
      <c r="Z866" s="11"/>
      <c r="AA866" s="11"/>
      <c r="AB866" s="11"/>
      <c r="AC866" s="11"/>
      <c r="AD866" s="11"/>
      <c r="AE866" s="11"/>
      <c r="AF866" s="11"/>
    </row>
    <row r="867" spans="1:34" ht="16.5" hidden="1" thickTop="1">
      <c r="A867" s="1" t="s">
        <v>185</v>
      </c>
      <c r="B867" s="1"/>
      <c r="C867" s="182">
        <f t="shared" si="75"/>
        <v>394620593.62835383</v>
      </c>
      <c r="D867" s="187"/>
      <c r="E867" s="1"/>
      <c r="F867" s="184">
        <f t="shared" si="76"/>
        <v>28913644.117272727</v>
      </c>
      <c r="G867" s="516"/>
      <c r="H867" s="1"/>
      <c r="I867" s="184">
        <f t="shared" si="77"/>
        <v>30188268.117272727</v>
      </c>
      <c r="J867" s="2"/>
      <c r="K867" s="1"/>
      <c r="L867" s="184">
        <f t="shared" ca="1" si="78"/>
        <v>30133021.117272727</v>
      </c>
      <c r="M867" s="185"/>
      <c r="N867" s="185"/>
      <c r="O867" s="614"/>
      <c r="P867" s="38"/>
      <c r="Q867" s="38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6.5" hidden="1" thickTop="1">
      <c r="A868" s="1" t="s">
        <v>167</v>
      </c>
      <c r="B868" s="1"/>
      <c r="C868" s="171">
        <f t="shared" si="75"/>
        <v>5564969.8720139796</v>
      </c>
      <c r="D868" s="172"/>
      <c r="E868" s="172"/>
      <c r="F868" s="494">
        <f t="shared" si="76"/>
        <v>276989.59644031158</v>
      </c>
      <c r="G868" s="284"/>
      <c r="H868" s="172"/>
      <c r="I868" s="494">
        <f t="shared" si="77"/>
        <v>276989.59644031158</v>
      </c>
      <c r="J868" s="172"/>
      <c r="K868" s="172"/>
      <c r="L868" s="494">
        <f t="shared" si="78"/>
        <v>276989.59644031158</v>
      </c>
      <c r="M868" s="307"/>
      <c r="N868" s="307"/>
      <c r="O868" s="150"/>
      <c r="P868" s="38"/>
      <c r="Q868" s="38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7.25" hidden="1" thickTop="1" thickBot="1">
      <c r="A869" s="1" t="s">
        <v>186</v>
      </c>
      <c r="B869" s="1"/>
      <c r="C869" s="618">
        <f t="shared" si="75"/>
        <v>400185563.50036788</v>
      </c>
      <c r="D869" s="205"/>
      <c r="E869" s="208"/>
      <c r="F869" s="496">
        <f t="shared" si="76"/>
        <v>29190633.713713039</v>
      </c>
      <c r="G869" s="741"/>
      <c r="H869" s="208"/>
      <c r="I869" s="496">
        <f t="shared" si="77"/>
        <v>30465257.713713039</v>
      </c>
      <c r="J869" s="205"/>
      <c r="K869" s="208"/>
      <c r="L869" s="496">
        <f t="shared" ca="1" si="78"/>
        <v>30410010.713713039</v>
      </c>
      <c r="M869" s="11"/>
      <c r="N869" s="11"/>
      <c r="O869" s="279"/>
      <c r="P869" s="500"/>
      <c r="Q869" s="500"/>
      <c r="R869" s="17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6.5" thickTop="1">
      <c r="A870" s="1"/>
      <c r="B870" s="1"/>
      <c r="C870" s="213"/>
      <c r="D870" s="214"/>
      <c r="E870" s="14"/>
      <c r="F870" s="20"/>
      <c r="G870" s="742"/>
      <c r="H870" s="14"/>
      <c r="I870" s="20" t="s">
        <v>13</v>
      </c>
      <c r="J870" s="214"/>
      <c r="K870" s="14"/>
      <c r="L870" s="20" t="s">
        <v>13</v>
      </c>
      <c r="M870" s="500"/>
      <c r="N870" s="500"/>
      <c r="O870" s="279"/>
      <c r="P870" s="11"/>
      <c r="Q870" s="38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>
      <c r="A871" s="156" t="s">
        <v>280</v>
      </c>
      <c r="B871" s="1"/>
      <c r="C871" s="1"/>
      <c r="D871" s="2"/>
      <c r="E871" s="1"/>
      <c r="F871" s="1"/>
      <c r="G871" s="516"/>
      <c r="H871" s="1"/>
      <c r="J871" s="2"/>
      <c r="K871" s="1"/>
      <c r="M871" s="11"/>
      <c r="N871" s="11"/>
      <c r="O871" s="38"/>
      <c r="P871" s="38"/>
      <c r="Q871" s="38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>
      <c r="A872" s="172" t="s">
        <v>434</v>
      </c>
      <c r="B872" s="1"/>
      <c r="C872" s="1"/>
      <c r="D872" s="2"/>
      <c r="E872" s="1"/>
      <c r="F872" s="1"/>
      <c r="G872" s="516"/>
      <c r="H872" s="1"/>
      <c r="I872" s="1"/>
      <c r="J872" s="2"/>
      <c r="K872" s="1"/>
      <c r="L872" s="1"/>
      <c r="M872" s="20"/>
      <c r="N872" s="20"/>
      <c r="O872" s="17"/>
      <c r="P872" s="513"/>
      <c r="Q872" s="38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>
      <c r="A873" s="186"/>
      <c r="B873" s="1"/>
      <c r="C873" s="1"/>
      <c r="D873" s="2"/>
      <c r="E873" s="1"/>
      <c r="F873" s="1"/>
      <c r="G873" s="516"/>
      <c r="H873" s="1"/>
      <c r="I873" s="1"/>
      <c r="J873" s="2"/>
      <c r="K873" s="1"/>
      <c r="L873" s="1"/>
      <c r="M873" s="11"/>
      <c r="N873" s="11"/>
      <c r="O873" s="38"/>
      <c r="P873" s="38"/>
      <c r="Q873" s="38"/>
      <c r="R873" s="11"/>
      <c r="S873" s="18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>
      <c r="A874" s="186" t="s">
        <v>197</v>
      </c>
      <c r="B874" s="1"/>
      <c r="C874" s="182"/>
      <c r="D874" s="2"/>
      <c r="E874" s="1"/>
      <c r="F874" s="1"/>
      <c r="G874" s="516"/>
      <c r="H874" s="1"/>
      <c r="I874" s="1"/>
      <c r="J874" s="2"/>
      <c r="K874" s="1"/>
      <c r="L874" s="1"/>
      <c r="M874" s="11"/>
      <c r="N874" s="11"/>
      <c r="O874" s="38"/>
      <c r="P874" s="38"/>
      <c r="Q874" s="38"/>
      <c r="R874" s="11"/>
      <c r="S874" s="66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>
      <c r="A875" s="186" t="s">
        <v>275</v>
      </c>
      <c r="B875" s="1"/>
      <c r="C875" s="182">
        <f t="shared" ref="C875:C880" si="79">C895+C914</f>
        <v>641.72727272727298</v>
      </c>
      <c r="D875" s="200">
        <v>1313</v>
      </c>
      <c r="E875" s="184"/>
      <c r="F875" s="2">
        <f>ROUND(D875*C875,0)</f>
        <v>842588</v>
      </c>
      <c r="G875" s="506">
        <v>1313</v>
      </c>
      <c r="H875" s="184"/>
      <c r="I875" s="2">
        <f>ROUND(G875*$C875,0)</f>
        <v>842588</v>
      </c>
      <c r="J875" s="164">
        <f t="shared" ref="J875:J876" si="80">G875</f>
        <v>1313</v>
      </c>
      <c r="K875" s="184"/>
      <c r="L875" s="2">
        <f>ROUND(J875*$C875,0)</f>
        <v>842588</v>
      </c>
      <c r="M875" s="279"/>
      <c r="N875" s="321"/>
      <c r="O875" s="38"/>
      <c r="P875" s="513"/>
      <c r="Q875" s="500"/>
      <c r="R875" s="11"/>
      <c r="S875" s="660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>
      <c r="A876" s="186" t="s">
        <v>276</v>
      </c>
      <c r="B876" s="1"/>
      <c r="C876" s="182">
        <f t="shared" si="79"/>
        <v>0</v>
      </c>
      <c r="D876" s="200">
        <v>1587</v>
      </c>
      <c r="E876" s="187"/>
      <c r="F876" s="2">
        <f>ROUND(D876*C876,0)</f>
        <v>0</v>
      </c>
      <c r="G876" s="506">
        <v>1587</v>
      </c>
      <c r="H876" s="187"/>
      <c r="I876" s="2">
        <f>ROUND(G876*$C876,0)</f>
        <v>0</v>
      </c>
      <c r="J876" s="164">
        <f t="shared" si="80"/>
        <v>1587</v>
      </c>
      <c r="K876" s="187"/>
      <c r="L876" s="2">
        <f>ROUND(J876*$C876,0)</f>
        <v>0</v>
      </c>
      <c r="M876" s="279"/>
      <c r="N876" s="11"/>
      <c r="O876" s="38"/>
      <c r="P876" s="513"/>
      <c r="Q876" s="500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>
      <c r="A877" s="186" t="s">
        <v>198</v>
      </c>
      <c r="B877" s="1"/>
      <c r="C877" s="182">
        <f t="shared" si="79"/>
        <v>641.72727272727298</v>
      </c>
      <c r="D877" s="200" t="s">
        <v>13</v>
      </c>
      <c r="E877" s="184"/>
      <c r="F877" s="2" t="s">
        <v>13</v>
      </c>
      <c r="G877" s="216" t="s">
        <v>13</v>
      </c>
      <c r="H877" s="184"/>
      <c r="I877" s="2" t="s">
        <v>13</v>
      </c>
      <c r="J877" s="189" t="s">
        <v>13</v>
      </c>
      <c r="K877" s="184"/>
      <c r="L877" s="2" t="s">
        <v>13</v>
      </c>
      <c r="M877" s="279"/>
      <c r="N877" s="11"/>
      <c r="O877" s="38"/>
      <c r="P877" s="617"/>
      <c r="Q877" s="38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>
      <c r="A878" s="186" t="s">
        <v>277</v>
      </c>
      <c r="B878" s="1"/>
      <c r="C878" s="182">
        <f t="shared" si="79"/>
        <v>915203.06896551698</v>
      </c>
      <c r="D878" s="200">
        <v>1.22</v>
      </c>
      <c r="E878" s="184"/>
      <c r="F878" s="2">
        <f>ROUND(D878*C878,0)</f>
        <v>1116548</v>
      </c>
      <c r="G878" s="506">
        <v>1.22</v>
      </c>
      <c r="H878" s="184"/>
      <c r="I878" s="2">
        <f>ROUND(G878*$C878,0)</f>
        <v>1116548</v>
      </c>
      <c r="J878" s="164">
        <f t="shared" ref="J878:J880" si="81">G878</f>
        <v>1.22</v>
      </c>
      <c r="K878" s="184"/>
      <c r="L878" s="2">
        <f>ROUND(J878*$C878,0)</f>
        <v>1116548</v>
      </c>
      <c r="M878" s="279"/>
      <c r="N878" s="11"/>
      <c r="O878" s="38"/>
      <c r="P878" s="513"/>
      <c r="Q878" s="500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>
      <c r="A879" s="186" t="s">
        <v>278</v>
      </c>
      <c r="B879" s="1"/>
      <c r="C879" s="182">
        <f t="shared" si="79"/>
        <v>0</v>
      </c>
      <c r="D879" s="200">
        <v>1.0900000000000001</v>
      </c>
      <c r="E879" s="184"/>
      <c r="F879" s="2">
        <f>ROUND(D879*C879,0)</f>
        <v>0</v>
      </c>
      <c r="G879" s="506">
        <v>1.0900000000000001</v>
      </c>
      <c r="H879" s="184"/>
      <c r="I879" s="2">
        <f>ROUND(G879*$C879,0)</f>
        <v>0</v>
      </c>
      <c r="J879" s="164">
        <f t="shared" si="81"/>
        <v>1.0900000000000001</v>
      </c>
      <c r="K879" s="184"/>
      <c r="L879" s="2">
        <f>ROUND(J879*$C879,0)</f>
        <v>0</v>
      </c>
      <c r="M879" s="279"/>
      <c r="N879" s="11"/>
      <c r="O879" s="38"/>
      <c r="P879" s="513"/>
      <c r="Q879" s="500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>
      <c r="A880" s="284" t="s">
        <v>539</v>
      </c>
      <c r="B880" s="1"/>
      <c r="C880" s="182">
        <f t="shared" si="79"/>
        <v>741361.15199999989</v>
      </c>
      <c r="D880" s="200">
        <v>8.73</v>
      </c>
      <c r="E880" s="184"/>
      <c r="F880" s="2">
        <f>ROUND(D880*C880,0)</f>
        <v>6472083</v>
      </c>
      <c r="G880" s="506">
        <v>8.73</v>
      </c>
      <c r="H880" s="184"/>
      <c r="I880" s="2">
        <f>ROUND(G880*$C880,0)</f>
        <v>6472083</v>
      </c>
      <c r="J880" s="164">
        <f t="shared" si="81"/>
        <v>8.73</v>
      </c>
      <c r="K880" s="184"/>
      <c r="L880" s="2">
        <f>ROUND(J880*$C880,0)</f>
        <v>6472083</v>
      </c>
      <c r="M880" s="279"/>
      <c r="N880" s="11"/>
      <c r="O880" s="38"/>
      <c r="P880" s="513"/>
      <c r="Q880" s="500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>
      <c r="A881" s="186" t="s">
        <v>230</v>
      </c>
      <c r="B881" s="1"/>
      <c r="C881" s="182"/>
      <c r="D881" s="200" t="s">
        <v>13</v>
      </c>
      <c r="E881" s="184"/>
      <c r="F881" s="2"/>
      <c r="G881" s="216" t="s">
        <v>13</v>
      </c>
      <c r="H881" s="184"/>
      <c r="I881" s="2"/>
      <c r="J881" s="189" t="s">
        <v>13</v>
      </c>
      <c r="K881" s="184"/>
      <c r="L881" s="2"/>
      <c r="M881" s="279"/>
      <c r="N881" s="11"/>
      <c r="O881" s="38"/>
      <c r="P881" s="617"/>
      <c r="Q881" s="38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>
      <c r="A882" s="186" t="s">
        <v>268</v>
      </c>
      <c r="B882" s="1"/>
      <c r="C882" s="182">
        <f>C902+C921</f>
        <v>328149970.81905723</v>
      </c>
      <c r="D882" s="258"/>
      <c r="E882" s="184"/>
      <c r="F882" s="2">
        <f>ROUND(D882/100*C882,0)</f>
        <v>0</v>
      </c>
      <c r="G882" s="749"/>
      <c r="H882" s="184"/>
      <c r="I882" s="2">
        <v>0</v>
      </c>
      <c r="J882" s="258"/>
      <c r="K882" s="184"/>
      <c r="L882" s="2">
        <v>0</v>
      </c>
      <c r="M882" s="279"/>
      <c r="N882" s="11"/>
      <c r="O882" s="38"/>
      <c r="P882" s="513"/>
      <c r="Q882" s="500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>
      <c r="A883" s="172" t="s">
        <v>524</v>
      </c>
      <c r="B883" s="1"/>
      <c r="C883" s="182">
        <f>C903+C922</f>
        <v>129108340.34878281</v>
      </c>
      <c r="D883" s="515">
        <v>5.3079999999999998</v>
      </c>
      <c r="E883" s="184" t="s">
        <v>178</v>
      </c>
      <c r="F883" s="2">
        <f>ROUND(D883/100*C883,0)</f>
        <v>6853071</v>
      </c>
      <c r="G883" s="731">
        <v>5.6310000000000002</v>
      </c>
      <c r="H883" s="184" t="s">
        <v>178</v>
      </c>
      <c r="I883" s="2">
        <f>ROUND(G883/100*$C883,0)</f>
        <v>7270091</v>
      </c>
      <c r="J883" s="162">
        <f ca="1">ROUND(G883+($O$833/($C$886+$C$945))*100,3)</f>
        <v>5.617</v>
      </c>
      <c r="K883" s="184" t="s">
        <v>178</v>
      </c>
      <c r="L883" s="2">
        <f ca="1">ROUND(J883/100*$C883,0)</f>
        <v>7252015</v>
      </c>
      <c r="M883" s="279"/>
      <c r="N883" s="11"/>
      <c r="O883" s="38"/>
      <c r="P883" s="38"/>
      <c r="Q883" s="38"/>
      <c r="R883" s="11"/>
      <c r="S883" s="11"/>
      <c r="T883" s="11"/>
      <c r="U883" s="6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>
      <c r="A884" s="172" t="s">
        <v>525</v>
      </c>
      <c r="B884" s="1"/>
      <c r="C884" s="182">
        <f>C904+C923</f>
        <v>199041630.47027442</v>
      </c>
      <c r="D884" s="515">
        <v>4.375</v>
      </c>
      <c r="E884" s="184" t="s">
        <v>178</v>
      </c>
      <c r="F884" s="2">
        <f>ROUND(D884/100*C884,0)</f>
        <v>8708071</v>
      </c>
      <c r="G884" s="731">
        <v>4.6980000000000004</v>
      </c>
      <c r="H884" s="184" t="s">
        <v>178</v>
      </c>
      <c r="I884" s="2">
        <f>ROUND(G884/100*$C884,0)</f>
        <v>9350976</v>
      </c>
      <c r="J884" s="162">
        <f ca="1">ROUND(G884+($O$833/($C$886+$C$945))*100,3)</f>
        <v>4.6840000000000002</v>
      </c>
      <c r="K884" s="184" t="s">
        <v>178</v>
      </c>
      <c r="L884" s="2">
        <f ca="1">ROUND(J884/100*$C884,0)</f>
        <v>9323110</v>
      </c>
      <c r="M884" s="279"/>
      <c r="N884" s="11"/>
      <c r="O884" s="38"/>
      <c r="P884" s="38"/>
      <c r="Q884" s="38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>
      <c r="A885" s="186" t="s">
        <v>204</v>
      </c>
      <c r="B885" s="1"/>
      <c r="C885" s="182">
        <f>C905+C924</f>
        <v>145335.36363636321</v>
      </c>
      <c r="D885" s="189">
        <v>0.56999999999999995</v>
      </c>
      <c r="E885" s="184"/>
      <c r="F885" s="182">
        <f>C885*D885</f>
        <v>82841.157272727025</v>
      </c>
      <c r="G885" s="216">
        <v>0.56999999999999995</v>
      </c>
      <c r="H885" s="184"/>
      <c r="I885" s="182">
        <f>I905+I924</f>
        <v>82841.15727272701</v>
      </c>
      <c r="J885" s="189">
        <f t="shared" ref="J885" si="82">G885</f>
        <v>0.56999999999999995</v>
      </c>
      <c r="K885" s="184"/>
      <c r="L885" s="182">
        <f>L905+L924</f>
        <v>82841.15727272701</v>
      </c>
      <c r="M885" s="279"/>
      <c r="N885" s="38"/>
      <c r="O885" s="38"/>
      <c r="P885" s="11"/>
      <c r="Q885" s="11"/>
      <c r="R885" s="11"/>
      <c r="S885" s="11"/>
      <c r="T885" s="11"/>
      <c r="U885" s="11"/>
      <c r="V885" s="11"/>
      <c r="Y885" s="11"/>
      <c r="Z885" s="11"/>
      <c r="AA885" s="11"/>
      <c r="AB885" s="11"/>
      <c r="AC885" s="11"/>
      <c r="AD885" s="11"/>
      <c r="AE885" s="11"/>
      <c r="AF885" s="11"/>
    </row>
    <row r="886" spans="1:34">
      <c r="A886" s="1" t="s">
        <v>185</v>
      </c>
      <c r="B886" s="1"/>
      <c r="C886" s="182">
        <f>C882</f>
        <v>328149970.81905723</v>
      </c>
      <c r="D886" s="193"/>
      <c r="E886" s="1"/>
      <c r="F886" s="2">
        <f>SUM(F875:F885)</f>
        <v>24075202.157272726</v>
      </c>
      <c r="G886" s="733"/>
      <c r="H886" s="1"/>
      <c r="I886" s="2">
        <f>SUM(I875:I885)</f>
        <v>25135127.157272726</v>
      </c>
      <c r="J886" s="193"/>
      <c r="K886" s="1"/>
      <c r="L886" s="2">
        <f ca="1">SUM(L875:L885)</f>
        <v>25089185.157272726</v>
      </c>
      <c r="M886" s="279"/>
      <c r="N886" s="11"/>
      <c r="O886" s="38"/>
      <c r="P886" s="38"/>
      <c r="Q886" s="38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>
      <c r="A887" s="1" t="s">
        <v>167</v>
      </c>
      <c r="B887" s="1"/>
      <c r="C887" s="182">
        <f>C907+C926</f>
        <v>4944665.5555615174</v>
      </c>
      <c r="D887" s="172"/>
      <c r="E887" s="172"/>
      <c r="F887" s="204">
        <f>F907+F926</f>
        <v>214551.19989836428</v>
      </c>
      <c r="G887" s="284"/>
      <c r="H887" s="172"/>
      <c r="I887" s="204">
        <f>F887</f>
        <v>214551.19989836428</v>
      </c>
      <c r="J887" s="172"/>
      <c r="K887" s="172"/>
      <c r="L887" s="204">
        <f>I887</f>
        <v>214551.19989836428</v>
      </c>
      <c r="M887" s="279"/>
      <c r="N887" s="307"/>
      <c r="O887" s="150"/>
      <c r="P887" s="38"/>
      <c r="Q887" s="38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8" customHeight="1" thickBot="1">
      <c r="A888" s="1" t="s">
        <v>186</v>
      </c>
      <c r="B888" s="1"/>
      <c r="C888" s="256">
        <f>SUM(C886)+C887</f>
        <v>333094636.37461877</v>
      </c>
      <c r="D888" s="205"/>
      <c r="E888" s="208"/>
      <c r="F888" s="207">
        <f>F886+F887</f>
        <v>24289753.357171092</v>
      </c>
      <c r="G888" s="741"/>
      <c r="H888" s="208"/>
      <c r="I888" s="207">
        <f>I886+I887</f>
        <v>25349678.357171092</v>
      </c>
      <c r="J888" s="205"/>
      <c r="K888" s="208"/>
      <c r="L888" s="207">
        <f ca="1">L886+L887</f>
        <v>25303736.357171092</v>
      </c>
      <c r="M888" s="279"/>
      <c r="N888" s="6"/>
      <c r="O888" s="17"/>
      <c r="P888" s="513"/>
      <c r="Q888" s="38"/>
      <c r="R888" s="510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6.5" thickTop="1">
      <c r="A889" s="1"/>
      <c r="B889" s="1"/>
      <c r="C889" s="12"/>
      <c r="D889" s="200"/>
      <c r="E889" s="1"/>
      <c r="F889" s="2" t="s">
        <v>13</v>
      </c>
      <c r="G889" s="216"/>
      <c r="H889" s="1"/>
      <c r="I889" s="243"/>
      <c r="J889" s="200"/>
      <c r="K889" s="1"/>
      <c r="L889" s="243"/>
      <c r="M889" s="279"/>
      <c r="N889" s="715"/>
      <c r="O889" s="715"/>
      <c r="P889" s="715"/>
      <c r="Q889" s="38"/>
      <c r="R889" s="6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idden="1">
      <c r="A890" s="1"/>
      <c r="B890" s="1"/>
      <c r="C890" s="679" t="s">
        <v>13</v>
      </c>
      <c r="D890" s="200"/>
      <c r="E890" s="1"/>
      <c r="F890" s="2"/>
      <c r="G890" s="216"/>
      <c r="H890" s="1"/>
      <c r="I890" s="2" t="s">
        <v>13</v>
      </c>
      <c r="J890" s="200"/>
      <c r="K890" s="1"/>
      <c r="L890" s="2" t="s">
        <v>13</v>
      </c>
      <c r="M890" s="279"/>
      <c r="N890" s="274"/>
      <c r="O890" s="274"/>
      <c r="P890" s="274"/>
      <c r="Q890" s="38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idden="1">
      <c r="A891" s="156" t="s">
        <v>280</v>
      </c>
      <c r="B891" s="1"/>
      <c r="C891" s="1"/>
      <c r="D891" s="2"/>
      <c r="E891" s="1"/>
      <c r="F891" s="1"/>
      <c r="G891" s="516"/>
      <c r="H891" s="1"/>
      <c r="I891" s="1"/>
      <c r="J891" s="2"/>
      <c r="K891" s="1"/>
      <c r="L891" s="1"/>
      <c r="M891" s="279"/>
      <c r="N891" s="11"/>
      <c r="O891" s="38"/>
      <c r="P891" s="38"/>
      <c r="Q891" s="38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idden="1">
      <c r="A892" s="172" t="s">
        <v>433</v>
      </c>
      <c r="B892" s="1"/>
      <c r="C892" s="1"/>
      <c r="D892" s="2"/>
      <c r="E892" s="1"/>
      <c r="F892" s="1"/>
      <c r="G892" s="516"/>
      <c r="H892" s="1"/>
      <c r="I892" s="1"/>
      <c r="J892" s="2"/>
      <c r="K892" s="1"/>
      <c r="L892" s="1"/>
      <c r="M892" s="279"/>
      <c r="N892" s="11"/>
      <c r="O892" s="38"/>
      <c r="P892" s="38"/>
      <c r="Q892" s="38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idden="1">
      <c r="A893" s="186"/>
      <c r="B893" s="1"/>
      <c r="C893" s="1"/>
      <c r="D893" s="2"/>
      <c r="E893" s="1"/>
      <c r="F893" s="1"/>
      <c r="G893" s="516"/>
      <c r="H893" s="1"/>
      <c r="I893" s="1"/>
      <c r="J893" s="2"/>
      <c r="K893" s="1"/>
      <c r="L893" s="1"/>
      <c r="M893" s="279"/>
      <c r="N893" s="11"/>
      <c r="O893" s="38"/>
      <c r="P893" s="38"/>
      <c r="Q893" s="38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idden="1">
      <c r="A894" s="186" t="s">
        <v>197</v>
      </c>
      <c r="B894" s="1"/>
      <c r="C894" s="182"/>
      <c r="D894" s="2"/>
      <c r="E894" s="1"/>
      <c r="F894" s="1"/>
      <c r="G894" s="516"/>
      <c r="H894" s="1"/>
      <c r="I894" s="1"/>
      <c r="J894" s="2"/>
      <c r="K894" s="1"/>
      <c r="L894" s="1"/>
      <c r="M894" s="279"/>
      <c r="N894" s="11"/>
      <c r="O894" s="38"/>
      <c r="P894" s="38"/>
      <c r="Q894" s="38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idden="1">
      <c r="A895" s="186" t="s">
        <v>275</v>
      </c>
      <c r="B895" s="1"/>
      <c r="C895" s="182">
        <v>328.84848484848499</v>
      </c>
      <c r="D895" s="200">
        <f>D875</f>
        <v>1313</v>
      </c>
      <c r="E895" s="184"/>
      <c r="F895" s="2">
        <f>ROUND(D895*C895,0)</f>
        <v>431778</v>
      </c>
      <c r="G895" s="216">
        <v>1313</v>
      </c>
      <c r="H895" s="184"/>
      <c r="I895" s="2">
        <f>ROUND(G895*$C895,0)</f>
        <v>431778</v>
      </c>
      <c r="J895" s="200">
        <f>J875</f>
        <v>1313</v>
      </c>
      <c r="K895" s="184"/>
      <c r="L895" s="2">
        <f>ROUND(J895*$C895,0)</f>
        <v>431778</v>
      </c>
      <c r="M895" s="279"/>
      <c r="N895" s="11"/>
      <c r="O895" s="38"/>
      <c r="P895" s="38"/>
      <c r="Q895" s="38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idden="1">
      <c r="A896" s="186" t="s">
        <v>276</v>
      </c>
      <c r="B896" s="1"/>
      <c r="C896" s="182">
        <v>0</v>
      </c>
      <c r="D896" s="200">
        <f>D876</f>
        <v>1587</v>
      </c>
      <c r="E896" s="187"/>
      <c r="F896" s="2">
        <f>ROUND(D896*C896,0)</f>
        <v>0</v>
      </c>
      <c r="G896" s="216">
        <v>1587</v>
      </c>
      <c r="H896" s="187"/>
      <c r="I896" s="2">
        <f>ROUND(G896*$C896,0)</f>
        <v>0</v>
      </c>
      <c r="J896" s="200">
        <f>J876</f>
        <v>1587</v>
      </c>
      <c r="K896" s="187"/>
      <c r="L896" s="2">
        <f>ROUND(J896*$C896,0)</f>
        <v>0</v>
      </c>
      <c r="M896" s="279"/>
      <c r="N896" s="11"/>
      <c r="O896" s="38"/>
      <c r="P896" s="38"/>
      <c r="Q896" s="38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idden="1">
      <c r="A897" s="186" t="s">
        <v>198</v>
      </c>
      <c r="B897" s="1"/>
      <c r="C897" s="182">
        <f>SUM(C895:C896)</f>
        <v>328.84848484848499</v>
      </c>
      <c r="D897" s="200"/>
      <c r="E897" s="184"/>
      <c r="F897" s="2" t="s">
        <v>13</v>
      </c>
      <c r="G897" s="216" t="s">
        <v>13</v>
      </c>
      <c r="H897" s="184"/>
      <c r="I897" s="2" t="s">
        <v>13</v>
      </c>
      <c r="J897" s="200" t="s">
        <v>13</v>
      </c>
      <c r="K897" s="184"/>
      <c r="L897" s="2" t="s">
        <v>13</v>
      </c>
      <c r="M897" s="279"/>
      <c r="N897" s="11"/>
      <c r="O897" s="38"/>
      <c r="P897" s="38"/>
      <c r="Q897" s="38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idden="1">
      <c r="A898" s="186" t="s">
        <v>277</v>
      </c>
      <c r="B898" s="1"/>
      <c r="C898" s="182">
        <v>407303.06896551698</v>
      </c>
      <c r="D898" s="200">
        <f>D878</f>
        <v>1.22</v>
      </c>
      <c r="E898" s="184"/>
      <c r="F898" s="2">
        <f>ROUND(D898*C898,0)</f>
        <v>496910</v>
      </c>
      <c r="G898" s="216">
        <v>1.22</v>
      </c>
      <c r="H898" s="184"/>
      <c r="I898" s="2">
        <f>ROUND(G898*$C898,0)</f>
        <v>496910</v>
      </c>
      <c r="J898" s="200">
        <f>J878</f>
        <v>1.22</v>
      </c>
      <c r="K898" s="184"/>
      <c r="L898" s="2">
        <f>ROUND(J898*$C898,0)</f>
        <v>496910</v>
      </c>
      <c r="M898" s="279"/>
      <c r="N898" s="11"/>
      <c r="O898" s="38"/>
      <c r="P898" s="38"/>
      <c r="Q898" s="38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idden="1">
      <c r="A899" s="186" t="s">
        <v>278</v>
      </c>
      <c r="B899" s="1"/>
      <c r="C899" s="182">
        <v>0</v>
      </c>
      <c r="D899" s="200">
        <f>D879</f>
        <v>1.0900000000000001</v>
      </c>
      <c r="E899" s="184"/>
      <c r="F899" s="2">
        <f>ROUND(D899*C899,0)</f>
        <v>0</v>
      </c>
      <c r="G899" s="216">
        <v>1.0900000000000001</v>
      </c>
      <c r="H899" s="184"/>
      <c r="I899" s="2">
        <f>ROUND(G899*$C899,0)</f>
        <v>0</v>
      </c>
      <c r="J899" s="200">
        <f>J879</f>
        <v>1.0900000000000001</v>
      </c>
      <c r="K899" s="184"/>
      <c r="L899" s="2">
        <f>ROUND(J899*$C899,0)</f>
        <v>0</v>
      </c>
      <c r="M899" s="279"/>
      <c r="N899" s="11"/>
      <c r="O899" s="38"/>
      <c r="P899" s="38"/>
      <c r="Q899" s="38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idden="1">
      <c r="A900" s="284" t="s">
        <v>539</v>
      </c>
      <c r="B900" s="1"/>
      <c r="C900" s="182">
        <v>302169.36135238822</v>
      </c>
      <c r="D900" s="200">
        <f>D880</f>
        <v>8.73</v>
      </c>
      <c r="E900" s="184"/>
      <c r="F900" s="2">
        <f>ROUND(D900*$C900,0)</f>
        <v>2637939</v>
      </c>
      <c r="G900" s="216">
        <v>8.73</v>
      </c>
      <c r="H900" s="184"/>
      <c r="I900" s="2">
        <f>ROUND(G900*$C900,0)</f>
        <v>2637939</v>
      </c>
      <c r="J900" s="200">
        <f>J880</f>
        <v>8.73</v>
      </c>
      <c r="K900" s="184"/>
      <c r="L900" s="2">
        <f>ROUND(J900*$C900,0)</f>
        <v>2637939</v>
      </c>
      <c r="M900" s="279"/>
      <c r="N900" s="11"/>
      <c r="O900" s="38"/>
      <c r="P900" s="38"/>
      <c r="Q900" s="38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idden="1">
      <c r="A901" s="186" t="s">
        <v>230</v>
      </c>
      <c r="B901" s="1"/>
      <c r="C901" s="182"/>
      <c r="D901" s="200"/>
      <c r="E901" s="184"/>
      <c r="F901" s="2"/>
      <c r="G901" s="216" t="s">
        <v>13</v>
      </c>
      <c r="H901" s="184"/>
      <c r="I901" s="2"/>
      <c r="J901" s="200" t="s">
        <v>13</v>
      </c>
      <c r="K901" s="184"/>
      <c r="L901" s="2"/>
      <c r="M901" s="279"/>
      <c r="N901" s="11"/>
      <c r="O901" s="38"/>
      <c r="P901" s="38"/>
      <c r="Q901" s="38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idden="1">
      <c r="A902" s="186" t="s">
        <v>268</v>
      </c>
      <c r="B902" s="1"/>
      <c r="C902" s="182">
        <v>127260720.81905724</v>
      </c>
      <c r="D902" s="258"/>
      <c r="E902" s="184"/>
      <c r="F902" s="2"/>
      <c r="G902" s="749"/>
      <c r="H902" s="184"/>
      <c r="I902" s="2"/>
      <c r="J902" s="258"/>
      <c r="K902" s="184"/>
      <c r="L902" s="2"/>
      <c r="M902" s="279"/>
      <c r="N902" s="11"/>
      <c r="O902" s="38"/>
      <c r="P902" s="38"/>
      <c r="Q902" s="38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idden="1">
      <c r="A903" s="172" t="s">
        <v>524</v>
      </c>
      <c r="B903" s="1"/>
      <c r="C903" s="182">
        <v>50069851.950704731</v>
      </c>
      <c r="D903" s="245">
        <f>D883</f>
        <v>5.3079999999999998</v>
      </c>
      <c r="E903" s="184" t="s">
        <v>178</v>
      </c>
      <c r="F903" s="184">
        <f>ROUND(D903/100*C903,0)</f>
        <v>2657708</v>
      </c>
      <c r="G903" s="287">
        <v>5.6310000000000002</v>
      </c>
      <c r="H903" s="184" t="s">
        <v>178</v>
      </c>
      <c r="I903" s="184">
        <f>ROUND(G903/100*$C903,0)</f>
        <v>2819433</v>
      </c>
      <c r="J903" s="245">
        <f ca="1">J883</f>
        <v>5.617</v>
      </c>
      <c r="K903" s="184" t="s">
        <v>178</v>
      </c>
      <c r="L903" s="184">
        <f ca="1">ROUND(J903/100*$C903,0)</f>
        <v>2812424</v>
      </c>
      <c r="M903" s="279"/>
      <c r="N903" s="11"/>
      <c r="O903" s="38"/>
      <c r="P903" s="38"/>
      <c r="Q903" s="38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idden="1">
      <c r="A904" s="172" t="s">
        <v>525</v>
      </c>
      <c r="B904" s="1"/>
      <c r="C904" s="182">
        <f>C906-C903</f>
        <v>77190868.868352503</v>
      </c>
      <c r="D904" s="245">
        <f>D884</f>
        <v>4.375</v>
      </c>
      <c r="E904" s="184" t="s">
        <v>178</v>
      </c>
      <c r="F904" s="184">
        <f>ROUND(D904/100*C904,0)</f>
        <v>3377101</v>
      </c>
      <c r="G904" s="287">
        <v>4.6980000000000004</v>
      </c>
      <c r="H904" s="184" t="s">
        <v>178</v>
      </c>
      <c r="I904" s="184">
        <f>ROUND(G904/100*$C904,0)</f>
        <v>3626427</v>
      </c>
      <c r="J904" s="245">
        <f ca="1">J884</f>
        <v>4.6840000000000002</v>
      </c>
      <c r="K904" s="184" t="s">
        <v>178</v>
      </c>
      <c r="L904" s="184">
        <f ca="1">ROUND(J904/100*$C904,0)</f>
        <v>3615620</v>
      </c>
      <c r="M904" s="279"/>
      <c r="N904" s="11"/>
      <c r="O904" s="38"/>
      <c r="P904" s="38"/>
      <c r="Q904" s="38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idden="1">
      <c r="A905" s="186" t="s">
        <v>204</v>
      </c>
      <c r="B905" s="1"/>
      <c r="C905" s="182">
        <v>27823.4242424242</v>
      </c>
      <c r="D905" s="189">
        <v>0.56999999999999995</v>
      </c>
      <c r="E905" s="184"/>
      <c r="F905" s="2">
        <f>C905*D905</f>
        <v>15859.351818181793</v>
      </c>
      <c r="G905" s="216">
        <v>0.56999999999999995</v>
      </c>
      <c r="H905" s="184"/>
      <c r="I905" s="2">
        <f>C905*G905</f>
        <v>15859.351818181793</v>
      </c>
      <c r="J905" s="189">
        <f>J885</f>
        <v>0.56999999999999995</v>
      </c>
      <c r="K905" s="184"/>
      <c r="L905" s="2">
        <f>C905*J905</f>
        <v>15859.351818181793</v>
      </c>
      <c r="M905" s="279"/>
      <c r="N905" s="38"/>
      <c r="O905" s="38"/>
      <c r="P905" s="11"/>
      <c r="Q905" s="11"/>
      <c r="R905" s="11"/>
      <c r="S905" s="11"/>
      <c r="T905" s="11"/>
      <c r="U905" s="11"/>
      <c r="V905" s="11"/>
      <c r="Y905" s="11"/>
      <c r="Z905" s="11"/>
      <c r="AA905" s="11"/>
      <c r="AB905" s="11"/>
      <c r="AC905" s="11"/>
      <c r="AD905" s="11"/>
      <c r="AE905" s="11"/>
      <c r="AF905" s="11"/>
    </row>
    <row r="906" spans="1:34" hidden="1">
      <c r="A906" s="1" t="s">
        <v>185</v>
      </c>
      <c r="B906" s="1"/>
      <c r="C906" s="182">
        <f>C902</f>
        <v>127260720.81905724</v>
      </c>
      <c r="D906" s="193"/>
      <c r="E906" s="1"/>
      <c r="F906" s="2">
        <f>SUM(F895:F905)</f>
        <v>9617295.3518181816</v>
      </c>
      <c r="G906" s="733"/>
      <c r="H906" s="1"/>
      <c r="I906" s="2">
        <f>SUM(I895:I905)</f>
        <v>10028346.351818182</v>
      </c>
      <c r="J906" s="193"/>
      <c r="K906" s="1"/>
      <c r="L906" s="2">
        <f ca="1">SUM(L895:L905)</f>
        <v>10010530.351818182</v>
      </c>
      <c r="M906" s="279"/>
      <c r="N906" s="11"/>
      <c r="O906" s="38"/>
      <c r="P906" s="500"/>
      <c r="Q906" s="500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idden="1">
      <c r="A907" s="1" t="s">
        <v>167</v>
      </c>
      <c r="B907" s="1"/>
      <c r="C907" s="182">
        <f>C906/($C$906+$C$966)*$C$1005</f>
        <v>1169270.4870616279</v>
      </c>
      <c r="D907" s="172"/>
      <c r="E907" s="172"/>
      <c r="F907" s="204">
        <f>F906/($F$906+$F$966)*$F$1005</f>
        <v>127079.43647024817</v>
      </c>
      <c r="G907" s="284"/>
      <c r="H907" s="172"/>
      <c r="I907" s="204">
        <f>F907</f>
        <v>127079.43647024817</v>
      </c>
      <c r="J907" s="172"/>
      <c r="K907" s="172"/>
      <c r="L907" s="204">
        <f>I907</f>
        <v>127079.43647024817</v>
      </c>
      <c r="M907" s="279"/>
      <c r="N907" s="307"/>
      <c r="O907" s="500"/>
      <c r="P907" s="38"/>
      <c r="Q907" s="38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6.5" hidden="1" thickBot="1">
      <c r="A908" s="1" t="s">
        <v>186</v>
      </c>
      <c r="B908" s="1"/>
      <c r="C908" s="256">
        <f>SUM(C906)+C907</f>
        <v>128429991.30611888</v>
      </c>
      <c r="D908" s="205"/>
      <c r="E908" s="208"/>
      <c r="F908" s="207">
        <f>F906+F907</f>
        <v>9744374.7882884294</v>
      </c>
      <c r="G908" s="741"/>
      <c r="H908" s="208"/>
      <c r="I908" s="207">
        <f>I906+I907</f>
        <v>10155425.788288429</v>
      </c>
      <c r="J908" s="205"/>
      <c r="K908" s="208"/>
      <c r="L908" s="207">
        <f ca="1">L906+L907</f>
        <v>10137609.788288429</v>
      </c>
      <c r="M908" s="279"/>
      <c r="N908" s="274"/>
      <c r="O908" s="500"/>
      <c r="P908" s="38"/>
      <c r="Q908" s="38"/>
      <c r="R908" s="510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6.5" hidden="1" thickTop="1">
      <c r="A909" s="1"/>
      <c r="B909" s="1"/>
      <c r="C909" s="12"/>
      <c r="D909" s="200"/>
      <c r="E909" s="1"/>
      <c r="F909" s="2"/>
      <c r="G909" s="216"/>
      <c r="H909" s="1"/>
      <c r="I909" s="243"/>
      <c r="J909" s="200"/>
      <c r="K909" s="1"/>
      <c r="L909" s="243"/>
      <c r="M909" s="279"/>
      <c r="N909" s="11"/>
      <c r="O909" s="38"/>
      <c r="P909" s="38"/>
      <c r="Q909" s="38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idden="1">
      <c r="A910" s="156" t="s">
        <v>280</v>
      </c>
      <c r="B910" s="1"/>
      <c r="C910" s="1"/>
      <c r="D910" s="2"/>
      <c r="E910" s="1"/>
      <c r="F910" s="1"/>
      <c r="G910" s="516"/>
      <c r="H910" s="1"/>
      <c r="I910" s="1"/>
      <c r="J910" s="2"/>
      <c r="K910" s="1"/>
      <c r="L910" s="1"/>
      <c r="M910" s="279"/>
      <c r="N910" s="11"/>
      <c r="O910" s="38"/>
      <c r="P910" s="38"/>
      <c r="Q910" s="38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idden="1">
      <c r="A911" s="172" t="s">
        <v>432</v>
      </c>
      <c r="B911" s="1"/>
      <c r="C911" s="1"/>
      <c r="D911" s="2"/>
      <c r="E911" s="1"/>
      <c r="F911" s="1"/>
      <c r="G911" s="516"/>
      <c r="H911" s="1"/>
      <c r="I911" s="1"/>
      <c r="J911" s="2"/>
      <c r="K911" s="1"/>
      <c r="L911" s="1"/>
      <c r="M911" s="279"/>
      <c r="N911" s="11"/>
      <c r="O911" s="38"/>
      <c r="P911" s="38"/>
      <c r="Q911" s="38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idden="1">
      <c r="A912" s="186"/>
      <c r="B912" s="1"/>
      <c r="C912" s="1"/>
      <c r="D912" s="2"/>
      <c r="E912" s="1"/>
      <c r="F912" s="1"/>
      <c r="G912" s="516"/>
      <c r="H912" s="1"/>
      <c r="I912" s="1"/>
      <c r="J912" s="2"/>
      <c r="K912" s="1"/>
      <c r="L912" s="1"/>
      <c r="M912" s="279"/>
      <c r="N912" s="11"/>
      <c r="O912" s="38"/>
      <c r="P912" s="38"/>
      <c r="Q912" s="38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idden="1">
      <c r="A913" s="186" t="s">
        <v>197</v>
      </c>
      <c r="B913" s="1"/>
      <c r="C913" s="182"/>
      <c r="D913" s="2"/>
      <c r="E913" s="1"/>
      <c r="F913" s="1"/>
      <c r="G913" s="516"/>
      <c r="H913" s="1"/>
      <c r="I913" s="1"/>
      <c r="J913" s="2"/>
      <c r="K913" s="1"/>
      <c r="L913" s="1"/>
      <c r="M913" s="279"/>
      <c r="N913" s="11"/>
      <c r="O913" s="38"/>
      <c r="P913" s="38"/>
      <c r="Q913" s="38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idden="1">
      <c r="A914" s="186" t="s">
        <v>275</v>
      </c>
      <c r="B914" s="1"/>
      <c r="C914" s="182">
        <v>312.87878787878799</v>
      </c>
      <c r="D914" s="200">
        <f>D875</f>
        <v>1313</v>
      </c>
      <c r="E914" s="184"/>
      <c r="F914" s="2">
        <f>ROUND(D914*C914,0)</f>
        <v>410810</v>
      </c>
      <c r="G914" s="216">
        <v>1313</v>
      </c>
      <c r="H914" s="184"/>
      <c r="I914" s="2">
        <f>ROUND(G914*$C914,0)</f>
        <v>410810</v>
      </c>
      <c r="J914" s="200">
        <f>J875</f>
        <v>1313</v>
      </c>
      <c r="K914" s="184"/>
      <c r="L914" s="2">
        <f>ROUND(J914*$C914,0)</f>
        <v>410810</v>
      </c>
      <c r="M914" s="279"/>
      <c r="N914" s="11"/>
      <c r="O914" s="38"/>
      <c r="P914" s="38"/>
      <c r="Q914" s="38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idden="1">
      <c r="A915" s="186" t="s">
        <v>276</v>
      </c>
      <c r="B915" s="1"/>
      <c r="C915" s="182">
        <v>0</v>
      </c>
      <c r="D915" s="200">
        <f>D876</f>
        <v>1587</v>
      </c>
      <c r="E915" s="187"/>
      <c r="F915" s="2">
        <f>ROUND(D915*C915,0)</f>
        <v>0</v>
      </c>
      <c r="G915" s="216">
        <v>1587</v>
      </c>
      <c r="H915" s="187"/>
      <c r="I915" s="2">
        <f>ROUND(G915*$C915,0)</f>
        <v>0</v>
      </c>
      <c r="J915" s="200">
        <f>J876</f>
        <v>1587</v>
      </c>
      <c r="K915" s="187"/>
      <c r="L915" s="2">
        <f>ROUND(J915*$C915,0)</f>
        <v>0</v>
      </c>
      <c r="M915" s="279"/>
      <c r="N915" s="11"/>
      <c r="O915" s="38"/>
      <c r="P915" s="38"/>
      <c r="Q915" s="38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idden="1">
      <c r="A916" s="186" t="s">
        <v>198</v>
      </c>
      <c r="B916" s="1"/>
      <c r="C916" s="182">
        <f>SUM(C914:C915)</f>
        <v>312.87878787878799</v>
      </c>
      <c r="D916" s="200"/>
      <c r="E916" s="184"/>
      <c r="F916" s="2" t="s">
        <v>13</v>
      </c>
      <c r="G916" s="216" t="s">
        <v>13</v>
      </c>
      <c r="H916" s="184"/>
      <c r="I916" s="2" t="s">
        <v>13</v>
      </c>
      <c r="J916" s="200" t="s">
        <v>13</v>
      </c>
      <c r="K916" s="184"/>
      <c r="L916" s="2" t="s">
        <v>13</v>
      </c>
      <c r="M916" s="279"/>
      <c r="N916" s="11"/>
      <c r="O916" s="38"/>
      <c r="P916" s="38"/>
      <c r="Q916" s="38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idden="1">
      <c r="A917" s="186" t="s">
        <v>277</v>
      </c>
      <c r="B917" s="1"/>
      <c r="C917" s="182">
        <v>507900</v>
      </c>
      <c r="D917" s="200">
        <f>D878</f>
        <v>1.22</v>
      </c>
      <c r="E917" s="184"/>
      <c r="F917" s="2">
        <f>ROUND(D917*C917,0)</f>
        <v>619638</v>
      </c>
      <c r="G917" s="216">
        <v>1.22</v>
      </c>
      <c r="H917" s="184"/>
      <c r="I917" s="2">
        <f>ROUND(G917*$C917,0)</f>
        <v>619638</v>
      </c>
      <c r="J917" s="200">
        <f>J878</f>
        <v>1.22</v>
      </c>
      <c r="K917" s="184"/>
      <c r="L917" s="2">
        <f>ROUND(J917*$C917,0)</f>
        <v>619638</v>
      </c>
      <c r="M917" s="279"/>
      <c r="N917" s="11"/>
      <c r="O917" s="38"/>
      <c r="P917" s="38"/>
      <c r="Q917" s="38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idden="1">
      <c r="A918" s="186" t="s">
        <v>278</v>
      </c>
      <c r="B918" s="1"/>
      <c r="C918" s="182">
        <v>0</v>
      </c>
      <c r="D918" s="200">
        <f>D879</f>
        <v>1.0900000000000001</v>
      </c>
      <c r="E918" s="184"/>
      <c r="F918" s="2">
        <f>ROUND(D918*C918,0)</f>
        <v>0</v>
      </c>
      <c r="G918" s="216">
        <v>1.0900000000000001</v>
      </c>
      <c r="H918" s="184"/>
      <c r="I918" s="2">
        <f>ROUND(G918*$C918,0)</f>
        <v>0</v>
      </c>
      <c r="J918" s="200">
        <f>J879</f>
        <v>1.0900000000000001</v>
      </c>
      <c r="K918" s="184"/>
      <c r="L918" s="2">
        <f>ROUND(J918*$C918,0)</f>
        <v>0</v>
      </c>
      <c r="M918" s="279"/>
      <c r="N918" s="11"/>
      <c r="O918" s="38"/>
      <c r="P918" s="38"/>
      <c r="Q918" s="38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idden="1">
      <c r="A919" s="284" t="s">
        <v>539</v>
      </c>
      <c r="B919" s="1"/>
      <c r="C919" s="182">
        <v>439191.79064761166</v>
      </c>
      <c r="D919" s="200">
        <f>D880</f>
        <v>8.73</v>
      </c>
      <c r="E919" s="184"/>
      <c r="F919" s="2">
        <f>ROUND(D919*$C919,0)</f>
        <v>3834144</v>
      </c>
      <c r="G919" s="216">
        <v>8.73</v>
      </c>
      <c r="H919" s="184"/>
      <c r="I919" s="2">
        <f>ROUND(G919*$C919,0)</f>
        <v>3834144</v>
      </c>
      <c r="J919" s="200">
        <f>J880</f>
        <v>8.73</v>
      </c>
      <c r="K919" s="184"/>
      <c r="L919" s="2">
        <f>ROUND(J919*$C919,0)</f>
        <v>3834144</v>
      </c>
      <c r="M919" s="279"/>
      <c r="N919" s="11"/>
      <c r="O919" s="38"/>
      <c r="P919" s="38"/>
      <c r="Q919" s="38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idden="1">
      <c r="A920" s="186" t="s">
        <v>230</v>
      </c>
      <c r="B920" s="1"/>
      <c r="C920" s="182"/>
      <c r="D920" s="200"/>
      <c r="E920" s="184"/>
      <c r="F920" s="2"/>
      <c r="G920" s="216" t="s">
        <v>13</v>
      </c>
      <c r="H920" s="184"/>
      <c r="I920" s="2"/>
      <c r="J920" s="200" t="s">
        <v>13</v>
      </c>
      <c r="K920" s="184"/>
      <c r="L920" s="2"/>
      <c r="M920" s="279"/>
      <c r="N920" s="11"/>
      <c r="O920" s="38"/>
      <c r="P920" s="38"/>
      <c r="Q920" s="38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idden="1">
      <c r="A921" s="186" t="s">
        <v>268</v>
      </c>
      <c r="B921" s="1"/>
      <c r="C921" s="182">
        <v>200889250</v>
      </c>
      <c r="D921" s="258"/>
      <c r="E921" s="184"/>
      <c r="F921" s="2"/>
      <c r="G921" s="749"/>
      <c r="H921" s="184"/>
      <c r="I921" s="2"/>
      <c r="J921" s="258"/>
      <c r="K921" s="184"/>
      <c r="L921" s="2"/>
      <c r="M921" s="279"/>
      <c r="N921" s="11"/>
      <c r="O921" s="38"/>
      <c r="P921" s="38"/>
      <c r="Q921" s="38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idden="1">
      <c r="A922" s="172" t="s">
        <v>524</v>
      </c>
      <c r="B922" s="1"/>
      <c r="C922" s="182">
        <v>79038488.398078084</v>
      </c>
      <c r="D922" s="245">
        <f>D883</f>
        <v>5.3079999999999998</v>
      </c>
      <c r="E922" s="184" t="s">
        <v>178</v>
      </c>
      <c r="F922" s="184">
        <f>ROUND(D922/100*C922,0)</f>
        <v>4195363</v>
      </c>
      <c r="G922" s="287">
        <v>5.6310000000000002</v>
      </c>
      <c r="H922" s="184" t="s">
        <v>178</v>
      </c>
      <c r="I922" s="184">
        <f>ROUND(G922/100*$C922,0)</f>
        <v>4450657</v>
      </c>
      <c r="J922" s="245">
        <f ca="1">J883</f>
        <v>5.617</v>
      </c>
      <c r="K922" s="184" t="s">
        <v>178</v>
      </c>
      <c r="L922" s="184">
        <f ca="1">ROUND(J922/100*$C922,0)</f>
        <v>4439592</v>
      </c>
      <c r="M922" s="279"/>
      <c r="N922" s="11"/>
      <c r="O922" s="38"/>
      <c r="P922" s="38"/>
      <c r="Q922" s="38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idden="1">
      <c r="A923" s="172" t="s">
        <v>525</v>
      </c>
      <c r="B923" s="1"/>
      <c r="C923" s="182">
        <f>C925-C922</f>
        <v>121850761.60192192</v>
      </c>
      <c r="D923" s="245">
        <f>D884</f>
        <v>4.375</v>
      </c>
      <c r="E923" s="184" t="s">
        <v>178</v>
      </c>
      <c r="F923" s="184">
        <f>ROUND(D923/100*C923,0)</f>
        <v>5330971</v>
      </c>
      <c r="G923" s="287">
        <v>4.6980000000000004</v>
      </c>
      <c r="H923" s="184" t="s">
        <v>178</v>
      </c>
      <c r="I923" s="184">
        <f>ROUND(G923/100*$C923,0)</f>
        <v>5724549</v>
      </c>
      <c r="J923" s="245">
        <f ca="1">J884</f>
        <v>4.6840000000000002</v>
      </c>
      <c r="K923" s="184" t="s">
        <v>178</v>
      </c>
      <c r="L923" s="184">
        <f ca="1">ROUND(J923/100*$C923,0)</f>
        <v>5707490</v>
      </c>
      <c r="M923" s="279"/>
      <c r="N923" s="11"/>
      <c r="O923" s="38"/>
      <c r="P923" s="38"/>
      <c r="Q923" s="38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idden="1">
      <c r="A924" s="186" t="s">
        <v>204</v>
      </c>
      <c r="B924" s="1"/>
      <c r="C924" s="182">
        <v>117511.939393939</v>
      </c>
      <c r="D924" s="189">
        <v>0.56999999999999995</v>
      </c>
      <c r="E924" s="184"/>
      <c r="F924" s="2">
        <f>C924*D924</f>
        <v>66981.805454545218</v>
      </c>
      <c r="G924" s="216">
        <v>0.56999999999999995</v>
      </c>
      <c r="H924" s="184"/>
      <c r="I924" s="2">
        <f>C924*G924</f>
        <v>66981.805454545218</v>
      </c>
      <c r="J924" s="189">
        <f>J885</f>
        <v>0.56999999999999995</v>
      </c>
      <c r="K924" s="184"/>
      <c r="L924" s="2">
        <f>C924*J924</f>
        <v>66981.805454545218</v>
      </c>
      <c r="M924" s="279"/>
      <c r="N924" s="38"/>
      <c r="O924" s="38"/>
      <c r="P924" s="11"/>
      <c r="Q924" s="11"/>
      <c r="R924" s="11"/>
      <c r="S924" s="11"/>
      <c r="T924" s="11"/>
      <c r="U924" s="11"/>
      <c r="V924" s="11"/>
      <c r="Y924" s="11"/>
      <c r="Z924" s="11"/>
      <c r="AA924" s="11"/>
      <c r="AB924" s="11"/>
      <c r="AC924" s="11"/>
      <c r="AD924" s="11"/>
      <c r="AE924" s="11"/>
      <c r="AF924" s="11"/>
    </row>
    <row r="925" spans="1:34" hidden="1">
      <c r="A925" s="1" t="s">
        <v>185</v>
      </c>
      <c r="B925" s="1"/>
      <c r="C925" s="182">
        <f>C921</f>
        <v>200889250</v>
      </c>
      <c r="D925" s="193"/>
      <c r="E925" s="1"/>
      <c r="F925" s="2">
        <f>SUM(F914:F924)</f>
        <v>14457907.805454545</v>
      </c>
      <c r="G925" s="733"/>
      <c r="H925" s="1"/>
      <c r="I925" s="2">
        <f>SUM(I914:I924)</f>
        <v>15106779.805454545</v>
      </c>
      <c r="J925" s="193"/>
      <c r="K925" s="1"/>
      <c r="L925" s="2">
        <f ca="1">SUM(L914:L924)</f>
        <v>15078655.805454545</v>
      </c>
      <c r="M925" s="279"/>
      <c r="N925" s="6"/>
      <c r="O925" s="38"/>
      <c r="P925" s="38"/>
      <c r="Q925" s="38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idden="1">
      <c r="A926" s="1" t="s">
        <v>167</v>
      </c>
      <c r="B926" s="1"/>
      <c r="C926" s="182">
        <f>C925/($C$925+$C$985)*$C$1025</f>
        <v>3775395.0684998897</v>
      </c>
      <c r="D926" s="172"/>
      <c r="E926" s="172"/>
      <c r="F926" s="204">
        <f>F925/($F$925+$F$985)*$F$1025</f>
        <v>87471.763428116115</v>
      </c>
      <c r="G926" s="284"/>
      <c r="H926" s="172"/>
      <c r="I926" s="204">
        <f>F926</f>
        <v>87471.763428116115</v>
      </c>
      <c r="J926" s="172"/>
      <c r="K926" s="172"/>
      <c r="L926" s="204">
        <f>I926</f>
        <v>87471.763428116115</v>
      </c>
      <c r="M926" s="279"/>
      <c r="N926" s="307"/>
      <c r="O926" s="150"/>
      <c r="P926" s="38"/>
      <c r="Q926" s="38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6.5" hidden="1" thickBot="1">
      <c r="A927" s="1" t="s">
        <v>186</v>
      </c>
      <c r="B927" s="1"/>
      <c r="C927" s="256">
        <f>SUM(C925)+C926</f>
        <v>204664645.06849989</v>
      </c>
      <c r="D927" s="205"/>
      <c r="E927" s="208"/>
      <c r="F927" s="207">
        <f>F925+F926</f>
        <v>14545379.568882661</v>
      </c>
      <c r="G927" s="741"/>
      <c r="H927" s="208"/>
      <c r="I927" s="207">
        <f>I925+I926</f>
        <v>15194251.568882661</v>
      </c>
      <c r="J927" s="205"/>
      <c r="K927" s="208"/>
      <c r="L927" s="207">
        <f ca="1">L925+L926</f>
        <v>15166127.568882661</v>
      </c>
      <c r="M927" s="279"/>
      <c r="N927" s="274"/>
      <c r="O927" s="333"/>
      <c r="P927" s="38"/>
      <c r="Q927" s="38"/>
      <c r="R927" s="510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6.5" hidden="1" thickTop="1">
      <c r="A928" s="1"/>
      <c r="B928" s="1"/>
      <c r="C928" s="12"/>
      <c r="D928" s="200"/>
      <c r="E928" s="1"/>
      <c r="F928" s="2"/>
      <c r="G928" s="216"/>
      <c r="H928" s="1"/>
      <c r="I928" s="243"/>
      <c r="J928" s="200"/>
      <c r="K928" s="1"/>
      <c r="L928" s="243"/>
      <c r="M928" s="279"/>
      <c r="N928" s="11"/>
      <c r="O928" s="38"/>
      <c r="P928" s="500"/>
      <c r="Q928" s="500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>
      <c r="A929" s="1"/>
      <c r="B929" s="1"/>
      <c r="C929" s="12"/>
      <c r="D929" s="200"/>
      <c r="E929" s="1"/>
      <c r="F929" s="2"/>
      <c r="G929" s="216"/>
      <c r="H929" s="1"/>
      <c r="I929" s="243"/>
      <c r="J929" s="200"/>
      <c r="K929" s="1"/>
      <c r="L929" s="243"/>
      <c r="M929" s="279"/>
      <c r="N929" s="11"/>
      <c r="O929" s="38"/>
      <c r="P929" s="500"/>
      <c r="Q929" s="500"/>
      <c r="R929" s="11"/>
      <c r="S929" s="18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>
      <c r="A930" s="156" t="s">
        <v>280</v>
      </c>
      <c r="B930" s="1"/>
      <c r="C930" s="1"/>
      <c r="D930" s="2"/>
      <c r="E930" s="1"/>
      <c r="F930" s="1"/>
      <c r="G930" s="516"/>
      <c r="H930" s="1"/>
      <c r="I930" s="1"/>
      <c r="J930" s="2"/>
      <c r="K930" s="1"/>
      <c r="L930" s="1"/>
      <c r="M930" s="279"/>
      <c r="N930" s="11"/>
      <c r="O930" s="38"/>
      <c r="P930" s="38"/>
      <c r="Q930" s="38"/>
      <c r="R930" s="11"/>
      <c r="S930" s="66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>
      <c r="A931" s="172" t="s">
        <v>435</v>
      </c>
      <c r="B931" s="1"/>
      <c r="C931" s="1"/>
      <c r="D931" s="2"/>
      <c r="E931" s="1"/>
      <c r="F931" s="1"/>
      <c r="G931" s="516"/>
      <c r="H931" s="1"/>
      <c r="I931" s="1"/>
      <c r="J931" s="2"/>
      <c r="K931" s="1"/>
      <c r="L931" s="1"/>
      <c r="M931" s="279"/>
      <c r="N931" s="11"/>
      <c r="O931" s="38"/>
      <c r="P931" s="38"/>
      <c r="Q931" s="38"/>
      <c r="R931" s="11"/>
      <c r="S931" s="660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>
      <c r="A932" s="1" t="s">
        <v>13</v>
      </c>
      <c r="B932" s="1"/>
      <c r="C932" s="1"/>
      <c r="D932" s="2"/>
      <c r="E932" s="1"/>
      <c r="F932" s="1"/>
      <c r="G932" s="516"/>
      <c r="H932" s="1"/>
      <c r="I932" s="1"/>
      <c r="J932" s="2"/>
      <c r="K932" s="1"/>
      <c r="L932" s="1"/>
      <c r="M932" s="279"/>
      <c r="N932" s="11"/>
      <c r="O932" s="38"/>
      <c r="P932" s="38"/>
      <c r="Q932" s="38"/>
      <c r="R932" s="11"/>
      <c r="S932" s="18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>
      <c r="A933" s="186" t="s">
        <v>197</v>
      </c>
      <c r="B933" s="1"/>
      <c r="C933" s="182"/>
      <c r="D933" s="2"/>
      <c r="E933" s="1"/>
      <c r="F933" s="1"/>
      <c r="G933" s="516"/>
      <c r="H933" s="1"/>
      <c r="I933" s="1"/>
      <c r="J933" s="2"/>
      <c r="K933" s="1"/>
      <c r="L933" s="1"/>
      <c r="M933" s="279"/>
      <c r="N933" s="11"/>
      <c r="O933" s="38"/>
      <c r="P933" s="38"/>
      <c r="Q933" s="38"/>
      <c r="R933" s="11"/>
      <c r="S933" s="66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>
      <c r="A934" s="186" t="s">
        <v>275</v>
      </c>
      <c r="B934" s="1"/>
      <c r="C934" s="182">
        <f t="shared" ref="C934:C939" si="83">C955+C974</f>
        <v>132</v>
      </c>
      <c r="D934" s="200">
        <v>1344</v>
      </c>
      <c r="E934" s="184"/>
      <c r="F934" s="2">
        <f>ROUND(D934*C934,0)</f>
        <v>177408</v>
      </c>
      <c r="G934" s="506">
        <v>1344</v>
      </c>
      <c r="H934" s="184"/>
      <c r="I934" s="2">
        <f>ROUND(G934*$C934,0)</f>
        <v>177408</v>
      </c>
      <c r="J934" s="164">
        <f t="shared" ref="J934:J935" si="84">G934</f>
        <v>1344</v>
      </c>
      <c r="K934" s="184"/>
      <c r="L934" s="2">
        <f>ROUND(J934*$C934,0)</f>
        <v>177408</v>
      </c>
      <c r="M934" s="279"/>
      <c r="N934" s="11"/>
      <c r="O934" s="38"/>
      <c r="P934" s="513"/>
      <c r="Q934" s="500"/>
      <c r="R934" s="11"/>
      <c r="S934" s="660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>
      <c r="A935" s="186" t="s">
        <v>276</v>
      </c>
      <c r="B935" s="1"/>
      <c r="C935" s="182">
        <f t="shared" si="83"/>
        <v>0</v>
      </c>
      <c r="D935" s="200">
        <v>1618</v>
      </c>
      <c r="E935" s="187"/>
      <c r="F935" s="2">
        <f>ROUND(D935*C935,0)</f>
        <v>0</v>
      </c>
      <c r="G935" s="506">
        <v>1618</v>
      </c>
      <c r="H935" s="187"/>
      <c r="I935" s="2">
        <f>ROUND(G935*$C935,0)</f>
        <v>0</v>
      </c>
      <c r="J935" s="164">
        <f t="shared" si="84"/>
        <v>1618</v>
      </c>
      <c r="K935" s="187"/>
      <c r="L935" s="2">
        <f>ROUND(J935*$C935,0)</f>
        <v>0</v>
      </c>
      <c r="M935" s="279"/>
      <c r="N935" s="11"/>
      <c r="O935" s="38"/>
      <c r="P935" s="513"/>
      <c r="Q935" s="500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>
      <c r="A936" s="186" t="s">
        <v>198</v>
      </c>
      <c r="B936" s="1"/>
      <c r="C936" s="182">
        <f t="shared" si="83"/>
        <v>132</v>
      </c>
      <c r="D936" s="200" t="s">
        <v>13</v>
      </c>
      <c r="E936" s="184"/>
      <c r="F936" s="2" t="s">
        <v>13</v>
      </c>
      <c r="G936" s="216" t="s">
        <v>13</v>
      </c>
      <c r="H936" s="184"/>
      <c r="I936" s="2" t="s">
        <v>13</v>
      </c>
      <c r="J936" s="189" t="s">
        <v>13</v>
      </c>
      <c r="K936" s="184"/>
      <c r="L936" s="2" t="s">
        <v>13</v>
      </c>
      <c r="M936" s="279"/>
      <c r="N936" s="11"/>
      <c r="O936" s="38"/>
      <c r="P936" s="617"/>
      <c r="Q936" s="38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>
      <c r="A937" s="186" t="s">
        <v>277</v>
      </c>
      <c r="B937" s="1"/>
      <c r="C937" s="182">
        <f t="shared" si="83"/>
        <v>205955</v>
      </c>
      <c r="D937" s="200">
        <v>0.61</v>
      </c>
      <c r="E937" s="184"/>
      <c r="F937" s="2">
        <f>ROUND(D937*C937,0)</f>
        <v>125633</v>
      </c>
      <c r="G937" s="506">
        <v>0.61</v>
      </c>
      <c r="H937" s="184"/>
      <c r="I937" s="2">
        <f>ROUND(G937*$C937,0)</f>
        <v>125633</v>
      </c>
      <c r="J937" s="164">
        <f t="shared" ref="J937:J939" si="85">G937</f>
        <v>0.61</v>
      </c>
      <c r="K937" s="184"/>
      <c r="L937" s="2">
        <f>ROUND(J937*$C937,0)</f>
        <v>125633</v>
      </c>
      <c r="M937" s="279"/>
      <c r="N937" s="11"/>
      <c r="O937" s="38"/>
      <c r="P937" s="513"/>
      <c r="Q937" s="500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>
      <c r="A938" s="186" t="s">
        <v>278</v>
      </c>
      <c r="B938" s="1"/>
      <c r="C938" s="182">
        <f t="shared" si="83"/>
        <v>0</v>
      </c>
      <c r="D938" s="200">
        <v>0.5</v>
      </c>
      <c r="E938" s="184"/>
      <c r="F938" s="2">
        <f>ROUND(D938*C938,0)</f>
        <v>0</v>
      </c>
      <c r="G938" s="506">
        <v>0.5</v>
      </c>
      <c r="H938" s="184"/>
      <c r="I938" s="2">
        <f>ROUND(G938*$C938,0)</f>
        <v>0</v>
      </c>
      <c r="J938" s="164">
        <f t="shared" si="85"/>
        <v>0.5</v>
      </c>
      <c r="K938" s="184"/>
      <c r="L938" s="2">
        <f>ROUND(J938*$C938,0)</f>
        <v>0</v>
      </c>
      <c r="M938" s="279"/>
      <c r="N938" s="11"/>
      <c r="O938" s="38"/>
      <c r="P938" s="513"/>
      <c r="Q938" s="500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>
      <c r="A939" s="284" t="s">
        <v>539</v>
      </c>
      <c r="B939" s="1"/>
      <c r="C939" s="182">
        <f t="shared" si="83"/>
        <v>160253.28000000003</v>
      </c>
      <c r="D939" s="200">
        <v>8.8000000000000007</v>
      </c>
      <c r="E939" s="184"/>
      <c r="F939" s="2">
        <f>ROUND(D939*C939,0)</f>
        <v>1410229</v>
      </c>
      <c r="G939" s="506">
        <v>8.8000000000000007</v>
      </c>
      <c r="H939" s="184"/>
      <c r="I939" s="2">
        <f>ROUND(G939*$C939,0)</f>
        <v>1410229</v>
      </c>
      <c r="J939" s="164">
        <f t="shared" si="85"/>
        <v>8.8000000000000007</v>
      </c>
      <c r="K939" s="184"/>
      <c r="L939" s="2">
        <f>ROUND(J939*$C939,0)</f>
        <v>1410229</v>
      </c>
      <c r="M939" s="279"/>
      <c r="N939" s="11"/>
      <c r="O939" s="38"/>
      <c r="P939" s="513"/>
      <c r="Q939" s="500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>
      <c r="A940" s="186" t="s">
        <v>230</v>
      </c>
      <c r="B940" s="1"/>
      <c r="C940" s="182"/>
      <c r="D940" s="200" t="s">
        <v>13</v>
      </c>
      <c r="E940" s="184"/>
      <c r="F940" s="2"/>
      <c r="G940" s="216" t="s">
        <v>13</v>
      </c>
      <c r="H940" s="184"/>
      <c r="I940" s="2"/>
      <c r="J940" s="189" t="s">
        <v>13</v>
      </c>
      <c r="K940" s="184"/>
      <c r="L940" s="2"/>
      <c r="M940" s="279"/>
      <c r="N940" s="11"/>
      <c r="O940" s="38"/>
      <c r="P940" s="617"/>
      <c r="Q940" s="38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>
      <c r="A941" s="186" t="s">
        <v>268</v>
      </c>
      <c r="B941" s="1"/>
      <c r="C941" s="182">
        <f>C962+C981</f>
        <v>66470622.809296638</v>
      </c>
      <c r="D941" s="258"/>
      <c r="E941" s="184"/>
      <c r="F941" s="2">
        <f>ROUND(D941/100*C941,0)</f>
        <v>0</v>
      </c>
      <c r="G941" s="749"/>
      <c r="H941" s="184"/>
      <c r="I941" s="2">
        <v>0</v>
      </c>
      <c r="J941" s="258"/>
      <c r="K941" s="184"/>
      <c r="L941" s="2">
        <v>0</v>
      </c>
      <c r="M941" s="279"/>
      <c r="N941" s="11"/>
      <c r="O941" s="38"/>
      <c r="P941" s="513"/>
      <c r="Q941" s="500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>
      <c r="A942" s="172" t="s">
        <v>524</v>
      </c>
      <c r="B942" s="1"/>
      <c r="C942" s="182">
        <f>C963+C982</f>
        <v>26640426.743147943</v>
      </c>
      <c r="D942" s="245">
        <v>5.2480000000000002</v>
      </c>
      <c r="E942" s="184" t="s">
        <v>178</v>
      </c>
      <c r="F942" s="2">
        <f>ROUND(D942/100*C942,0)</f>
        <v>1398090</v>
      </c>
      <c r="G942" s="731">
        <v>5.5709999999999997</v>
      </c>
      <c r="H942" s="184" t="s">
        <v>178</v>
      </c>
      <c r="I942" s="2">
        <f>ROUND(G942/100*$C942,0)</f>
        <v>1484138</v>
      </c>
      <c r="J942" s="162">
        <f t="shared" ref="J942:J943" ca="1" si="86">ROUND(G942+($O$833/($C$886+$C$945))*100,3)</f>
        <v>5.5570000000000004</v>
      </c>
      <c r="K942" s="184" t="s">
        <v>178</v>
      </c>
      <c r="L942" s="2">
        <f ca="1">ROUND(J942/100*$C942,0)</f>
        <v>1480409</v>
      </c>
      <c r="M942" s="279"/>
      <c r="N942" s="11"/>
      <c r="O942" s="38"/>
      <c r="P942" s="38"/>
      <c r="Q942" s="38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>
      <c r="A943" s="172" t="s">
        <v>525</v>
      </c>
      <c r="B943" s="1"/>
      <c r="C943" s="182">
        <f>C964+C983</f>
        <v>39830196.066148698</v>
      </c>
      <c r="D943" s="245">
        <v>4.3150000000000004</v>
      </c>
      <c r="E943" s="184" t="s">
        <v>178</v>
      </c>
      <c r="F943" s="2">
        <f>ROUND(D943/100*C943,0)</f>
        <v>1718673</v>
      </c>
      <c r="G943" s="731">
        <v>4.6379999999999999</v>
      </c>
      <c r="H943" s="184" t="s">
        <v>178</v>
      </c>
      <c r="I943" s="2">
        <f>ROUND(G943/100*$C943,0)</f>
        <v>1847324</v>
      </c>
      <c r="J943" s="162">
        <f t="shared" ca="1" si="86"/>
        <v>4.6239999999999997</v>
      </c>
      <c r="K943" s="184" t="s">
        <v>178</v>
      </c>
      <c r="L943" s="2">
        <f ca="1">ROUND(J943/100*$C943,0)</f>
        <v>1841748</v>
      </c>
      <c r="M943" s="279"/>
      <c r="N943" s="11"/>
      <c r="O943" s="38"/>
      <c r="P943" s="38"/>
      <c r="Q943" s="38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>
      <c r="A944" s="186" t="s">
        <v>204</v>
      </c>
      <c r="B944" s="1"/>
      <c r="C944" s="182">
        <f>C965+C984</f>
        <v>15016</v>
      </c>
      <c r="D944" s="189">
        <v>0.56000000000000005</v>
      </c>
      <c r="E944" s="184"/>
      <c r="F944" s="2">
        <f>C944*D944</f>
        <v>8408.9600000000009</v>
      </c>
      <c r="G944" s="216">
        <v>0.56000000000000005</v>
      </c>
      <c r="H944" s="184"/>
      <c r="I944" s="2">
        <f>C944*G944</f>
        <v>8408.9600000000009</v>
      </c>
      <c r="J944" s="189">
        <f t="shared" ref="J944" si="87">G944</f>
        <v>0.56000000000000005</v>
      </c>
      <c r="K944" s="184"/>
      <c r="L944" s="2">
        <f>C944*J944</f>
        <v>8408.9600000000009</v>
      </c>
      <c r="M944" s="279"/>
      <c r="N944" s="38"/>
      <c r="O944" s="38"/>
      <c r="P944" s="11"/>
      <c r="Q944" s="11"/>
      <c r="R944" s="11"/>
      <c r="S944" s="11"/>
      <c r="T944" s="11"/>
      <c r="U944" s="11"/>
      <c r="V944" s="11"/>
      <c r="Y944" s="11"/>
      <c r="Z944" s="11"/>
      <c r="AA944" s="11"/>
      <c r="AB944" s="11"/>
      <c r="AC944" s="11"/>
      <c r="AD944" s="11"/>
      <c r="AE944" s="11"/>
      <c r="AF944" s="11"/>
    </row>
    <row r="945" spans="1:34">
      <c r="A945" s="1" t="s">
        <v>185</v>
      </c>
      <c r="B945" s="1"/>
      <c r="C945" s="182">
        <f>C941</f>
        <v>66470622.809296638</v>
      </c>
      <c r="D945" s="193"/>
      <c r="E945" s="1"/>
      <c r="F945" s="2">
        <f>SUM(F934:F944)</f>
        <v>4838441.96</v>
      </c>
      <c r="G945" s="733"/>
      <c r="H945" s="1"/>
      <c r="I945" s="2">
        <f>SUM(I934:I944)</f>
        <v>5053140.96</v>
      </c>
      <c r="J945" s="193"/>
      <c r="K945" s="1"/>
      <c r="L945" s="2">
        <f ca="1">SUM(L934:L944)</f>
        <v>5043835.96</v>
      </c>
      <c r="M945" s="279"/>
      <c r="N945" s="11"/>
      <c r="O945" s="38"/>
      <c r="P945" s="38"/>
      <c r="Q945" s="38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>
      <c r="A946" s="1" t="s">
        <v>167</v>
      </c>
      <c r="B946" s="1"/>
      <c r="C946" s="182">
        <f>C967+C986</f>
        <v>620304.31645246211</v>
      </c>
      <c r="D946" s="172"/>
      <c r="E946" s="172"/>
      <c r="F946" s="204">
        <f>F967+F986</f>
        <v>62438.396541947302</v>
      </c>
      <c r="G946" s="284"/>
      <c r="H946" s="172"/>
      <c r="I946" s="204">
        <f>F946</f>
        <v>62438.396541947302</v>
      </c>
      <c r="J946" s="172"/>
      <c r="K946" s="172"/>
      <c r="L946" s="204">
        <f>I946</f>
        <v>62438.396541947302</v>
      </c>
      <c r="M946" s="279"/>
      <c r="N946" s="307"/>
      <c r="O946" s="150"/>
      <c r="P946" s="38"/>
      <c r="Q946" s="38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6.5" thickBot="1">
      <c r="A947" s="1" t="s">
        <v>186</v>
      </c>
      <c r="B947" s="1"/>
      <c r="C947" s="256">
        <f>SUM(C945)+C946</f>
        <v>67090927.125749096</v>
      </c>
      <c r="D947" s="205"/>
      <c r="E947" s="208"/>
      <c r="F947" s="207">
        <f>F945+F946</f>
        <v>4900880.3565419475</v>
      </c>
      <c r="G947" s="741"/>
      <c r="H947" s="208"/>
      <c r="I947" s="207">
        <f>I945+I946</f>
        <v>5115579.3565419475</v>
      </c>
      <c r="J947" s="205"/>
      <c r="K947" s="208"/>
      <c r="L947" s="207">
        <f ca="1">L945+L946</f>
        <v>5106274.3565419475</v>
      </c>
      <c r="M947" s="279"/>
      <c r="N947" s="274"/>
      <c r="O947" s="500"/>
      <c r="P947" s="513"/>
      <c r="Q947" s="38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6.5" hidden="1" thickTop="1">
      <c r="A948" s="1"/>
      <c r="B948" s="1"/>
      <c r="C948" s="12"/>
      <c r="D948" s="200" t="s">
        <v>13</v>
      </c>
      <c r="E948" s="1"/>
      <c r="F948" s="2"/>
      <c r="G948" s="216" t="s">
        <v>13</v>
      </c>
      <c r="H948" s="1"/>
      <c r="I948" s="2" t="s">
        <v>13</v>
      </c>
      <c r="J948" s="216" t="s">
        <v>13</v>
      </c>
      <c r="K948" s="1"/>
      <c r="L948" s="2" t="s">
        <v>13</v>
      </c>
      <c r="M948" s="715"/>
      <c r="N948" s="715"/>
      <c r="O948" s="715"/>
      <c r="P948" s="715"/>
      <c r="Q948" s="38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6.5" hidden="1" thickTop="1">
      <c r="A949" s="1"/>
      <c r="B949" s="1"/>
      <c r="C949" s="679" t="s">
        <v>13</v>
      </c>
      <c r="D949" s="200" t="s">
        <v>13</v>
      </c>
      <c r="E949" s="1"/>
      <c r="F949" s="2"/>
      <c r="G949" s="216" t="s">
        <v>13</v>
      </c>
      <c r="H949" s="1"/>
      <c r="I949" s="2" t="s">
        <v>13</v>
      </c>
      <c r="J949" s="216" t="s">
        <v>13</v>
      </c>
      <c r="K949" s="1"/>
      <c r="L949" s="2" t="s">
        <v>13</v>
      </c>
      <c r="M949" s="274"/>
      <c r="N949" s="274"/>
      <c r="O949" s="274"/>
      <c r="P949" s="274"/>
      <c r="Q949" s="38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6.5" hidden="1" thickTop="1">
      <c r="A950" s="1"/>
      <c r="B950" s="1"/>
      <c r="C950" s="12"/>
      <c r="D950" s="200"/>
      <c r="E950" s="1"/>
      <c r="F950" s="2"/>
      <c r="G950" s="216"/>
      <c r="H950" s="1"/>
      <c r="I950" s="243"/>
      <c r="J950" s="200"/>
      <c r="K950" s="1"/>
      <c r="L950" s="243"/>
      <c r="M950" s="11"/>
      <c r="N950" s="11"/>
      <c r="O950" s="38"/>
      <c r="P950" s="38"/>
      <c r="Q950" s="38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6.5" hidden="1" thickTop="1">
      <c r="A951" s="156" t="s">
        <v>280</v>
      </c>
      <c r="B951" s="1"/>
      <c r="C951" s="1"/>
      <c r="D951" s="2"/>
      <c r="E951" s="1"/>
      <c r="F951" s="1"/>
      <c r="G951" s="516"/>
      <c r="H951" s="1"/>
      <c r="I951" s="1"/>
      <c r="J951" s="2"/>
      <c r="K951" s="1"/>
      <c r="L951" s="1"/>
      <c r="M951" s="11"/>
      <c r="N951" s="11"/>
      <c r="O951" s="38"/>
      <c r="P951" s="38"/>
      <c r="Q951" s="38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6.5" hidden="1" thickTop="1">
      <c r="A952" s="172" t="s">
        <v>431</v>
      </c>
      <c r="B952" s="1"/>
      <c r="C952" s="1"/>
      <c r="D952" s="2"/>
      <c r="E952" s="1"/>
      <c r="F952" s="1"/>
      <c r="G952" s="516"/>
      <c r="H952" s="1"/>
      <c r="I952" s="1"/>
      <c r="J952" s="2"/>
      <c r="K952" s="1"/>
      <c r="L952" s="1"/>
      <c r="M952" s="11"/>
      <c r="N952" s="11"/>
      <c r="O952" s="38"/>
      <c r="P952" s="38"/>
      <c r="Q952" s="38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6.5" hidden="1" thickTop="1">
      <c r="A953" s="1" t="s">
        <v>13</v>
      </c>
      <c r="B953" s="1"/>
      <c r="C953" s="1"/>
      <c r="D953" s="2"/>
      <c r="E953" s="1"/>
      <c r="F953" s="1"/>
      <c r="G953" s="516"/>
      <c r="H953" s="1"/>
      <c r="I953" s="1"/>
      <c r="J953" s="2"/>
      <c r="K953" s="1"/>
      <c r="L953" s="1"/>
      <c r="M953" s="11"/>
      <c r="N953" s="11"/>
      <c r="O953" s="38"/>
      <c r="P953" s="38"/>
      <c r="Q953" s="38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6.5" hidden="1" thickTop="1">
      <c r="A954" s="186" t="s">
        <v>197</v>
      </c>
      <c r="B954" s="1"/>
      <c r="C954" s="182"/>
      <c r="D954" s="2"/>
      <c r="E954" s="1"/>
      <c r="F954" s="1"/>
      <c r="G954" s="516"/>
      <c r="H954" s="1"/>
      <c r="I954" s="1"/>
      <c r="J954" s="2"/>
      <c r="K954" s="1"/>
      <c r="L954" s="1"/>
      <c r="M954" s="11"/>
      <c r="N954" s="11"/>
      <c r="O954" s="38"/>
      <c r="P954" s="38"/>
      <c r="Q954" s="38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6.5" hidden="1" thickTop="1">
      <c r="A955" s="186" t="s">
        <v>275</v>
      </c>
      <c r="B955" s="1"/>
      <c r="C955" s="182">
        <v>108</v>
      </c>
      <c r="D955" s="200">
        <f>D934</f>
        <v>1344</v>
      </c>
      <c r="E955" s="184"/>
      <c r="F955" s="2">
        <f>ROUND(D955*C955,0)</f>
        <v>145152</v>
      </c>
      <c r="G955" s="216">
        <v>1344</v>
      </c>
      <c r="H955" s="184"/>
      <c r="I955" s="2">
        <f>ROUND(G955*$C955,0)</f>
        <v>145152</v>
      </c>
      <c r="J955" s="200">
        <f>J934</f>
        <v>1344</v>
      </c>
      <c r="K955" s="184"/>
      <c r="L955" s="2">
        <f>ROUND(J955*$C955,0)</f>
        <v>145152</v>
      </c>
      <c r="M955" s="11"/>
      <c r="N955" s="11"/>
      <c r="O955" s="38"/>
      <c r="P955" s="38"/>
      <c r="Q955" s="38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6.5" hidden="1" thickTop="1">
      <c r="A956" s="186" t="s">
        <v>276</v>
      </c>
      <c r="B956" s="1"/>
      <c r="C956" s="182">
        <v>0</v>
      </c>
      <c r="D956" s="200">
        <f>D935</f>
        <v>1618</v>
      </c>
      <c r="E956" s="187"/>
      <c r="F956" s="2">
        <f>ROUND(D956*C956,0)</f>
        <v>0</v>
      </c>
      <c r="G956" s="216">
        <v>1618</v>
      </c>
      <c r="H956" s="187"/>
      <c r="I956" s="2">
        <f>ROUND(G956*$C956,0)</f>
        <v>0</v>
      </c>
      <c r="J956" s="200">
        <f>J935</f>
        <v>1618</v>
      </c>
      <c r="K956" s="187"/>
      <c r="L956" s="2">
        <f>ROUND(J956*$C956,0)</f>
        <v>0</v>
      </c>
      <c r="M956" s="11"/>
      <c r="N956" s="11"/>
      <c r="O956" s="38"/>
      <c r="P956" s="38"/>
      <c r="Q956" s="38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6.5" hidden="1" thickTop="1">
      <c r="A957" s="186" t="s">
        <v>198</v>
      </c>
      <c r="B957" s="1"/>
      <c r="C957" s="182">
        <f>SUM(C955:C956)</f>
        <v>108</v>
      </c>
      <c r="D957" s="200"/>
      <c r="E957" s="184"/>
      <c r="F957" s="2" t="s">
        <v>13</v>
      </c>
      <c r="G957" s="216" t="s">
        <v>13</v>
      </c>
      <c r="H957" s="184"/>
      <c r="I957" s="2" t="s">
        <v>13</v>
      </c>
      <c r="J957" s="200" t="s">
        <v>13</v>
      </c>
      <c r="K957" s="184"/>
      <c r="L957" s="2" t="s">
        <v>13</v>
      </c>
      <c r="M957" s="11"/>
      <c r="N957" s="11"/>
      <c r="O957" s="38"/>
      <c r="P957" s="38"/>
      <c r="Q957" s="38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6.5" hidden="1" thickTop="1">
      <c r="A958" s="186" t="s">
        <v>277</v>
      </c>
      <c r="B958" s="1"/>
      <c r="C958" s="182">
        <v>188676</v>
      </c>
      <c r="D958" s="200">
        <f>D937</f>
        <v>0.61</v>
      </c>
      <c r="E958" s="184"/>
      <c r="F958" s="2">
        <f>ROUND(D958*C958,0)</f>
        <v>115092</v>
      </c>
      <c r="G958" s="216">
        <v>0.61</v>
      </c>
      <c r="H958" s="184"/>
      <c r="I958" s="2">
        <f>ROUND(G958*$C958,0)</f>
        <v>115092</v>
      </c>
      <c r="J958" s="200">
        <f>J937</f>
        <v>0.61</v>
      </c>
      <c r="K958" s="184"/>
      <c r="L958" s="2">
        <f>ROUND(J958*$C958,0)</f>
        <v>115092</v>
      </c>
      <c r="M958" s="6"/>
      <c r="N958" s="6"/>
      <c r="O958" s="38"/>
      <c r="P958" s="38"/>
      <c r="Q958" s="38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6.5" hidden="1" thickTop="1">
      <c r="A959" s="186" t="s">
        <v>278</v>
      </c>
      <c r="B959" s="1"/>
      <c r="C959" s="182">
        <v>0</v>
      </c>
      <c r="D959" s="200">
        <f>D938</f>
        <v>0.5</v>
      </c>
      <c r="E959" s="184"/>
      <c r="F959" s="2">
        <f>ROUND(D959*C959,0)</f>
        <v>0</v>
      </c>
      <c r="G959" s="216">
        <v>0.5</v>
      </c>
      <c r="H959" s="184"/>
      <c r="I959" s="2">
        <f>ROUND(G959*$C959,0)</f>
        <v>0</v>
      </c>
      <c r="J959" s="200">
        <f>J938</f>
        <v>0.5</v>
      </c>
      <c r="K959" s="184"/>
      <c r="L959" s="2">
        <f>ROUND(J959*$C959,0)</f>
        <v>0</v>
      </c>
      <c r="M959" s="11"/>
      <c r="N959" s="11"/>
      <c r="O959" s="38"/>
      <c r="P959" s="38"/>
      <c r="Q959" s="38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6.5" hidden="1" thickTop="1">
      <c r="A960" s="284" t="s">
        <v>539</v>
      </c>
      <c r="B960" s="1"/>
      <c r="C960" s="182">
        <v>146860.97586139501</v>
      </c>
      <c r="D960" s="200">
        <f>D939</f>
        <v>8.8000000000000007</v>
      </c>
      <c r="E960" s="184"/>
      <c r="F960" s="2">
        <f>ROUND(D960*$C960,0)</f>
        <v>1292377</v>
      </c>
      <c r="G960" s="216">
        <v>8.8000000000000007</v>
      </c>
      <c r="H960" s="184"/>
      <c r="I960" s="2">
        <f>ROUND(G960*$C960,0)</f>
        <v>1292377</v>
      </c>
      <c r="J960" s="200">
        <f>J939</f>
        <v>8.8000000000000007</v>
      </c>
      <c r="K960" s="184"/>
      <c r="L960" s="2">
        <f>ROUND(J960*$C960,0)</f>
        <v>1292377</v>
      </c>
      <c r="M960" s="11"/>
      <c r="N960" s="11"/>
      <c r="O960" s="38"/>
      <c r="P960" s="38"/>
      <c r="Q960" s="38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6.5" hidden="1" thickTop="1">
      <c r="A961" s="186" t="s">
        <v>230</v>
      </c>
      <c r="B961" s="1"/>
      <c r="C961" s="182"/>
      <c r="D961" s="189" t="s">
        <v>13</v>
      </c>
      <c r="E961" s="184"/>
      <c r="F961" s="2"/>
      <c r="G961" s="216" t="s">
        <v>13</v>
      </c>
      <c r="H961" s="184"/>
      <c r="I961" s="2"/>
      <c r="J961" s="200" t="s">
        <v>13</v>
      </c>
      <c r="K961" s="184"/>
      <c r="L961" s="2"/>
      <c r="M961" s="11"/>
      <c r="N961" s="11"/>
      <c r="O961" s="38"/>
      <c r="P961" s="38"/>
      <c r="Q961" s="38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6.5" hidden="1" thickTop="1">
      <c r="A962" s="186" t="s">
        <v>268</v>
      </c>
      <c r="B962" s="1"/>
      <c r="C962" s="182">
        <v>65474022.809296638</v>
      </c>
      <c r="D962" s="258"/>
      <c r="E962" s="184"/>
      <c r="F962" s="2"/>
      <c r="G962" s="749"/>
      <c r="H962" s="184"/>
      <c r="I962" s="2"/>
      <c r="J962" s="258"/>
      <c r="K962" s="184"/>
      <c r="L962" s="2"/>
      <c r="M962" s="11"/>
      <c r="N962" s="11"/>
      <c r="O962" s="38"/>
      <c r="P962" s="38"/>
      <c r="Q962" s="38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6.5" hidden="1" thickTop="1">
      <c r="A963" s="172" t="s">
        <v>524</v>
      </c>
      <c r="B963" s="1"/>
      <c r="C963" s="182">
        <v>26241004.43942751</v>
      </c>
      <c r="D963" s="245">
        <f>D942</f>
        <v>5.2480000000000002</v>
      </c>
      <c r="E963" s="184" t="s">
        <v>178</v>
      </c>
      <c r="F963" s="184">
        <f>ROUND(D963/100*$C963,0)</f>
        <v>1377128</v>
      </c>
      <c r="G963" s="287">
        <v>5.5709999999999997</v>
      </c>
      <c r="H963" s="184" t="s">
        <v>178</v>
      </c>
      <c r="I963" s="184">
        <f>ROUND(G963/100*$C963,0)</f>
        <v>1461886</v>
      </c>
      <c r="J963" s="245">
        <f ca="1">J942</f>
        <v>5.5570000000000004</v>
      </c>
      <c r="K963" s="184" t="s">
        <v>178</v>
      </c>
      <c r="L963" s="184">
        <f ca="1">ROUND(J963/100*$C963,0)</f>
        <v>1458213</v>
      </c>
      <c r="M963" s="11"/>
      <c r="N963" s="11"/>
      <c r="O963" s="38"/>
      <c r="P963" s="38"/>
      <c r="Q963" s="38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6.5" hidden="1" thickTop="1">
      <c r="A964" s="172" t="s">
        <v>525</v>
      </c>
      <c r="B964" s="1"/>
      <c r="C964" s="182">
        <f>C966-C963</f>
        <v>39233018.369869128</v>
      </c>
      <c r="D964" s="245">
        <f>D943</f>
        <v>4.3150000000000004</v>
      </c>
      <c r="E964" s="184" t="s">
        <v>178</v>
      </c>
      <c r="F964" s="184">
        <f>ROUND(D964/100*$C964,0)</f>
        <v>1692905</v>
      </c>
      <c r="G964" s="287">
        <v>4.6379999999999999</v>
      </c>
      <c r="H964" s="184" t="s">
        <v>178</v>
      </c>
      <c r="I964" s="184">
        <f>ROUND(G964/100*$C964,0)</f>
        <v>1819627</v>
      </c>
      <c r="J964" s="245">
        <f ca="1">J943</f>
        <v>4.6239999999999997</v>
      </c>
      <c r="K964" s="184" t="s">
        <v>178</v>
      </c>
      <c r="L964" s="184">
        <f ca="1">ROUND(J964/100*$C964,0)</f>
        <v>1814135</v>
      </c>
      <c r="M964" s="11"/>
      <c r="N964" s="11"/>
      <c r="O964" s="38"/>
      <c r="P964" s="38"/>
      <c r="Q964" s="38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6.5" hidden="1" thickTop="1">
      <c r="A965" s="186" t="s">
        <v>204</v>
      </c>
      <c r="B965" s="1"/>
      <c r="C965" s="182">
        <v>12663</v>
      </c>
      <c r="D965" s="189">
        <v>0.56000000000000005</v>
      </c>
      <c r="E965" s="184"/>
      <c r="F965" s="2">
        <f>C965*D965</f>
        <v>7091.2800000000007</v>
      </c>
      <c r="G965" s="216">
        <v>0.56000000000000005</v>
      </c>
      <c r="H965" s="184"/>
      <c r="I965" s="2">
        <f>C965*G965</f>
        <v>7091.2800000000007</v>
      </c>
      <c r="J965" s="189">
        <f>J944</f>
        <v>0.56000000000000005</v>
      </c>
      <c r="K965" s="184"/>
      <c r="L965" s="2">
        <f>F965*J965</f>
        <v>3971.1168000000007</v>
      </c>
      <c r="M965" s="512"/>
      <c r="N965" s="38"/>
      <c r="O965" s="38"/>
      <c r="P965" s="11"/>
      <c r="Q965" s="11"/>
      <c r="R965" s="11"/>
      <c r="S965" s="11"/>
      <c r="T965" s="11"/>
      <c r="U965" s="11"/>
      <c r="V965" s="11"/>
      <c r="Y965" s="11"/>
      <c r="Z965" s="11"/>
      <c r="AA965" s="11"/>
      <c r="AB965" s="11"/>
      <c r="AC965" s="11"/>
      <c r="AD965" s="11"/>
      <c r="AE965" s="11"/>
      <c r="AF965" s="11"/>
    </row>
    <row r="966" spans="1:34" ht="16.5" hidden="1" thickTop="1">
      <c r="A966" s="1" t="s">
        <v>185</v>
      </c>
      <c r="B966" s="1"/>
      <c r="C966" s="182">
        <f>C962</f>
        <v>65474022.809296638</v>
      </c>
      <c r="D966" s="193"/>
      <c r="E966" s="1"/>
      <c r="F966" s="2">
        <f>SUM(F955:F965)</f>
        <v>4629745.28</v>
      </c>
      <c r="G966" s="733"/>
      <c r="H966" s="1"/>
      <c r="I966" s="2">
        <f>SUM(I955:I965)</f>
        <v>4841225.28</v>
      </c>
      <c r="J966" s="193"/>
      <c r="K966" s="1"/>
      <c r="L966" s="2">
        <f ca="1">SUM(L955:L965)</f>
        <v>4828940.1168</v>
      </c>
      <c r="M966" s="11"/>
      <c r="N966" s="11"/>
      <c r="O966" s="38"/>
      <c r="P966" s="38"/>
      <c r="Q966" s="38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6.5" hidden="1" thickTop="1">
      <c r="A967" s="1" t="s">
        <v>167</v>
      </c>
      <c r="B967" s="1"/>
      <c r="C967" s="182">
        <f>C966/($C$906+$C$966)*$C$1005</f>
        <v>601574.79894335207</v>
      </c>
      <c r="D967" s="172"/>
      <c r="E967" s="172"/>
      <c r="F967" s="204">
        <f>F966/($F$906+$F$966)*$F$1005</f>
        <v>61175.767163266195</v>
      </c>
      <c r="G967" s="284"/>
      <c r="H967" s="172"/>
      <c r="I967" s="204">
        <f>F967</f>
        <v>61175.767163266195</v>
      </c>
      <c r="J967" s="172"/>
      <c r="K967" s="172"/>
      <c r="L967" s="204">
        <f>I967</f>
        <v>61175.767163266195</v>
      </c>
      <c r="M967" s="307"/>
      <c r="N967" s="307"/>
      <c r="O967" s="150"/>
      <c r="P967" s="38"/>
      <c r="Q967" s="38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7.25" hidden="1" thickTop="1" thickBot="1">
      <c r="A968" s="1" t="s">
        <v>186</v>
      </c>
      <c r="B968" s="1"/>
      <c r="C968" s="256">
        <f>SUM(C966)+C967</f>
        <v>66075597.608239993</v>
      </c>
      <c r="D968" s="205"/>
      <c r="E968" s="208"/>
      <c r="F968" s="207">
        <f>F966+F967</f>
        <v>4690921.0471632667</v>
      </c>
      <c r="G968" s="741"/>
      <c r="H968" s="208"/>
      <c r="I968" s="207">
        <f>I966+I967</f>
        <v>4902401.0471632667</v>
      </c>
      <c r="J968" s="205"/>
      <c r="K968" s="208"/>
      <c r="L968" s="207">
        <f ca="1">L966+L967</f>
        <v>4890115.8839632664</v>
      </c>
      <c r="M968" s="274"/>
      <c r="N968" s="274"/>
      <c r="O968" s="333"/>
      <c r="P968" s="38"/>
      <c r="Q968" s="38"/>
      <c r="R968" s="510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6.5" hidden="1" thickTop="1">
      <c r="A969" s="1"/>
      <c r="B969" s="1"/>
      <c r="C969" s="12"/>
      <c r="D969" s="200" t="s">
        <v>13</v>
      </c>
      <c r="E969" s="1"/>
      <c r="F969" s="2"/>
      <c r="G969" s="216" t="s">
        <v>13</v>
      </c>
      <c r="H969" s="1"/>
      <c r="I969" s="2" t="s">
        <v>13</v>
      </c>
      <c r="J969" s="216" t="s">
        <v>13</v>
      </c>
      <c r="K969" s="1"/>
      <c r="L969" s="2" t="s">
        <v>13</v>
      </c>
      <c r="M969" s="11"/>
      <c r="N969" s="11"/>
      <c r="O969" s="38"/>
      <c r="P969" s="38"/>
      <c r="Q969" s="38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6.5" hidden="1" thickTop="1">
      <c r="A970" s="156" t="s">
        <v>280</v>
      </c>
      <c r="B970" s="1"/>
      <c r="C970" s="1"/>
      <c r="D970" s="2"/>
      <c r="E970" s="1"/>
      <c r="F970" s="1"/>
      <c r="G970" s="516"/>
      <c r="H970" s="1"/>
      <c r="I970" s="1"/>
      <c r="J970" s="2"/>
      <c r="K970" s="1"/>
      <c r="L970" s="1"/>
      <c r="M970" s="11"/>
      <c r="N970" s="11"/>
      <c r="O970" s="38"/>
      <c r="P970" s="38"/>
      <c r="Q970" s="38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6.5" hidden="1" thickTop="1">
      <c r="A971" s="172" t="s">
        <v>430</v>
      </c>
      <c r="B971" s="1"/>
      <c r="C971" s="1"/>
      <c r="D971" s="2"/>
      <c r="E971" s="1"/>
      <c r="F971" s="1"/>
      <c r="G971" s="516"/>
      <c r="H971" s="1"/>
      <c r="I971" s="1"/>
      <c r="J971" s="2"/>
      <c r="K971" s="1"/>
      <c r="L971" s="1"/>
      <c r="M971" s="11"/>
      <c r="N971" s="11"/>
      <c r="O971" s="38"/>
      <c r="P971" s="38"/>
      <c r="Q971" s="38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6.5" hidden="1" thickTop="1">
      <c r="A972" s="1" t="s">
        <v>13</v>
      </c>
      <c r="B972" s="1"/>
      <c r="C972" s="1"/>
      <c r="D972" s="2"/>
      <c r="E972" s="1"/>
      <c r="F972" s="1"/>
      <c r="G972" s="516"/>
      <c r="H972" s="1"/>
      <c r="I972" s="1"/>
      <c r="J972" s="2"/>
      <c r="K972" s="1"/>
      <c r="L972" s="1"/>
      <c r="M972" s="11"/>
      <c r="N972" s="11"/>
      <c r="O972" s="38"/>
      <c r="P972" s="38"/>
      <c r="Q972" s="38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6.5" hidden="1" thickTop="1">
      <c r="A973" s="186" t="s">
        <v>197</v>
      </c>
      <c r="B973" s="1"/>
      <c r="C973" s="182"/>
      <c r="D973" s="2"/>
      <c r="E973" s="1"/>
      <c r="F973" s="1"/>
      <c r="G973" s="516"/>
      <c r="H973" s="1"/>
      <c r="I973" s="1"/>
      <c r="J973" s="2"/>
      <c r="K973" s="1"/>
      <c r="L973" s="1"/>
      <c r="M973" s="11"/>
      <c r="N973" s="11"/>
      <c r="O973" s="38"/>
      <c r="P973" s="38"/>
      <c r="Q973" s="38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6.5" hidden="1" thickTop="1">
      <c r="A974" s="186" t="s">
        <v>275</v>
      </c>
      <c r="B974" s="1"/>
      <c r="C974" s="182">
        <v>24</v>
      </c>
      <c r="D974" s="200">
        <f>D934</f>
        <v>1344</v>
      </c>
      <c r="E974" s="184"/>
      <c r="F974" s="2">
        <f>ROUND(D974*C974,0)</f>
        <v>32256</v>
      </c>
      <c r="G974" s="216">
        <v>1344</v>
      </c>
      <c r="H974" s="184"/>
      <c r="I974" s="2">
        <f>ROUND(G974*$C974,0)</f>
        <v>32256</v>
      </c>
      <c r="J974" s="200">
        <f>J934</f>
        <v>1344</v>
      </c>
      <c r="K974" s="184"/>
      <c r="L974" s="2">
        <f>ROUND(J974*$C974,0)</f>
        <v>32256</v>
      </c>
      <c r="M974" s="11"/>
      <c r="N974" s="11"/>
      <c r="O974" s="38"/>
      <c r="P974" s="38"/>
      <c r="Q974" s="38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6.5" hidden="1" thickTop="1">
      <c r="A975" s="186" t="s">
        <v>276</v>
      </c>
      <c r="B975" s="1"/>
      <c r="C975" s="182">
        <v>0</v>
      </c>
      <c r="D975" s="200">
        <f>D935</f>
        <v>1618</v>
      </c>
      <c r="E975" s="187"/>
      <c r="F975" s="2">
        <f>ROUND(D975*C975,0)</f>
        <v>0</v>
      </c>
      <c r="G975" s="216">
        <v>1618</v>
      </c>
      <c r="H975" s="187"/>
      <c r="I975" s="2">
        <f>ROUND(G975*$C975,0)</f>
        <v>0</v>
      </c>
      <c r="J975" s="200">
        <f>J935</f>
        <v>1618</v>
      </c>
      <c r="K975" s="187"/>
      <c r="L975" s="2">
        <f>ROUND(J975*$C975,0)</f>
        <v>0</v>
      </c>
      <c r="M975" s="11"/>
      <c r="N975" s="11"/>
      <c r="O975" s="38"/>
      <c r="P975" s="38"/>
      <c r="Q975" s="38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6.5" hidden="1" thickTop="1">
      <c r="A976" s="186" t="s">
        <v>198</v>
      </c>
      <c r="B976" s="1"/>
      <c r="C976" s="182">
        <f>SUM(C974:C975)</f>
        <v>24</v>
      </c>
      <c r="D976" s="200"/>
      <c r="E976" s="184"/>
      <c r="F976" s="2" t="s">
        <v>13</v>
      </c>
      <c r="G976" s="216" t="s">
        <v>13</v>
      </c>
      <c r="H976" s="184"/>
      <c r="I976" s="2" t="s">
        <v>13</v>
      </c>
      <c r="J976" s="200" t="s">
        <v>13</v>
      </c>
      <c r="K976" s="184"/>
      <c r="L976" s="2" t="s">
        <v>13</v>
      </c>
      <c r="M976" s="11"/>
      <c r="N976" s="11"/>
      <c r="O976" s="38"/>
      <c r="P976" s="38"/>
      <c r="Q976" s="38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6.5" hidden="1" thickTop="1">
      <c r="A977" s="186" t="s">
        <v>277</v>
      </c>
      <c r="B977" s="1"/>
      <c r="C977" s="182">
        <v>17279</v>
      </c>
      <c r="D977" s="200">
        <f>D937</f>
        <v>0.61</v>
      </c>
      <c r="E977" s="184"/>
      <c r="F977" s="2">
        <f>ROUND(D977*C977,0)</f>
        <v>10540</v>
      </c>
      <c r="G977" s="216">
        <v>0.61</v>
      </c>
      <c r="H977" s="184"/>
      <c r="I977" s="2">
        <f>ROUND(G977*$C977,0)</f>
        <v>10540</v>
      </c>
      <c r="J977" s="200">
        <f>J937</f>
        <v>0.61</v>
      </c>
      <c r="K977" s="184"/>
      <c r="L977" s="2">
        <f>ROUND(J977*$C977,0)</f>
        <v>10540</v>
      </c>
      <c r="M977" s="6"/>
      <c r="N977" s="6"/>
      <c r="O977" s="38"/>
      <c r="P977" s="38"/>
      <c r="Q977" s="38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  <row r="978" spans="1:34" ht="16.5" hidden="1" thickTop="1">
      <c r="A978" s="186" t="s">
        <v>278</v>
      </c>
      <c r="B978" s="1"/>
      <c r="C978" s="182">
        <v>0</v>
      </c>
      <c r="D978" s="200">
        <f>D938</f>
        <v>0.5</v>
      </c>
      <c r="E978" s="184"/>
      <c r="F978" s="2">
        <f>ROUND(D978*C978,0)</f>
        <v>0</v>
      </c>
      <c r="G978" s="216">
        <v>0.5</v>
      </c>
      <c r="H978" s="184"/>
      <c r="I978" s="2">
        <f>ROUND(G978*$C978,0)</f>
        <v>0</v>
      </c>
      <c r="J978" s="200">
        <f>J938</f>
        <v>0.5</v>
      </c>
      <c r="K978" s="184"/>
      <c r="L978" s="2">
        <f>ROUND(J978*$C978,0)</f>
        <v>0</v>
      </c>
      <c r="M978" s="11"/>
      <c r="N978" s="11"/>
      <c r="O978" s="38"/>
      <c r="P978" s="38"/>
      <c r="Q978" s="38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</row>
    <row r="979" spans="1:34" ht="16.5" hidden="1" thickTop="1">
      <c r="A979" s="284" t="s">
        <v>539</v>
      </c>
      <c r="B979" s="1"/>
      <c r="C979" s="182">
        <v>13392.304138605017</v>
      </c>
      <c r="D979" s="200">
        <f>D939</f>
        <v>8.8000000000000007</v>
      </c>
      <c r="E979" s="184"/>
      <c r="F979" s="2">
        <f>ROUND(D979*$C979,0)</f>
        <v>117852</v>
      </c>
      <c r="G979" s="216">
        <v>8.8000000000000007</v>
      </c>
      <c r="H979" s="184"/>
      <c r="I979" s="2">
        <f>ROUND(G979*$C979,0)</f>
        <v>117852</v>
      </c>
      <c r="J979" s="200">
        <f>J939</f>
        <v>8.8000000000000007</v>
      </c>
      <c r="K979" s="184"/>
      <c r="L979" s="2">
        <f>ROUND(J979*$C979,0)</f>
        <v>117852</v>
      </c>
      <c r="M979" s="11"/>
      <c r="N979" s="11"/>
      <c r="O979" s="38"/>
      <c r="P979" s="38"/>
      <c r="Q979" s="38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</row>
    <row r="980" spans="1:34" ht="16.5" hidden="1" thickTop="1">
      <c r="A980" s="186" t="s">
        <v>230</v>
      </c>
      <c r="B980" s="1"/>
      <c r="C980" s="182"/>
      <c r="D980" s="200"/>
      <c r="E980" s="184"/>
      <c r="F980" s="2"/>
      <c r="G980" s="216" t="s">
        <v>13</v>
      </c>
      <c r="H980" s="184"/>
      <c r="I980" s="2"/>
      <c r="J980" s="200" t="s">
        <v>13</v>
      </c>
      <c r="K980" s="184"/>
      <c r="L980" s="2"/>
      <c r="M980" s="11"/>
      <c r="N980" s="11"/>
      <c r="O980" s="38"/>
      <c r="P980" s="38"/>
      <c r="Q980" s="38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</row>
    <row r="981" spans="1:34" ht="16.5" hidden="1" thickTop="1">
      <c r="A981" s="186" t="s">
        <v>268</v>
      </c>
      <c r="B981" s="1"/>
      <c r="C981" s="182">
        <v>996600</v>
      </c>
      <c r="D981" s="258"/>
      <c r="E981" s="184"/>
      <c r="F981" s="2"/>
      <c r="G981" s="749"/>
      <c r="H981" s="184"/>
      <c r="I981" s="2"/>
      <c r="J981" s="258"/>
      <c r="K981" s="184"/>
      <c r="L981" s="2"/>
      <c r="M981" s="11"/>
      <c r="N981" s="11"/>
      <c r="O981" s="38"/>
      <c r="P981" s="38"/>
      <c r="Q981" s="38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</row>
    <row r="982" spans="1:34" ht="16.5" hidden="1" thickTop="1">
      <c r="A982" s="172" t="s">
        <v>524</v>
      </c>
      <c r="B982" s="1"/>
      <c r="C982" s="182">
        <v>399422.30372043326</v>
      </c>
      <c r="D982" s="245">
        <f>D942</f>
        <v>5.2480000000000002</v>
      </c>
      <c r="E982" s="184" t="s">
        <v>178</v>
      </c>
      <c r="F982" s="184">
        <f>ROUND(D982/100*$C982,0)</f>
        <v>20962</v>
      </c>
      <c r="G982" s="287">
        <v>5.5709999999999997</v>
      </c>
      <c r="H982" s="184" t="s">
        <v>178</v>
      </c>
      <c r="I982" s="184">
        <f>ROUND(G982/100*$C982,0)</f>
        <v>22252</v>
      </c>
      <c r="J982" s="245">
        <f ca="1">J942</f>
        <v>5.5570000000000004</v>
      </c>
      <c r="K982" s="184" t="s">
        <v>178</v>
      </c>
      <c r="L982" s="184">
        <f ca="1">ROUND(J982/100*$C982,0)</f>
        <v>22196</v>
      </c>
      <c r="M982" s="11"/>
      <c r="N982" s="11"/>
      <c r="O982" s="38"/>
      <c r="P982" s="38"/>
      <c r="Q982" s="38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</row>
    <row r="983" spans="1:34" ht="16.5" hidden="1" thickTop="1">
      <c r="A983" s="172" t="s">
        <v>525</v>
      </c>
      <c r="B983" s="1"/>
      <c r="C983" s="182">
        <f>C985-C982</f>
        <v>597177.69627956674</v>
      </c>
      <c r="D983" s="245">
        <f>D943</f>
        <v>4.3150000000000004</v>
      </c>
      <c r="E983" s="184" t="s">
        <v>178</v>
      </c>
      <c r="F983" s="184">
        <f>ROUND(D983/100*$C983,0)</f>
        <v>25768</v>
      </c>
      <c r="G983" s="287">
        <v>4.6379999999999999</v>
      </c>
      <c r="H983" s="184" t="s">
        <v>178</v>
      </c>
      <c r="I983" s="184">
        <f>ROUND(G983/100*$C983,0)</f>
        <v>27697</v>
      </c>
      <c r="J983" s="245">
        <f ca="1">J943</f>
        <v>4.6239999999999997</v>
      </c>
      <c r="K983" s="184" t="s">
        <v>178</v>
      </c>
      <c r="L983" s="184">
        <f ca="1">ROUND(J983/100*$C983,0)</f>
        <v>27613</v>
      </c>
      <c r="M983" s="11"/>
      <c r="N983" s="11"/>
      <c r="O983" s="38"/>
      <c r="P983" s="38"/>
      <c r="Q983" s="38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</row>
    <row r="984" spans="1:34" ht="16.5" hidden="1" thickTop="1">
      <c r="A984" s="186" t="s">
        <v>204</v>
      </c>
      <c r="B984" s="1"/>
      <c r="C984" s="182">
        <v>2353</v>
      </c>
      <c r="D984" s="189">
        <v>0.56000000000000005</v>
      </c>
      <c r="E984" s="184"/>
      <c r="F984" s="2">
        <f>C984*D984</f>
        <v>1317.68</v>
      </c>
      <c r="G984" s="216">
        <v>0.56000000000000005</v>
      </c>
      <c r="H984" s="184"/>
      <c r="I984" s="2">
        <f>C984*G984</f>
        <v>1317.68</v>
      </c>
      <c r="J984" s="189">
        <f>J944</f>
        <v>0.56000000000000005</v>
      </c>
      <c r="K984" s="184"/>
      <c r="L984" s="2">
        <f>F984*J984</f>
        <v>737.90080000000012</v>
      </c>
      <c r="M984" s="512"/>
      <c r="N984" s="38"/>
      <c r="O984" s="38"/>
      <c r="P984" s="11"/>
      <c r="Q984" s="11"/>
      <c r="R984" s="11"/>
      <c r="S984" s="11"/>
      <c r="T984" s="11"/>
      <c r="U984" s="11"/>
      <c r="V984" s="11"/>
      <c r="Y984" s="11"/>
      <c r="Z984" s="11"/>
      <c r="AA984" s="11"/>
      <c r="AB984" s="11"/>
      <c r="AC984" s="11"/>
      <c r="AD984" s="11"/>
      <c r="AE984" s="11"/>
      <c r="AF984" s="11"/>
    </row>
    <row r="985" spans="1:34" ht="16.5" hidden="1" thickTop="1">
      <c r="A985" s="1" t="s">
        <v>185</v>
      </c>
      <c r="B985" s="1"/>
      <c r="C985" s="182">
        <f>C981</f>
        <v>996600</v>
      </c>
      <c r="D985" s="193"/>
      <c r="E985" s="1"/>
      <c r="F985" s="2">
        <f>SUM(F974:F984)</f>
        <v>208695.67999999999</v>
      </c>
      <c r="G985" s="733"/>
      <c r="H985" s="1"/>
      <c r="I985" s="2">
        <f>SUM(I974:I984)</f>
        <v>211914.68</v>
      </c>
      <c r="J985" s="193"/>
      <c r="K985" s="1"/>
      <c r="L985" s="2">
        <f ca="1">SUM(L974:L984)</f>
        <v>211194.9008</v>
      </c>
      <c r="M985" s="11"/>
      <c r="N985" s="11"/>
      <c r="O985" s="38"/>
      <c r="P985" s="38"/>
      <c r="Q985" s="38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</row>
    <row r="986" spans="1:34" ht="16.5" hidden="1" thickTop="1">
      <c r="A986" s="1" t="s">
        <v>167</v>
      </c>
      <c r="B986" s="1"/>
      <c r="C986" s="182">
        <f>C985/($C$925+$C$985)*$C$1025</f>
        <v>18729.517509110068</v>
      </c>
      <c r="D986" s="172"/>
      <c r="E986" s="172"/>
      <c r="F986" s="204">
        <f>F985/($F$925+$F$985)*$F$1025</f>
        <v>1262.6293786811086</v>
      </c>
      <c r="G986" s="284"/>
      <c r="H986" s="172"/>
      <c r="I986" s="204">
        <f>F986</f>
        <v>1262.6293786811086</v>
      </c>
      <c r="J986" s="172"/>
      <c r="K986" s="172"/>
      <c r="L986" s="204">
        <f>I986</f>
        <v>1262.6293786811086</v>
      </c>
      <c r="M986" s="307"/>
      <c r="N986" s="307"/>
      <c r="O986" s="150"/>
      <c r="P986" s="38"/>
      <c r="Q986" s="38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</row>
    <row r="987" spans="1:34" ht="17.25" hidden="1" thickTop="1" thickBot="1">
      <c r="A987" s="1" t="s">
        <v>186</v>
      </c>
      <c r="B987" s="1"/>
      <c r="C987" s="256">
        <f>SUM(C985)+C986</f>
        <v>1015329.51750911</v>
      </c>
      <c r="D987" s="205"/>
      <c r="E987" s="208"/>
      <c r="F987" s="207">
        <f>F985+F986</f>
        <v>209958.30937868109</v>
      </c>
      <c r="G987" s="741"/>
      <c r="H987" s="208"/>
      <c r="I987" s="207">
        <f>I985+I986</f>
        <v>213177.30937868109</v>
      </c>
      <c r="J987" s="205"/>
      <c r="K987" s="208"/>
      <c r="L987" s="207">
        <f ca="1">L985+L986</f>
        <v>212457.5301786811</v>
      </c>
      <c r="M987" s="274"/>
      <c r="N987" s="274"/>
      <c r="O987" s="333"/>
      <c r="P987" s="38"/>
      <c r="Q987" s="38"/>
      <c r="R987" s="510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</row>
    <row r="988" spans="1:34" ht="16.5" hidden="1" thickTop="1">
      <c r="A988" s="1"/>
      <c r="B988" s="1"/>
      <c r="C988" s="12"/>
      <c r="D988" s="200" t="s">
        <v>13</v>
      </c>
      <c r="E988" s="1"/>
      <c r="F988" s="2"/>
      <c r="G988" s="216" t="s">
        <v>13</v>
      </c>
      <c r="H988" s="1"/>
      <c r="I988" s="2" t="s">
        <v>13</v>
      </c>
      <c r="J988" s="216" t="s">
        <v>13</v>
      </c>
      <c r="K988" s="1"/>
      <c r="L988" s="2" t="s">
        <v>13</v>
      </c>
      <c r="M988" s="11"/>
      <c r="N988" s="11"/>
      <c r="O988" s="38"/>
      <c r="P988" s="38"/>
      <c r="Q988" s="38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</row>
    <row r="989" spans="1:34" ht="16.5" hidden="1" thickTop="1">
      <c r="A989" s="156" t="s">
        <v>280</v>
      </c>
      <c r="B989" s="1"/>
      <c r="C989" s="1"/>
      <c r="D989" s="2"/>
      <c r="E989" s="1"/>
      <c r="F989" s="1"/>
      <c r="G989" s="516"/>
      <c r="H989" s="1"/>
      <c r="I989" s="1"/>
      <c r="J989" s="2"/>
      <c r="K989" s="1"/>
      <c r="L989" s="1"/>
      <c r="M989" s="11"/>
      <c r="N989" s="11"/>
      <c r="O989" s="38"/>
      <c r="P989" s="38"/>
      <c r="Q989" s="38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</row>
    <row r="990" spans="1:34" ht="16.5" hidden="1" thickTop="1">
      <c r="A990" s="172" t="s">
        <v>436</v>
      </c>
      <c r="B990" s="1"/>
      <c r="C990" s="1"/>
      <c r="D990" s="2"/>
      <c r="E990" s="1"/>
      <c r="F990" s="1"/>
      <c r="G990" s="516"/>
      <c r="H990" s="1"/>
      <c r="I990" s="1"/>
      <c r="J990" s="2"/>
      <c r="K990" s="1"/>
      <c r="L990" s="1"/>
      <c r="M990" s="11"/>
      <c r="N990" s="11"/>
      <c r="O990" s="38"/>
      <c r="P990" s="38"/>
      <c r="Q990" s="38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</row>
    <row r="991" spans="1:34" ht="16.5" hidden="1" thickTop="1">
      <c r="A991" s="186"/>
      <c r="B991" s="1"/>
      <c r="C991" s="1"/>
      <c r="D991" s="2"/>
      <c r="E991" s="1"/>
      <c r="F991" s="1"/>
      <c r="G991" s="516"/>
      <c r="H991" s="1"/>
      <c r="I991" s="1"/>
      <c r="J991" s="2"/>
      <c r="K991" s="1"/>
      <c r="L991" s="1"/>
      <c r="M991" s="11"/>
      <c r="N991" s="11"/>
      <c r="O991" s="38"/>
      <c r="P991" s="38"/>
      <c r="Q991" s="38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</row>
    <row r="992" spans="1:34" ht="16.5" hidden="1" thickTop="1">
      <c r="A992" s="186" t="s">
        <v>197</v>
      </c>
      <c r="B992" s="1"/>
      <c r="C992" s="182"/>
      <c r="D992" s="2"/>
      <c r="E992" s="1"/>
      <c r="F992" s="1"/>
      <c r="G992" s="516"/>
      <c r="H992" s="1"/>
      <c r="I992" s="1"/>
      <c r="J992" s="2"/>
      <c r="K992" s="1"/>
      <c r="L992" s="1"/>
      <c r="M992" s="11"/>
      <c r="N992" s="11"/>
      <c r="O992" s="38"/>
      <c r="P992" s="38"/>
      <c r="Q992" s="38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</row>
    <row r="993" spans="1:34" ht="16.5" hidden="1" thickTop="1">
      <c r="A993" s="186" t="s">
        <v>275</v>
      </c>
      <c r="B993" s="1"/>
      <c r="C993" s="182">
        <f t="shared" ref="C993:C998" si="88">C955+C895</f>
        <v>436.84848484848499</v>
      </c>
      <c r="D993" s="200"/>
      <c r="E993" s="184"/>
      <c r="F993" s="2">
        <f>F955+F895</f>
        <v>576930</v>
      </c>
      <c r="G993" s="216"/>
      <c r="H993" s="184"/>
      <c r="I993" s="2">
        <f>I955+I895</f>
        <v>576930</v>
      </c>
      <c r="J993" s="200"/>
      <c r="K993" s="184"/>
      <c r="L993" s="2">
        <f>L955+L895</f>
        <v>576930</v>
      </c>
      <c r="M993" s="11"/>
      <c r="N993" s="11"/>
      <c r="O993" s="38"/>
      <c r="P993" s="38"/>
      <c r="Q993" s="38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</row>
    <row r="994" spans="1:34" ht="16.5" hidden="1" thickTop="1">
      <c r="A994" s="186" t="s">
        <v>276</v>
      </c>
      <c r="B994" s="1"/>
      <c r="C994" s="182">
        <f t="shared" si="88"/>
        <v>0</v>
      </c>
      <c r="D994" s="200"/>
      <c r="E994" s="187"/>
      <c r="F994" s="2">
        <f>F956+F896</f>
        <v>0</v>
      </c>
      <c r="G994" s="216"/>
      <c r="H994" s="187"/>
      <c r="I994" s="2">
        <f>I956+I896</f>
        <v>0</v>
      </c>
      <c r="J994" s="200"/>
      <c r="K994" s="187"/>
      <c r="L994" s="2">
        <f>L956+L896</f>
        <v>0</v>
      </c>
      <c r="M994" s="11"/>
      <c r="N994" s="11"/>
      <c r="O994" s="38"/>
      <c r="P994" s="38"/>
      <c r="Q994" s="38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</row>
    <row r="995" spans="1:34" ht="16.5" hidden="1" thickTop="1">
      <c r="A995" s="186" t="s">
        <v>198</v>
      </c>
      <c r="B995" s="1"/>
      <c r="C995" s="182">
        <f t="shared" si="88"/>
        <v>436.84848484848499</v>
      </c>
      <c r="D995" s="200"/>
      <c r="E995" s="184"/>
      <c r="F995" s="2" t="s">
        <v>13</v>
      </c>
      <c r="G995" s="216"/>
      <c r="H995" s="184"/>
      <c r="I995" s="2" t="s">
        <v>13</v>
      </c>
      <c r="J995" s="200"/>
      <c r="K995" s="184"/>
      <c r="L995" s="2" t="s">
        <v>13</v>
      </c>
      <c r="M995" s="11"/>
      <c r="N995" s="11"/>
      <c r="O995" s="38"/>
      <c r="P995" s="38"/>
      <c r="Q995" s="38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</row>
    <row r="996" spans="1:34" ht="16.5" hidden="1" thickTop="1">
      <c r="A996" s="186" t="s">
        <v>277</v>
      </c>
      <c r="B996" s="1"/>
      <c r="C996" s="182">
        <f t="shared" si="88"/>
        <v>595979.06896551698</v>
      </c>
      <c r="D996" s="200"/>
      <c r="E996" s="184"/>
      <c r="F996" s="2">
        <f>F958+F898</f>
        <v>612002</v>
      </c>
      <c r="G996" s="216"/>
      <c r="H996" s="184"/>
      <c r="I996" s="2">
        <f>I958+I898</f>
        <v>612002</v>
      </c>
      <c r="J996" s="200"/>
      <c r="K996" s="184"/>
      <c r="L996" s="2">
        <f>L958+L898</f>
        <v>612002</v>
      </c>
      <c r="M996" s="11"/>
      <c r="N996" s="11"/>
      <c r="O996" s="38"/>
      <c r="P996" s="38"/>
      <c r="Q996" s="38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</row>
    <row r="997" spans="1:34" ht="16.5" hidden="1" thickTop="1">
      <c r="A997" s="186" t="s">
        <v>278</v>
      </c>
      <c r="B997" s="1"/>
      <c r="C997" s="182">
        <f t="shared" si="88"/>
        <v>0</v>
      </c>
      <c r="D997" s="200"/>
      <c r="E997" s="184"/>
      <c r="F997" s="2">
        <f>F959+F899</f>
        <v>0</v>
      </c>
      <c r="G997" s="216"/>
      <c r="H997" s="184"/>
      <c r="I997" s="2">
        <f>I959+I899</f>
        <v>0</v>
      </c>
      <c r="J997" s="200"/>
      <c r="K997" s="184"/>
      <c r="L997" s="2">
        <f>L959+L899</f>
        <v>0</v>
      </c>
      <c r="M997" s="11"/>
      <c r="N997" s="11"/>
      <c r="O997" s="38"/>
      <c r="P997" s="38"/>
      <c r="Q997" s="38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</row>
    <row r="998" spans="1:34" ht="16.5" hidden="1" thickTop="1">
      <c r="A998" s="284" t="s">
        <v>539</v>
      </c>
      <c r="B998" s="1"/>
      <c r="C998" s="182">
        <f t="shared" si="88"/>
        <v>449030.33721378323</v>
      </c>
      <c r="D998" s="258"/>
      <c r="E998" s="184"/>
      <c r="F998" s="2">
        <f>F960+F900</f>
        <v>3930316</v>
      </c>
      <c r="G998" s="749"/>
      <c r="H998" s="184"/>
      <c r="I998" s="2">
        <f>I960+I900</f>
        <v>3930316</v>
      </c>
      <c r="J998" s="258"/>
      <c r="K998" s="184"/>
      <c r="L998" s="2">
        <f>L960+L900</f>
        <v>3930316</v>
      </c>
      <c r="M998" s="11"/>
      <c r="N998" s="11"/>
      <c r="O998" s="38"/>
      <c r="P998" s="38"/>
      <c r="Q998" s="38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</row>
    <row r="999" spans="1:34" ht="16.5" hidden="1" thickTop="1">
      <c r="A999" s="186" t="s">
        <v>230</v>
      </c>
      <c r="B999" s="1"/>
      <c r="C999" s="182"/>
      <c r="D999" s="200"/>
      <c r="E999" s="184"/>
      <c r="F999" s="2"/>
      <c r="G999" s="216"/>
      <c r="H999" s="184"/>
      <c r="I999" s="2"/>
      <c r="J999" s="200"/>
      <c r="K999" s="184"/>
      <c r="L999" s="2"/>
      <c r="M999" s="11"/>
      <c r="N999" s="11"/>
      <c r="O999" s="38"/>
      <c r="P999" s="38"/>
      <c r="Q999" s="38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</row>
    <row r="1000" spans="1:34" ht="16.5" hidden="1" thickTop="1">
      <c r="A1000" s="186" t="s">
        <v>268</v>
      </c>
      <c r="B1000" s="1"/>
      <c r="C1000" s="182">
        <f>C962+C902</f>
        <v>192734743.62835389</v>
      </c>
      <c r="D1000" s="258"/>
      <c r="E1000" s="184"/>
      <c r="F1000" s="2"/>
      <c r="G1000" s="749"/>
      <c r="H1000" s="184"/>
      <c r="I1000" s="2"/>
      <c r="J1000" s="258"/>
      <c r="K1000" s="184"/>
      <c r="L1000" s="2"/>
      <c r="M1000" s="11"/>
      <c r="N1000" s="11"/>
      <c r="O1000" s="38"/>
      <c r="P1000" s="38"/>
      <c r="Q1000" s="38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</row>
    <row r="1001" spans="1:34" ht="16.5" hidden="1" thickTop="1">
      <c r="A1001" s="172" t="s">
        <v>524</v>
      </c>
      <c r="B1001" s="1"/>
      <c r="C1001" s="182">
        <f>C963+C903</f>
        <v>76310856.390132248</v>
      </c>
      <c r="D1001" s="515" t="s">
        <v>13</v>
      </c>
      <c r="E1001" s="184" t="s">
        <v>13</v>
      </c>
      <c r="F1001" s="2">
        <f>F963+F903</f>
        <v>4034836</v>
      </c>
      <c r="G1001" s="287" t="s">
        <v>13</v>
      </c>
      <c r="H1001" s="184" t="s">
        <v>13</v>
      </c>
      <c r="I1001" s="2">
        <f>I963+I903</f>
        <v>4281319</v>
      </c>
      <c r="J1001" s="515" t="s">
        <v>13</v>
      </c>
      <c r="K1001" s="184" t="s">
        <v>13</v>
      </c>
      <c r="L1001" s="2">
        <f ca="1">L963+L903</f>
        <v>4270637</v>
      </c>
      <c r="M1001" s="11"/>
      <c r="N1001" s="11"/>
      <c r="O1001" s="38"/>
      <c r="P1001" s="38"/>
      <c r="Q1001" s="38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</row>
    <row r="1002" spans="1:34" ht="16.5" hidden="1" thickTop="1">
      <c r="A1002" s="172" t="s">
        <v>525</v>
      </c>
      <c r="B1002" s="1"/>
      <c r="C1002" s="182">
        <f>C964+C904</f>
        <v>116423887.23822163</v>
      </c>
      <c r="D1002" s="515" t="s">
        <v>13</v>
      </c>
      <c r="E1002" s="184" t="s">
        <v>13</v>
      </c>
      <c r="F1002" s="2">
        <f>F964+F904</f>
        <v>5070006</v>
      </c>
      <c r="G1002" s="287" t="s">
        <v>13</v>
      </c>
      <c r="H1002" s="184" t="s">
        <v>13</v>
      </c>
      <c r="I1002" s="2">
        <f>I964+I904</f>
        <v>5446054</v>
      </c>
      <c r="J1002" s="515" t="s">
        <v>13</v>
      </c>
      <c r="K1002" s="184" t="s">
        <v>13</v>
      </c>
      <c r="L1002" s="2">
        <f ca="1">L964+L904</f>
        <v>5429755</v>
      </c>
      <c r="M1002" s="11"/>
      <c r="N1002" s="11"/>
      <c r="O1002" s="38"/>
      <c r="P1002" s="38"/>
      <c r="Q1002" s="38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</row>
    <row r="1003" spans="1:34" ht="16.5" hidden="1" thickTop="1">
      <c r="A1003" s="186" t="s">
        <v>204</v>
      </c>
      <c r="B1003" s="1"/>
      <c r="C1003" s="182">
        <f>C965+C905</f>
        <v>40486.424242424197</v>
      </c>
      <c r="D1003" s="189"/>
      <c r="E1003" s="184"/>
      <c r="F1003" s="2">
        <f>F965+F905</f>
        <v>22950.631818181791</v>
      </c>
      <c r="G1003" s="216"/>
      <c r="H1003" s="184"/>
      <c r="I1003" s="2">
        <f>I965+I905</f>
        <v>22950.631818181791</v>
      </c>
      <c r="J1003" s="189"/>
      <c r="K1003" s="184"/>
      <c r="L1003" s="2">
        <f>L965+L905</f>
        <v>19830.468618181792</v>
      </c>
      <c r="M1003" s="512"/>
      <c r="N1003" s="38"/>
      <c r="O1003" s="38"/>
      <c r="P1003" s="11"/>
      <c r="Q1003" s="11"/>
      <c r="R1003" s="11"/>
      <c r="S1003" s="11"/>
      <c r="T1003" s="11"/>
      <c r="U1003" s="11"/>
      <c r="V1003" s="11"/>
      <c r="Y1003" s="11"/>
      <c r="Z1003" s="11"/>
      <c r="AA1003" s="11"/>
      <c r="AB1003" s="11"/>
      <c r="AC1003" s="11"/>
      <c r="AD1003" s="11"/>
      <c r="AE1003" s="11"/>
      <c r="AF1003" s="11"/>
    </row>
    <row r="1004" spans="1:34" ht="16.5" hidden="1" thickTop="1">
      <c r="A1004" s="1" t="s">
        <v>185</v>
      </c>
      <c r="B1004" s="1"/>
      <c r="C1004" s="182">
        <f>C966+C906</f>
        <v>192734743.62835389</v>
      </c>
      <c r="D1004" s="193"/>
      <c r="E1004" s="1"/>
      <c r="F1004" s="2">
        <f>F966+F906</f>
        <v>14247040.631818183</v>
      </c>
      <c r="G1004" s="733"/>
      <c r="H1004" s="1"/>
      <c r="I1004" s="2">
        <f>I966+I906</f>
        <v>14869571.631818183</v>
      </c>
      <c r="J1004" s="193"/>
      <c r="K1004" s="1"/>
      <c r="L1004" s="2">
        <f ca="1">L966+L906</f>
        <v>14839470.468618181</v>
      </c>
      <c r="M1004" s="11"/>
      <c r="N1004" s="11"/>
      <c r="O1004" s="38"/>
      <c r="P1004" s="38"/>
      <c r="Q1004" s="38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</row>
    <row r="1005" spans="1:34" ht="16.5" hidden="1" thickTop="1">
      <c r="A1005" s="1" t="s">
        <v>167</v>
      </c>
      <c r="B1005" s="1"/>
      <c r="C1005" s="203">
        <v>1770845.2860049801</v>
      </c>
      <c r="D1005" s="172"/>
      <c r="E1005" s="172"/>
      <c r="F1005" s="494">
        <v>188255.20363351438</v>
      </c>
      <c r="G1005" s="284"/>
      <c r="H1005" s="172"/>
      <c r="I1005" s="494">
        <f>F1005</f>
        <v>188255.20363351438</v>
      </c>
      <c r="J1005" s="172"/>
      <c r="K1005" s="172"/>
      <c r="L1005" s="494">
        <f>I1005</f>
        <v>188255.20363351438</v>
      </c>
      <c r="M1005" s="307"/>
      <c r="N1005" s="307"/>
      <c r="O1005" s="150"/>
      <c r="P1005" s="38"/>
      <c r="Q1005" s="38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</row>
    <row r="1006" spans="1:34" ht="17.25" hidden="1" thickTop="1" thickBot="1">
      <c r="A1006" s="1" t="s">
        <v>186</v>
      </c>
      <c r="B1006" s="1"/>
      <c r="C1006" s="493">
        <f>C1004+C1005</f>
        <v>194505588.91435888</v>
      </c>
      <c r="D1006" s="205"/>
      <c r="E1006" s="208"/>
      <c r="F1006" s="496">
        <f>F1004+F1005</f>
        <v>14435295.835451698</v>
      </c>
      <c r="G1006" s="741"/>
      <c r="H1006" s="208"/>
      <c r="I1006" s="496">
        <f>I1004+I1005</f>
        <v>15057826.835451698</v>
      </c>
      <c r="J1006" s="205"/>
      <c r="K1006" s="208"/>
      <c r="L1006" s="496">
        <f ca="1">L1004+L1005</f>
        <v>15027725.672251696</v>
      </c>
      <c r="M1006" s="274"/>
      <c r="N1006" s="274"/>
      <c r="O1006" s="333"/>
      <c r="P1006" s="38"/>
      <c r="Q1006" s="38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</row>
    <row r="1007" spans="1:34" ht="16.5" hidden="1" thickTop="1">
      <c r="A1007" s="1"/>
      <c r="B1007" s="1"/>
      <c r="C1007" s="12"/>
      <c r="D1007" s="200" t="s">
        <v>13</v>
      </c>
      <c r="E1007" s="1"/>
      <c r="F1007" s="2"/>
      <c r="G1007" s="216" t="s">
        <v>13</v>
      </c>
      <c r="H1007" s="1"/>
      <c r="I1007" s="2" t="s">
        <v>13</v>
      </c>
      <c r="J1007" s="216" t="s">
        <v>13</v>
      </c>
      <c r="K1007" s="1"/>
      <c r="L1007" s="2" t="s">
        <v>13</v>
      </c>
      <c r="M1007" s="11"/>
      <c r="N1007" s="11"/>
      <c r="O1007" s="38"/>
      <c r="P1007" s="38"/>
      <c r="Q1007" s="38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</row>
    <row r="1008" spans="1:34" ht="16.5" hidden="1" thickTop="1">
      <c r="A1008" s="1"/>
      <c r="B1008" s="1"/>
      <c r="C1008" s="12"/>
      <c r="D1008" s="200"/>
      <c r="E1008" s="1"/>
      <c r="F1008" s="2"/>
      <c r="G1008" s="216"/>
      <c r="H1008" s="1"/>
      <c r="I1008" s="243"/>
      <c r="J1008" s="200"/>
      <c r="K1008" s="1"/>
      <c r="L1008" s="243"/>
      <c r="M1008" s="11"/>
      <c r="N1008" s="11"/>
      <c r="O1008" s="38"/>
      <c r="P1008" s="38"/>
      <c r="Q1008" s="38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</row>
    <row r="1009" spans="1:34" ht="16.5" hidden="1" thickTop="1">
      <c r="A1009" s="156" t="s">
        <v>280</v>
      </c>
      <c r="B1009" s="1"/>
      <c r="C1009" s="1"/>
      <c r="D1009" s="2"/>
      <c r="E1009" s="1"/>
      <c r="F1009" s="1"/>
      <c r="G1009" s="516"/>
      <c r="H1009" s="1"/>
      <c r="I1009" s="1"/>
      <c r="J1009" s="2"/>
      <c r="K1009" s="1"/>
      <c r="L1009" s="1"/>
      <c r="M1009" s="11"/>
      <c r="N1009" s="11"/>
      <c r="O1009" s="38"/>
      <c r="P1009" s="38"/>
      <c r="Q1009" s="38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</row>
    <row r="1010" spans="1:34" ht="16.5" hidden="1" thickTop="1">
      <c r="A1010" s="172" t="s">
        <v>437</v>
      </c>
      <c r="B1010" s="1"/>
      <c r="C1010" s="1"/>
      <c r="D1010" s="2"/>
      <c r="E1010" s="1"/>
      <c r="F1010" s="1"/>
      <c r="G1010" s="516"/>
      <c r="H1010" s="1"/>
      <c r="I1010" s="1"/>
      <c r="J1010" s="2"/>
      <c r="K1010" s="1"/>
      <c r="L1010" s="1"/>
      <c r="M1010" s="11"/>
      <c r="N1010" s="11"/>
      <c r="O1010" s="38"/>
      <c r="P1010" s="38"/>
      <c r="Q1010" s="38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</row>
    <row r="1011" spans="1:34" ht="16.5" hidden="1" thickTop="1">
      <c r="A1011" s="186"/>
      <c r="B1011" s="1"/>
      <c r="C1011" s="1"/>
      <c r="D1011" s="2"/>
      <c r="E1011" s="1"/>
      <c r="F1011" s="1"/>
      <c r="G1011" s="516"/>
      <c r="H1011" s="1"/>
      <c r="I1011" s="1"/>
      <c r="J1011" s="2"/>
      <c r="K1011" s="1"/>
      <c r="L1011" s="1"/>
      <c r="M1011" s="11"/>
      <c r="N1011" s="11"/>
      <c r="O1011" s="38"/>
      <c r="P1011" s="38"/>
      <c r="Q1011" s="38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</row>
    <row r="1012" spans="1:34" ht="16.5" hidden="1" thickTop="1">
      <c r="A1012" s="186" t="s">
        <v>197</v>
      </c>
      <c r="B1012" s="1"/>
      <c r="C1012" s="182"/>
      <c r="D1012" s="2"/>
      <c r="E1012" s="1"/>
      <c r="F1012" s="1"/>
      <c r="G1012" s="516"/>
      <c r="H1012" s="1"/>
      <c r="I1012" s="1"/>
      <c r="J1012" s="2"/>
      <c r="K1012" s="1"/>
      <c r="L1012" s="1"/>
      <c r="M1012" s="11"/>
      <c r="N1012" s="11"/>
      <c r="O1012" s="38"/>
      <c r="P1012" s="38"/>
      <c r="Q1012" s="38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</row>
    <row r="1013" spans="1:34" ht="16.5" hidden="1" thickTop="1">
      <c r="A1013" s="186" t="s">
        <v>275</v>
      </c>
      <c r="B1013" s="1"/>
      <c r="C1013" s="182">
        <f>C974+C914</f>
        <v>336.87878787878799</v>
      </c>
      <c r="D1013" s="200"/>
      <c r="E1013" s="184"/>
      <c r="F1013" s="2">
        <f>F974+F914</f>
        <v>443066</v>
      </c>
      <c r="G1013" s="216"/>
      <c r="H1013" s="184"/>
      <c r="I1013" s="2">
        <f>I974+I914</f>
        <v>443066</v>
      </c>
      <c r="J1013" s="200"/>
      <c r="K1013" s="184"/>
      <c r="L1013" s="2">
        <f>L974+L914</f>
        <v>443066</v>
      </c>
      <c r="M1013" s="11"/>
      <c r="N1013" s="11"/>
      <c r="O1013" s="38"/>
      <c r="P1013" s="38"/>
      <c r="Q1013" s="38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</row>
    <row r="1014" spans="1:34" ht="16.5" hidden="1" thickTop="1">
      <c r="A1014" s="186" t="s">
        <v>276</v>
      </c>
      <c r="B1014" s="1"/>
      <c r="C1014" s="182">
        <f>C975+C915</f>
        <v>0</v>
      </c>
      <c r="D1014" s="200"/>
      <c r="E1014" s="187"/>
      <c r="F1014" s="2">
        <f>F975+F915</f>
        <v>0</v>
      </c>
      <c r="G1014" s="216"/>
      <c r="H1014" s="187"/>
      <c r="I1014" s="2">
        <f>I975+I915</f>
        <v>0</v>
      </c>
      <c r="J1014" s="200"/>
      <c r="K1014" s="187"/>
      <c r="L1014" s="2">
        <f>L975+L915</f>
        <v>0</v>
      </c>
      <c r="M1014" s="11"/>
      <c r="N1014" s="11"/>
      <c r="O1014" s="38"/>
      <c r="P1014" s="38"/>
      <c r="Q1014" s="38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</row>
    <row r="1015" spans="1:34" ht="16.5" hidden="1" thickTop="1">
      <c r="A1015" s="186" t="s">
        <v>198</v>
      </c>
      <c r="B1015" s="1"/>
      <c r="C1015" s="182">
        <f>C976+C916</f>
        <v>336.87878787878799</v>
      </c>
      <c r="D1015" s="200"/>
      <c r="E1015" s="184"/>
      <c r="F1015" s="2" t="s">
        <v>13</v>
      </c>
      <c r="G1015" s="216"/>
      <c r="H1015" s="184"/>
      <c r="I1015" s="2" t="s">
        <v>13</v>
      </c>
      <c r="J1015" s="200"/>
      <c r="K1015" s="184"/>
      <c r="L1015" s="2" t="s">
        <v>13</v>
      </c>
      <c r="M1015" s="11"/>
      <c r="N1015" s="11"/>
      <c r="O1015" s="38"/>
      <c r="P1015" s="38"/>
      <c r="Q1015" s="38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</row>
    <row r="1016" spans="1:34" ht="16.5" hidden="1" thickTop="1">
      <c r="A1016" s="186" t="s">
        <v>277</v>
      </c>
      <c r="B1016" s="1"/>
      <c r="C1016" s="182">
        <f>C977+C917</f>
        <v>525179</v>
      </c>
      <c r="D1016" s="200"/>
      <c r="E1016" s="184"/>
      <c r="F1016" s="2">
        <f>F977+F917</f>
        <v>630178</v>
      </c>
      <c r="G1016" s="216"/>
      <c r="H1016" s="184"/>
      <c r="I1016" s="2">
        <f>I977+I917</f>
        <v>630178</v>
      </c>
      <c r="J1016" s="200"/>
      <c r="K1016" s="184"/>
      <c r="L1016" s="2">
        <f>L977+L917</f>
        <v>630178</v>
      </c>
      <c r="M1016" s="11"/>
      <c r="N1016" s="11"/>
      <c r="O1016" s="38"/>
      <c r="P1016" s="38"/>
      <c r="Q1016" s="38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</row>
    <row r="1017" spans="1:34" ht="16.5" hidden="1" thickTop="1">
      <c r="A1017" s="186" t="s">
        <v>278</v>
      </c>
      <c r="B1017" s="1"/>
      <c r="C1017" s="182">
        <f>C978+C918</f>
        <v>0</v>
      </c>
      <c r="D1017" s="200"/>
      <c r="E1017" s="184"/>
      <c r="F1017" s="2">
        <f>F978+F918</f>
        <v>0</v>
      </c>
      <c r="G1017" s="216"/>
      <c r="H1017" s="184"/>
      <c r="I1017" s="2">
        <f>I978+I918</f>
        <v>0</v>
      </c>
      <c r="J1017" s="200"/>
      <c r="K1017" s="184"/>
      <c r="L1017" s="2">
        <f>L978+L918</f>
        <v>0</v>
      </c>
      <c r="M1017" s="11"/>
      <c r="N1017" s="11"/>
      <c r="O1017" s="38"/>
      <c r="P1017" s="38"/>
      <c r="Q1017" s="38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</row>
    <row r="1018" spans="1:34" ht="16.5" hidden="1" thickTop="1">
      <c r="A1018" s="284" t="s">
        <v>539</v>
      </c>
      <c r="B1018" s="1"/>
      <c r="C1018" s="182">
        <f>C980+C920</f>
        <v>0</v>
      </c>
      <c r="D1018" s="200"/>
      <c r="E1018" s="184"/>
      <c r="F1018" s="2">
        <f>F979+F919</f>
        <v>3951996</v>
      </c>
      <c r="G1018" s="216"/>
      <c r="H1018" s="184"/>
      <c r="I1018" s="2">
        <f>I979+I919</f>
        <v>3951996</v>
      </c>
      <c r="J1018" s="200"/>
      <c r="K1018" s="184"/>
      <c r="L1018" s="2">
        <f>L979+L919</f>
        <v>3951996</v>
      </c>
      <c r="M1018" s="11"/>
      <c r="N1018" s="11"/>
      <c r="O1018" s="38"/>
      <c r="P1018" s="38"/>
      <c r="Q1018" s="38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</row>
    <row r="1019" spans="1:34" ht="16.5" hidden="1" thickTop="1">
      <c r="A1019" s="186" t="s">
        <v>230</v>
      </c>
      <c r="B1019" s="1"/>
      <c r="C1019" s="182"/>
      <c r="D1019" s="200"/>
      <c r="E1019" s="184"/>
      <c r="F1019" s="2"/>
      <c r="G1019" s="216"/>
      <c r="H1019" s="184"/>
      <c r="I1019" s="2"/>
      <c r="J1019" s="200"/>
      <c r="K1019" s="184"/>
      <c r="L1019" s="2"/>
      <c r="M1019" s="11"/>
      <c r="N1019" s="11"/>
      <c r="O1019" s="38"/>
      <c r="P1019" s="38"/>
      <c r="Q1019" s="38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</row>
    <row r="1020" spans="1:34" ht="16.5" hidden="1" thickTop="1">
      <c r="A1020" s="186" t="s">
        <v>268</v>
      </c>
      <c r="B1020" s="1"/>
      <c r="C1020" s="182">
        <f>C981+C921</f>
        <v>201885850</v>
      </c>
      <c r="D1020" s="258"/>
      <c r="E1020" s="184"/>
      <c r="F1020" s="2"/>
      <c r="G1020" s="749"/>
      <c r="H1020" s="184"/>
      <c r="I1020" s="2"/>
      <c r="J1020" s="258"/>
      <c r="K1020" s="184"/>
      <c r="L1020" s="2"/>
      <c r="M1020" s="11"/>
      <c r="N1020" s="11"/>
      <c r="O1020" s="38"/>
      <c r="P1020" s="38"/>
      <c r="Q1020" s="38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</row>
    <row r="1021" spans="1:34" ht="16.5" hidden="1" thickTop="1">
      <c r="A1021" s="172" t="s">
        <v>524</v>
      </c>
      <c r="B1021" s="1"/>
      <c r="C1021" s="182">
        <f>C982+C922</f>
        <v>79437910.701798514</v>
      </c>
      <c r="D1021" s="245"/>
      <c r="E1021" s="184"/>
      <c r="F1021" s="2">
        <f>F982+F922</f>
        <v>4216325</v>
      </c>
      <c r="G1021" s="287"/>
      <c r="H1021" s="184"/>
      <c r="I1021" s="2">
        <f>I982+I922</f>
        <v>4472909</v>
      </c>
      <c r="J1021" s="245"/>
      <c r="K1021" s="184"/>
      <c r="L1021" s="2">
        <f ca="1">L982+L922</f>
        <v>4461788</v>
      </c>
      <c r="M1021" s="11"/>
      <c r="N1021" s="11"/>
      <c r="O1021" s="38"/>
      <c r="P1021" s="38"/>
      <c r="Q1021" s="38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</row>
    <row r="1022" spans="1:34" ht="16.5" hidden="1" thickTop="1">
      <c r="A1022" s="172" t="s">
        <v>525</v>
      </c>
      <c r="B1022" s="1"/>
      <c r="C1022" s="182">
        <f>C983+C923</f>
        <v>122447939.29820149</v>
      </c>
      <c r="D1022" s="245"/>
      <c r="E1022" s="184"/>
      <c r="F1022" s="2">
        <f>F983+F923</f>
        <v>5356739</v>
      </c>
      <c r="G1022" s="287"/>
      <c r="H1022" s="184"/>
      <c r="I1022" s="2">
        <f>I983+I923</f>
        <v>5752246</v>
      </c>
      <c r="J1022" s="245"/>
      <c r="K1022" s="184"/>
      <c r="L1022" s="2">
        <f ca="1">L983+L923</f>
        <v>5735103</v>
      </c>
      <c r="M1022" s="11"/>
      <c r="N1022" s="11"/>
      <c r="O1022" s="38"/>
      <c r="P1022" s="38"/>
      <c r="Q1022" s="38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</row>
    <row r="1023" spans="1:34" ht="16.5" hidden="1" thickTop="1">
      <c r="A1023" s="186" t="s">
        <v>204</v>
      </c>
      <c r="B1023" s="1"/>
      <c r="C1023" s="182">
        <f>C984+C924</f>
        <v>119864.939393939</v>
      </c>
      <c r="D1023" s="189"/>
      <c r="E1023" s="184"/>
      <c r="F1023" s="2">
        <f>F984+F924</f>
        <v>68299.485454545211</v>
      </c>
      <c r="G1023" s="216"/>
      <c r="H1023" s="184"/>
      <c r="I1023" s="2">
        <f>I984+I924</f>
        <v>68299.485454545211</v>
      </c>
      <c r="J1023" s="189"/>
      <c r="K1023" s="184"/>
      <c r="L1023" s="2">
        <f>L984+L924</f>
        <v>67719.706254545221</v>
      </c>
      <c r="M1023" s="512"/>
      <c r="N1023" s="38"/>
      <c r="O1023" s="38"/>
      <c r="P1023" s="11"/>
      <c r="Q1023" s="11"/>
      <c r="R1023" s="11"/>
      <c r="S1023" s="11"/>
      <c r="T1023" s="11"/>
      <c r="U1023" s="11"/>
      <c r="V1023" s="11"/>
      <c r="Y1023" s="11"/>
      <c r="Z1023" s="11"/>
      <c r="AA1023" s="11"/>
      <c r="AB1023" s="11"/>
      <c r="AC1023" s="11"/>
      <c r="AD1023" s="11"/>
      <c r="AE1023" s="11"/>
      <c r="AF1023" s="11"/>
    </row>
    <row r="1024" spans="1:34" ht="16.5" hidden="1" thickTop="1">
      <c r="A1024" s="1" t="s">
        <v>185</v>
      </c>
      <c r="B1024" s="1"/>
      <c r="C1024" s="213">
        <f>C985+C925</f>
        <v>201885850</v>
      </c>
      <c r="D1024" s="193"/>
      <c r="E1024" s="1"/>
      <c r="F1024" s="20">
        <f>F985+F925</f>
        <v>14666603.485454544</v>
      </c>
      <c r="G1024" s="733"/>
      <c r="H1024" s="1"/>
      <c r="I1024" s="20">
        <f>I985+I925</f>
        <v>15318694.485454544</v>
      </c>
      <c r="J1024" s="193"/>
      <c r="K1024" s="1"/>
      <c r="L1024" s="20">
        <f ca="1">L985+L925</f>
        <v>15289850.706254546</v>
      </c>
      <c r="M1024" s="11"/>
      <c r="N1024" s="11"/>
      <c r="O1024" s="38"/>
      <c r="P1024" s="38"/>
      <c r="Q1024" s="38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</row>
    <row r="1025" spans="1:34" ht="16.5" hidden="1" thickTop="1">
      <c r="A1025" s="1" t="s">
        <v>167</v>
      </c>
      <c r="B1025" s="1"/>
      <c r="C1025" s="203">
        <v>3794124.5860089995</v>
      </c>
      <c r="D1025" s="172"/>
      <c r="E1025" s="172"/>
      <c r="F1025" s="494">
        <v>88734.392806797216</v>
      </c>
      <c r="G1025" s="284"/>
      <c r="H1025" s="172"/>
      <c r="I1025" s="494">
        <f>F1025</f>
        <v>88734.392806797216</v>
      </c>
      <c r="J1025" s="172"/>
      <c r="K1025" s="172"/>
      <c r="L1025" s="494">
        <f>I1025</f>
        <v>88734.392806797216</v>
      </c>
      <c r="M1025" s="307"/>
      <c r="N1025" s="307"/>
      <c r="O1025" s="150"/>
      <c r="P1025" s="38"/>
      <c r="Q1025" s="38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</row>
    <row r="1026" spans="1:34" ht="17.25" hidden="1" thickTop="1" thickBot="1">
      <c r="A1026" s="1" t="s">
        <v>186</v>
      </c>
      <c r="B1026" s="1"/>
      <c r="C1026" s="493">
        <f>C1024+C1025</f>
        <v>205679974.586009</v>
      </c>
      <c r="D1026" s="205"/>
      <c r="E1026" s="208"/>
      <c r="F1026" s="495">
        <f>F1024+F1025</f>
        <v>14755337.878261341</v>
      </c>
      <c r="G1026" s="741"/>
      <c r="H1026" s="208"/>
      <c r="I1026" s="495">
        <f>I1024+I1025</f>
        <v>15407428.878261341</v>
      </c>
      <c r="J1026" s="205"/>
      <c r="K1026" s="208"/>
      <c r="L1026" s="495">
        <f ca="1">L1024+L1025</f>
        <v>15378585.099061342</v>
      </c>
      <c r="M1026" s="274"/>
      <c r="N1026" s="274"/>
      <c r="O1026" s="333"/>
      <c r="P1026" s="38"/>
      <c r="Q1026" s="38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</row>
    <row r="1027" spans="1:34" ht="16.5" thickTop="1">
      <c r="A1027" s="1"/>
      <c r="B1027" s="1"/>
      <c r="C1027" s="12"/>
      <c r="D1027" s="200" t="s">
        <v>13</v>
      </c>
      <c r="E1027" s="1"/>
      <c r="F1027" s="2"/>
      <c r="G1027" s="216" t="s">
        <v>13</v>
      </c>
      <c r="H1027" s="1"/>
      <c r="I1027" s="2" t="s">
        <v>13</v>
      </c>
      <c r="J1027" s="216" t="s">
        <v>13</v>
      </c>
      <c r="K1027" s="1"/>
      <c r="L1027" s="2" t="s">
        <v>13</v>
      </c>
      <c r="M1027" s="11"/>
      <c r="N1027" s="11"/>
      <c r="O1027" s="38"/>
      <c r="P1027" s="38"/>
      <c r="Q1027" s="38"/>
      <c r="R1027" s="11"/>
      <c r="S1027" s="18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</row>
    <row r="1028" spans="1:34">
      <c r="A1028" s="156" t="s">
        <v>280</v>
      </c>
      <c r="B1028" s="1"/>
      <c r="C1028" s="1"/>
      <c r="D1028" s="2"/>
      <c r="E1028" s="1"/>
      <c r="F1028" s="1"/>
      <c r="G1028" s="516"/>
      <c r="H1028" s="1"/>
      <c r="I1028" s="1"/>
      <c r="J1028" s="2"/>
      <c r="K1028" s="1"/>
      <c r="L1028" s="1"/>
      <c r="M1028" s="11"/>
      <c r="N1028" s="11"/>
      <c r="O1028" s="853" t="s">
        <v>1459</v>
      </c>
      <c r="P1028" s="38"/>
      <c r="Q1028" s="38"/>
      <c r="R1028" s="11"/>
      <c r="S1028" s="66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</row>
    <row r="1029" spans="1:34">
      <c r="A1029" s="284" t="s">
        <v>449</v>
      </c>
      <c r="B1029" s="1"/>
      <c r="C1029" s="1"/>
      <c r="D1029" s="2"/>
      <c r="E1029" s="1"/>
      <c r="F1029" s="1"/>
      <c r="G1029" s="516"/>
      <c r="H1029" s="1"/>
      <c r="I1029" s="1"/>
      <c r="J1029" s="2"/>
      <c r="K1029" s="1"/>
      <c r="L1029" s="1"/>
      <c r="M1029" s="11"/>
      <c r="N1029" s="11"/>
      <c r="O1029" s="852">
        <f ca="1">'Exhibit No.__(RMM-2)pg1'!O28*1000</f>
        <v>-52793.74518095894</v>
      </c>
      <c r="P1029" s="38"/>
      <c r="Q1029" s="38"/>
      <c r="R1029" s="11"/>
      <c r="S1029" s="660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</row>
    <row r="1030" spans="1:34">
      <c r="A1030" s="186"/>
      <c r="B1030" s="1"/>
      <c r="C1030" s="1"/>
      <c r="D1030" s="2"/>
      <c r="E1030" s="1"/>
      <c r="F1030" s="1"/>
      <c r="G1030" s="516"/>
      <c r="H1030" s="1"/>
      <c r="I1030" s="1"/>
      <c r="J1030" s="2"/>
      <c r="K1030" s="1"/>
      <c r="L1030" s="1"/>
      <c r="M1030" s="11"/>
      <c r="N1030" s="11"/>
      <c r="O1030" s="38"/>
      <c r="P1030" s="38"/>
      <c r="Q1030" s="38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</row>
    <row r="1031" spans="1:34">
      <c r="A1031" s="186" t="s">
        <v>197</v>
      </c>
      <c r="B1031" s="1"/>
      <c r="C1031" s="182"/>
      <c r="D1031" s="2"/>
      <c r="E1031" s="1"/>
      <c r="F1031" s="1"/>
      <c r="G1031" s="516"/>
      <c r="H1031" s="1"/>
      <c r="I1031" s="1" t="s">
        <v>13</v>
      </c>
      <c r="J1031" s="2"/>
      <c r="K1031" s="1"/>
      <c r="L1031" s="1" t="s">
        <v>13</v>
      </c>
      <c r="M1031" s="11"/>
      <c r="N1031" s="11"/>
      <c r="O1031" s="38"/>
      <c r="P1031" s="38"/>
      <c r="Q1031" s="38"/>
      <c r="R1031" s="11"/>
      <c r="S1031" s="11"/>
      <c r="T1031" s="11"/>
      <c r="U1031" s="11"/>
      <c r="V1031" s="11"/>
      <c r="Z1031" s="11"/>
      <c r="AA1031" s="11"/>
      <c r="AB1031" s="11"/>
      <c r="AC1031" s="11"/>
      <c r="AD1031" s="11"/>
      <c r="AE1031" s="11"/>
      <c r="AF1031" s="11"/>
      <c r="AG1031" s="11"/>
      <c r="AH1031" s="11"/>
    </row>
    <row r="1032" spans="1:34">
      <c r="A1032" s="172" t="s">
        <v>423</v>
      </c>
      <c r="B1032" s="1"/>
      <c r="C1032" s="182">
        <v>0</v>
      </c>
      <c r="D1032" s="200" t="s">
        <v>13</v>
      </c>
      <c r="E1032" s="184"/>
      <c r="F1032" s="2">
        <f>ROUND(C1032*D1032,0)</f>
        <v>0</v>
      </c>
      <c r="G1032" s="216" t="s">
        <v>13</v>
      </c>
      <c r="H1032" s="184"/>
      <c r="I1032" s="2">
        <f>ROUND(G1032*$C1032,0)</f>
        <v>0</v>
      </c>
      <c r="J1032" s="200" t="s">
        <v>13</v>
      </c>
      <c r="K1032" s="184"/>
      <c r="L1032" s="2">
        <f>ROUND(J1032*$C1032,0)</f>
        <v>0</v>
      </c>
      <c r="M1032" s="11"/>
      <c r="N1032" s="11"/>
      <c r="O1032" s="38"/>
      <c r="P1032" s="716"/>
      <c r="Q1032" s="716"/>
      <c r="R1032" s="11"/>
      <c r="S1032" s="711"/>
      <c r="T1032" s="288"/>
      <c r="U1032" s="711"/>
      <c r="V1032" s="288"/>
      <c r="W1032" s="49"/>
      <c r="X1032" s="49"/>
      <c r="Y1032" s="483"/>
      <c r="Z1032" s="11"/>
      <c r="AA1032" s="11"/>
      <c r="AB1032" s="11"/>
      <c r="AC1032" s="11"/>
      <c r="AD1032" s="11"/>
      <c r="AE1032" s="11"/>
      <c r="AF1032" s="11"/>
      <c r="AG1032" s="11"/>
      <c r="AH1032" s="11"/>
    </row>
    <row r="1033" spans="1:34">
      <c r="A1033" s="172" t="s">
        <v>424</v>
      </c>
      <c r="B1033" s="1"/>
      <c r="C1033" s="182">
        <v>12</v>
      </c>
      <c r="D1033" s="164">
        <v>2999</v>
      </c>
      <c r="E1033" s="187"/>
      <c r="F1033" s="2">
        <f>ROUND(C1033*D1033,0)</f>
        <v>35988</v>
      </c>
      <c r="G1033" s="506">
        <v>2999</v>
      </c>
      <c r="H1033" s="187"/>
      <c r="I1033" s="2">
        <f>ROUND(G1033*$C1033,0)</f>
        <v>35988</v>
      </c>
      <c r="J1033" s="164">
        <f t="shared" ref="J1033" si="89">G1033</f>
        <v>2999</v>
      </c>
      <c r="K1033" s="187"/>
      <c r="L1033" s="2">
        <f>ROUND(J1033*$C1033,0)</f>
        <v>35988</v>
      </c>
      <c r="M1033" s="321"/>
      <c r="N1033" s="321"/>
      <c r="O1033" s="38"/>
      <c r="P1033" s="513"/>
      <c r="Q1033" s="500"/>
      <c r="R1033" s="11"/>
      <c r="S1033" s="711"/>
      <c r="T1033" s="288"/>
      <c r="U1033" s="711"/>
      <c r="V1033" s="288"/>
      <c r="W1033" s="49"/>
      <c r="X1033" s="49"/>
      <c r="Y1033" s="483"/>
      <c r="Z1033" s="11"/>
      <c r="AA1033" s="11"/>
      <c r="AB1033" s="11"/>
      <c r="AC1033" s="11"/>
      <c r="AD1033" s="11"/>
      <c r="AE1033" s="11"/>
      <c r="AF1033" s="11"/>
      <c r="AG1033" s="11"/>
      <c r="AH1033" s="11"/>
    </row>
    <row r="1034" spans="1:34">
      <c r="A1034" s="186" t="s">
        <v>198</v>
      </c>
      <c r="B1034" s="1"/>
      <c r="C1034" s="182">
        <f>SUM(C1032:C1033)</f>
        <v>12</v>
      </c>
      <c r="D1034" s="200" t="s">
        <v>13</v>
      </c>
      <c r="E1034" s="184"/>
      <c r="F1034" s="2" t="s">
        <v>13</v>
      </c>
      <c r="G1034" s="216" t="s">
        <v>13</v>
      </c>
      <c r="H1034" s="184"/>
      <c r="I1034" s="2" t="s">
        <v>13</v>
      </c>
      <c r="J1034" s="200" t="s">
        <v>13</v>
      </c>
      <c r="K1034" s="184"/>
      <c r="L1034" s="2" t="s">
        <v>13</v>
      </c>
      <c r="M1034" s="185"/>
      <c r="N1034" s="185"/>
      <c r="O1034" s="477"/>
      <c r="P1034" s="490"/>
      <c r="Q1034" s="38"/>
      <c r="R1034" s="11"/>
      <c r="S1034" s="711"/>
      <c r="T1034" s="288"/>
      <c r="U1034" s="711"/>
      <c r="V1034" s="288"/>
      <c r="W1034" s="49"/>
      <c r="X1034" s="49"/>
      <c r="Y1034" s="483"/>
      <c r="Z1034" s="11"/>
      <c r="AA1034" s="11"/>
      <c r="AB1034" s="11"/>
      <c r="AC1034" s="11"/>
      <c r="AD1034" s="11"/>
      <c r="AE1034" s="11"/>
      <c r="AF1034" s="11"/>
      <c r="AG1034" s="11"/>
      <c r="AH1034" s="11"/>
    </row>
    <row r="1035" spans="1:34">
      <c r="A1035" s="186" t="s">
        <v>277</v>
      </c>
      <c r="B1035" s="1"/>
      <c r="C1035" s="182">
        <v>0</v>
      </c>
      <c r="D1035" s="200" t="s">
        <v>13</v>
      </c>
      <c r="E1035" s="184"/>
      <c r="F1035" s="2">
        <f>ROUND(C1035*D1035,0)</f>
        <v>0</v>
      </c>
      <c r="G1035" s="216" t="s">
        <v>13</v>
      </c>
      <c r="H1035" s="184"/>
      <c r="I1035" s="2">
        <f>ROUND(G1035*$C1035,0)</f>
        <v>0</v>
      </c>
      <c r="J1035" s="200" t="s">
        <v>13</v>
      </c>
      <c r="K1035" s="184"/>
      <c r="L1035" s="2">
        <f>ROUND(J1035*$C1035,0)</f>
        <v>0</v>
      </c>
      <c r="M1035" s="11"/>
      <c r="N1035" s="11"/>
      <c r="O1035" s="38"/>
      <c r="P1035" s="512"/>
      <c r="Q1035" s="38"/>
      <c r="R1035" s="11"/>
      <c r="S1035" s="711"/>
      <c r="T1035" s="288"/>
      <c r="U1035" s="711"/>
      <c r="V1035" s="288"/>
      <c r="W1035" s="49"/>
      <c r="X1035" s="49"/>
      <c r="Y1035" s="483"/>
      <c r="Z1035" s="11"/>
      <c r="AA1035" s="11"/>
      <c r="AB1035" s="11"/>
      <c r="AC1035" s="11"/>
      <c r="AD1035" s="11"/>
      <c r="AE1035" s="11"/>
      <c r="AF1035" s="11"/>
      <c r="AG1035" s="11"/>
      <c r="AH1035" s="11"/>
    </row>
    <row r="1036" spans="1:34">
      <c r="A1036" s="172" t="s">
        <v>425</v>
      </c>
      <c r="B1036" s="623" t="s">
        <v>13</v>
      </c>
      <c r="C1036" s="182">
        <v>686556</v>
      </c>
      <c r="D1036" s="164">
        <v>0.26</v>
      </c>
      <c r="E1036" s="184"/>
      <c r="F1036" s="2">
        <f>ROUND(C1036*D1036,0)</f>
        <v>178505</v>
      </c>
      <c r="G1036" s="506">
        <v>0.26</v>
      </c>
      <c r="H1036" s="184"/>
      <c r="I1036" s="2">
        <f>ROUND(G1036*$C1036,0)</f>
        <v>178505</v>
      </c>
      <c r="J1036" s="164">
        <f t="shared" ref="J1036:J1037" si="90">G1036</f>
        <v>0.26</v>
      </c>
      <c r="K1036" s="184"/>
      <c r="L1036" s="2">
        <f>ROUND(J1036*$C1036,0)</f>
        <v>178505</v>
      </c>
      <c r="M1036" s="185"/>
      <c r="N1036" s="185"/>
      <c r="O1036" s="477"/>
      <c r="P1036" s="490"/>
      <c r="Q1036" s="500"/>
      <c r="R1036" s="11"/>
      <c r="S1036" s="711"/>
      <c r="T1036" s="288"/>
      <c r="U1036" s="711"/>
      <c r="V1036" s="288"/>
      <c r="W1036" s="49"/>
      <c r="X1036" s="49"/>
      <c r="Y1036" s="483"/>
      <c r="Z1036" s="11"/>
      <c r="AA1036" s="11"/>
      <c r="AB1036" s="11"/>
      <c r="AC1036" s="11"/>
      <c r="AD1036" s="11"/>
      <c r="AE1036" s="11"/>
      <c r="AF1036" s="11"/>
      <c r="AG1036" s="11"/>
      <c r="AH1036" s="11"/>
    </row>
    <row r="1037" spans="1:34">
      <c r="A1037" s="284" t="s">
        <v>539</v>
      </c>
      <c r="B1037" s="1"/>
      <c r="C1037" s="182">
        <v>683280</v>
      </c>
      <c r="D1037" s="164">
        <v>8.93</v>
      </c>
      <c r="E1037" s="184"/>
      <c r="F1037" s="2">
        <f>ROUND(C1037*D1037,0)</f>
        <v>6101690</v>
      </c>
      <c r="G1037" s="506">
        <v>8.93</v>
      </c>
      <c r="H1037" s="184"/>
      <c r="I1037" s="2">
        <f>ROUND(G1037*$C1037,0)</f>
        <v>6101690</v>
      </c>
      <c r="J1037" s="164">
        <f t="shared" si="90"/>
        <v>8.93</v>
      </c>
      <c r="K1037" s="184"/>
      <c r="L1037" s="2">
        <f>ROUND(J1037*$C1037,0)</f>
        <v>6101690</v>
      </c>
      <c r="M1037" s="185"/>
      <c r="N1037" s="185"/>
      <c r="O1037" s="477"/>
      <c r="P1037" s="490"/>
      <c r="Q1037" s="500"/>
      <c r="R1037" s="38"/>
      <c r="S1037" s="487"/>
      <c r="T1037" s="288"/>
      <c r="U1037" s="487"/>
      <c r="V1037" s="288"/>
      <c r="W1037" s="487"/>
      <c r="X1037" s="38"/>
      <c r="Y1037" s="483"/>
      <c r="Z1037" s="11"/>
      <c r="AA1037" s="11"/>
      <c r="AB1037" s="11"/>
      <c r="AC1037" s="11"/>
      <c r="AD1037" s="11"/>
      <c r="AE1037" s="11"/>
      <c r="AF1037" s="11"/>
      <c r="AG1037" s="11"/>
      <c r="AH1037" s="11"/>
    </row>
    <row r="1038" spans="1:34">
      <c r="A1038" s="186" t="s">
        <v>230</v>
      </c>
      <c r="B1038" s="1"/>
      <c r="C1038" s="138" t="s">
        <v>13</v>
      </c>
      <c r="D1038" s="276" t="s">
        <v>13</v>
      </c>
      <c r="E1038" s="184"/>
      <c r="F1038" s="2"/>
      <c r="G1038" s="284" t="s">
        <v>13</v>
      </c>
      <c r="H1038" s="184"/>
      <c r="I1038" s="2"/>
      <c r="J1038" s="276" t="s">
        <v>13</v>
      </c>
      <c r="K1038" s="184"/>
      <c r="L1038" s="2"/>
      <c r="M1038" s="11"/>
      <c r="N1038" s="11"/>
      <c r="O1038" s="38"/>
      <c r="P1038" s="490"/>
      <c r="Q1038" s="38"/>
      <c r="R1038" s="38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</row>
    <row r="1039" spans="1:34">
      <c r="A1039" s="186" t="s">
        <v>268</v>
      </c>
      <c r="B1039" s="623" t="s">
        <v>13</v>
      </c>
      <c r="C1039" s="182">
        <v>463519192.5</v>
      </c>
      <c r="D1039" s="162"/>
      <c r="E1039" s="184"/>
      <c r="F1039" s="2"/>
      <c r="G1039" s="731"/>
      <c r="H1039" s="184"/>
      <c r="I1039" s="2"/>
      <c r="J1039" s="162"/>
      <c r="K1039" s="184"/>
      <c r="L1039" s="2"/>
      <c r="M1039" s="185"/>
      <c r="N1039" s="279"/>
      <c r="O1039" s="477"/>
      <c r="P1039" s="490"/>
      <c r="Q1039" s="500"/>
      <c r="R1039" s="38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</row>
    <row r="1040" spans="1:34">
      <c r="A1040" s="172" t="s">
        <v>524</v>
      </c>
      <c r="B1040" s="1"/>
      <c r="C1040" s="182">
        <v>183704985</v>
      </c>
      <c r="D1040" s="162">
        <v>5.18</v>
      </c>
      <c r="E1040" s="184" t="s">
        <v>178</v>
      </c>
      <c r="F1040" s="184">
        <f>ROUND(D1040/100*C1040,0)</f>
        <v>9515918</v>
      </c>
      <c r="G1040" s="731">
        <v>5.5030000000000001</v>
      </c>
      <c r="H1040" s="184" t="s">
        <v>178</v>
      </c>
      <c r="I1040" s="184">
        <f>ROUND(G1040/100*$C1040,0)</f>
        <v>10109285</v>
      </c>
      <c r="J1040" s="162">
        <f ca="1">ROUND(G1040+($O$1029/$C$1043)*100,3)</f>
        <v>5.492</v>
      </c>
      <c r="K1040" s="184" t="s">
        <v>178</v>
      </c>
      <c r="L1040" s="184">
        <f ca="1">ROUND(J1040/100*$C1040,0)</f>
        <v>10089078</v>
      </c>
      <c r="M1040" s="11"/>
      <c r="N1040" s="11"/>
      <c r="O1040" s="38"/>
      <c r="P1040" s="38"/>
      <c r="Q1040" s="38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</row>
    <row r="1041" spans="1:34">
      <c r="A1041" s="172" t="s">
        <v>525</v>
      </c>
      <c r="B1041" s="1"/>
      <c r="C1041" s="182">
        <f>C1043-C1040</f>
        <v>279814207.5</v>
      </c>
      <c r="D1041" s="162">
        <v>4.2469999999999999</v>
      </c>
      <c r="E1041" s="184" t="s">
        <v>178</v>
      </c>
      <c r="F1041" s="184">
        <f>ROUND(D1041/100*C1041,0)</f>
        <v>11883709</v>
      </c>
      <c r="G1041" s="731">
        <v>4.57</v>
      </c>
      <c r="H1041" s="184" t="s">
        <v>178</v>
      </c>
      <c r="I1041" s="184">
        <f>ROUND(G1041/100*$C1041,0)</f>
        <v>12787509</v>
      </c>
      <c r="J1041" s="162">
        <f ca="1">ROUND(G1041+($O$1029/$C$1043)*100,3)</f>
        <v>4.5590000000000002</v>
      </c>
      <c r="K1041" s="184" t="s">
        <v>178</v>
      </c>
      <c r="L1041" s="184">
        <f ca="1">ROUND(J1041/100*$C1041,0)</f>
        <v>12756730</v>
      </c>
      <c r="M1041" s="185"/>
      <c r="N1041" s="185"/>
      <c r="O1041" s="185"/>
      <c r="P1041" s="38"/>
      <c r="Q1041" s="38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</row>
    <row r="1042" spans="1:34">
      <c r="A1042" s="186" t="s">
        <v>204</v>
      </c>
      <c r="B1042" s="1"/>
      <c r="C1042" s="182">
        <v>18666</v>
      </c>
      <c r="D1042" s="189">
        <v>0.55000000000000004</v>
      </c>
      <c r="E1042" s="184"/>
      <c r="F1042" s="2">
        <f>C1042*D1042</f>
        <v>10266.300000000001</v>
      </c>
      <c r="G1042" s="744">
        <v>0.55000000000000004</v>
      </c>
      <c r="H1042" s="184"/>
      <c r="I1042" s="2">
        <f>C1042*G1042</f>
        <v>10266.300000000001</v>
      </c>
      <c r="J1042" s="472">
        <f t="shared" ref="J1042" si="91">G1042</f>
        <v>0.55000000000000004</v>
      </c>
      <c r="K1042" s="184"/>
      <c r="L1042" s="2">
        <f>C1042*J1042</f>
        <v>10266.300000000001</v>
      </c>
      <c r="M1042" s="185"/>
      <c r="N1042" s="38"/>
      <c r="O1042" s="38"/>
      <c r="P1042" s="490"/>
      <c r="Q1042" s="11"/>
      <c r="R1042" s="11"/>
      <c r="S1042" s="11"/>
      <c r="T1042" s="11"/>
      <c r="U1042" s="11"/>
      <c r="V1042" s="11"/>
      <c r="Y1042" s="11"/>
      <c r="Z1042" s="11"/>
      <c r="AA1042" s="11"/>
      <c r="AB1042" s="11"/>
      <c r="AC1042" s="11"/>
      <c r="AD1042" s="11"/>
      <c r="AE1042" s="11"/>
      <c r="AF1042" s="11"/>
    </row>
    <row r="1043" spans="1:34">
      <c r="A1043" s="1" t="s">
        <v>185</v>
      </c>
      <c r="B1043" s="1"/>
      <c r="C1043" s="182">
        <f>C1039</f>
        <v>463519192.5</v>
      </c>
      <c r="D1043" s="193"/>
      <c r="E1043" s="1"/>
      <c r="F1043" s="2">
        <f>SUM(F1032:F1042)</f>
        <v>27726076.300000001</v>
      </c>
      <c r="G1043" s="733"/>
      <c r="H1043" s="1"/>
      <c r="I1043" s="2">
        <f>SUM(I1032:I1042)</f>
        <v>29223243.300000001</v>
      </c>
      <c r="J1043" s="193"/>
      <c r="K1043" s="1"/>
      <c r="L1043" s="2">
        <f ca="1">SUM(L1032:L1042)</f>
        <v>29172257.300000001</v>
      </c>
      <c r="M1043" s="20"/>
      <c r="N1043" s="20"/>
      <c r="O1043" s="20"/>
      <c r="P1043" s="38"/>
      <c r="Q1043" s="38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</row>
    <row r="1044" spans="1:34">
      <c r="A1044" s="1" t="s">
        <v>167</v>
      </c>
      <c r="B1044" s="1"/>
      <c r="C1044" s="182">
        <v>7736100.873537424</v>
      </c>
      <c r="D1044" s="172"/>
      <c r="E1044" s="172"/>
      <c r="F1044" s="204">
        <v>150260.74060279451</v>
      </c>
      <c r="G1044" s="284"/>
      <c r="H1044" s="172"/>
      <c r="I1044" s="204">
        <f>F1044</f>
        <v>150260.74060279451</v>
      </c>
      <c r="J1044" s="172"/>
      <c r="K1044" s="172"/>
      <c r="L1044" s="204">
        <f>I1044</f>
        <v>150260.74060279451</v>
      </c>
      <c r="M1044" s="307"/>
      <c r="N1044" s="307"/>
      <c r="O1044" s="150"/>
      <c r="P1044" s="38"/>
      <c r="Q1044" s="38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</row>
    <row r="1045" spans="1:34" ht="16.5" thickBot="1">
      <c r="A1045" s="1" t="s">
        <v>186</v>
      </c>
      <c r="B1045" s="1"/>
      <c r="C1045" s="256">
        <f>SUM(C1043)+C1044</f>
        <v>471255293.37353742</v>
      </c>
      <c r="D1045" s="205"/>
      <c r="E1045" s="208"/>
      <c r="F1045" s="207">
        <f>F1043+F1044</f>
        <v>27876337.040602796</v>
      </c>
      <c r="G1045" s="741"/>
      <c r="H1045" s="208"/>
      <c r="I1045" s="207">
        <f>I1043+I1044</f>
        <v>29373504.040602796</v>
      </c>
      <c r="J1045" s="205"/>
      <c r="K1045" s="208"/>
      <c r="L1045" s="207">
        <f ca="1">L1043+L1044</f>
        <v>29322518.040602796</v>
      </c>
      <c r="M1045" s="279"/>
      <c r="N1045" s="11"/>
      <c r="O1045" s="279"/>
      <c r="P1045" s="500"/>
      <c r="Q1045" s="500"/>
      <c r="R1045" s="510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</row>
    <row r="1046" spans="1:34" ht="16.5" hidden="1" thickTop="1">
      <c r="A1046" s="1"/>
      <c r="B1046" s="1"/>
      <c r="C1046" s="12"/>
      <c r="D1046" s="200" t="s">
        <v>13</v>
      </c>
      <c r="E1046" s="1"/>
      <c r="F1046" s="2"/>
      <c r="G1046" s="216" t="s">
        <v>13</v>
      </c>
      <c r="H1046" s="1"/>
      <c r="I1046" s="2" t="s">
        <v>13</v>
      </c>
      <c r="J1046" s="216" t="s">
        <v>13</v>
      </c>
      <c r="K1046" s="1"/>
      <c r="L1046" s="2" t="s">
        <v>13</v>
      </c>
      <c r="M1046" s="11"/>
      <c r="N1046" s="11"/>
      <c r="O1046" s="279"/>
      <c r="P1046" s="6"/>
      <c r="Q1046" s="38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</row>
    <row r="1047" spans="1:34" ht="16.5" hidden="1" thickTop="1">
      <c r="A1047" s="623"/>
      <c r="B1047" s="1"/>
      <c r="C1047" s="12"/>
      <c r="D1047" s="200"/>
      <c r="E1047" s="1"/>
      <c r="F1047" s="2"/>
      <c r="G1047" s="216"/>
      <c r="H1047" s="1"/>
      <c r="I1047" s="2"/>
      <c r="J1047" s="216"/>
      <c r="K1047" s="1"/>
      <c r="L1047" s="2"/>
      <c r="M1047" s="715"/>
      <c r="N1047" s="715"/>
      <c r="O1047" s="715"/>
      <c r="P1047" s="715"/>
      <c r="Q1047" s="38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</row>
    <row r="1048" spans="1:34" ht="16.5" thickTop="1">
      <c r="A1048" s="1"/>
      <c r="B1048" s="1"/>
      <c r="C1048" s="12"/>
      <c r="D1048" s="200"/>
      <c r="E1048" s="1"/>
      <c r="F1048" s="2"/>
      <c r="G1048" s="216"/>
      <c r="H1048" s="1"/>
      <c r="I1048" s="2" t="s">
        <v>13</v>
      </c>
      <c r="J1048" s="216"/>
      <c r="K1048" s="1"/>
      <c r="L1048" s="2" t="s">
        <v>13</v>
      </c>
      <c r="M1048" s="274"/>
      <c r="N1048" s="274"/>
      <c r="O1048" s="274"/>
      <c r="P1048" s="274"/>
      <c r="Q1048" s="38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</row>
    <row r="1049" spans="1:34">
      <c r="A1049" s="156" t="s">
        <v>286</v>
      </c>
      <c r="B1049" s="1"/>
      <c r="C1049" s="1"/>
      <c r="D1049" s="1"/>
      <c r="E1049" s="1"/>
      <c r="F1049" s="2"/>
      <c r="G1049" s="284"/>
      <c r="H1049" s="1"/>
      <c r="I1049" s="1"/>
      <c r="J1049" s="1"/>
      <c r="K1049" s="1"/>
      <c r="L1049" s="1"/>
      <c r="M1049" s="11"/>
      <c r="N1049" s="11"/>
      <c r="O1049" s="853" t="s">
        <v>1460</v>
      </c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</row>
    <row r="1050" spans="1:34">
      <c r="A1050" s="1" t="s">
        <v>382</v>
      </c>
      <c r="B1050" s="1"/>
      <c r="C1050" s="1"/>
      <c r="D1050" s="1"/>
      <c r="E1050" s="1"/>
      <c r="F1050" s="2"/>
      <c r="G1050" s="284"/>
      <c r="H1050" s="1"/>
      <c r="I1050" s="1"/>
      <c r="J1050" s="1"/>
      <c r="K1050" s="1"/>
      <c r="L1050" s="1"/>
      <c r="M1050" s="11"/>
      <c r="N1050" s="11"/>
      <c r="O1050" s="852">
        <f ca="1">'Exhibit No.__(RMM-2)pg1'!O36*1000</f>
        <v>-372.32060081968928</v>
      </c>
      <c r="P1050" s="11"/>
      <c r="Q1050" s="141"/>
      <c r="R1050" s="141"/>
      <c r="S1050" s="141"/>
      <c r="T1050" s="141"/>
      <c r="U1050" s="141"/>
      <c r="V1050" s="141"/>
      <c r="W1050" s="141"/>
      <c r="X1050" s="141"/>
      <c r="Y1050" s="141"/>
      <c r="Z1050" s="141"/>
      <c r="AA1050" s="141"/>
      <c r="AB1050" s="141"/>
      <c r="AC1050" s="141"/>
      <c r="AD1050" s="11"/>
      <c r="AE1050" s="11"/>
      <c r="AF1050" s="11"/>
      <c r="AG1050" s="11"/>
      <c r="AH1050" s="11"/>
    </row>
    <row r="1051" spans="1:34">
      <c r="A1051" s="498" t="s">
        <v>548</v>
      </c>
      <c r="C1051" s="127"/>
      <c r="D1051" s="128"/>
      <c r="F1051" s="2"/>
      <c r="G1051" s="729" t="s">
        <v>13</v>
      </c>
      <c r="I1051" s="2"/>
      <c r="J1051" s="128" t="s">
        <v>13</v>
      </c>
      <c r="L1051" s="2"/>
      <c r="M1051" s="11"/>
      <c r="N1051" t="s">
        <v>550</v>
      </c>
      <c r="O1051" t="s">
        <v>551</v>
      </c>
      <c r="Q1051" s="144"/>
      <c r="R1051" s="38"/>
      <c r="S1051" s="266"/>
      <c r="T1051" s="266"/>
      <c r="U1051" s="146"/>
      <c r="V1051" s="146"/>
      <c r="W1051" s="146"/>
      <c r="X1051" s="141"/>
      <c r="Y1051" s="141"/>
      <c r="Z1051" s="144"/>
      <c r="AA1051" s="144"/>
      <c r="AB1051" s="148"/>
      <c r="AC1051" s="144"/>
      <c r="AD1051" s="11"/>
      <c r="AE1051" s="11"/>
      <c r="AF1051" s="11"/>
      <c r="AG1051" s="11"/>
      <c r="AH1051" s="11"/>
    </row>
    <row r="1052" spans="1:34">
      <c r="A1052" s="4" t="s">
        <v>542</v>
      </c>
      <c r="C1052" s="127">
        <v>26736.712728096991</v>
      </c>
      <c r="D1052" s="657">
        <v>8.3822774034583869</v>
      </c>
      <c r="F1052" s="2">
        <f t="shared" ref="F1052:F1057" si="92">ROUND(C1052*D1052,0)</f>
        <v>224115</v>
      </c>
      <c r="G1052" s="729">
        <v>8.4600000000000009</v>
      </c>
      <c r="I1052" s="2">
        <f t="shared" ref="I1052:I1057" si="93">ROUND(G1052*$C1052,0)</f>
        <v>226193</v>
      </c>
      <c r="J1052" s="128">
        <f ca="1">G1052+ROUND($O$1050*(O1052/SUM($O$1052:$O$1066))/C1052,2)</f>
        <v>8.4600000000000009</v>
      </c>
      <c r="L1052" s="2">
        <f t="shared" ref="L1052:L1057" ca="1" si="94">ROUND(J1052*$C1052,0)</f>
        <v>226193</v>
      </c>
      <c r="N1052">
        <v>8</v>
      </c>
      <c r="O1052" s="720">
        <f t="shared" ref="O1052:O1057" si="95">N1052*C1052</f>
        <v>213893.70182477593</v>
      </c>
      <c r="Q1052" s="144"/>
      <c r="R1052" s="38"/>
      <c r="S1052" s="266"/>
      <c r="T1052" s="266"/>
      <c r="U1052" s="146"/>
      <c r="V1052" s="146"/>
      <c r="W1052" s="146"/>
      <c r="X1052" s="141"/>
      <c r="Y1052" s="141"/>
      <c r="Z1052" s="144"/>
      <c r="AA1052" s="144"/>
      <c r="AB1052" s="148"/>
      <c r="AC1052" s="144"/>
      <c r="AD1052" s="11"/>
      <c r="AE1052" s="11"/>
      <c r="AF1052" s="11"/>
      <c r="AG1052" s="11"/>
      <c r="AH1052" s="11"/>
    </row>
    <row r="1053" spans="1:34">
      <c r="A1053" s="4" t="s">
        <v>543</v>
      </c>
      <c r="C1053" s="127">
        <v>20530.42971732733</v>
      </c>
      <c r="D1053" s="657">
        <v>9.0026815114224092</v>
      </c>
      <c r="F1053" s="2">
        <f t="shared" si="92"/>
        <v>184829</v>
      </c>
      <c r="G1053" s="729">
        <v>9.15</v>
      </c>
      <c r="I1053" s="2">
        <f t="shared" si="93"/>
        <v>187853</v>
      </c>
      <c r="J1053" s="128">
        <f t="shared" ref="J1053:J1057" ca="1" si="96">G1053+ROUND($O$1050*(O1053/SUM($O$1052:$O$1066))/C1053,2)</f>
        <v>9.15</v>
      </c>
      <c r="L1053" s="2">
        <f t="shared" ca="1" si="94"/>
        <v>187853</v>
      </c>
      <c r="N1053">
        <v>15</v>
      </c>
      <c r="O1053" s="720">
        <f t="shared" si="95"/>
        <v>307956.44575990993</v>
      </c>
      <c r="Q1053" s="144"/>
      <c r="R1053" s="38"/>
      <c r="S1053" s="266"/>
      <c r="T1053" s="266"/>
      <c r="U1053" s="146"/>
      <c r="V1053" s="146"/>
      <c r="W1053" s="146"/>
      <c r="X1053" s="141"/>
      <c r="Y1053" s="141"/>
      <c r="Z1053" s="144"/>
      <c r="AA1053" s="144"/>
      <c r="AB1053" s="148"/>
      <c r="AC1053" s="144"/>
      <c r="AD1053" s="11"/>
      <c r="AE1053" s="11"/>
      <c r="AF1053" s="11"/>
      <c r="AG1053" s="11"/>
      <c r="AH1053" s="11"/>
    </row>
    <row r="1054" spans="1:34">
      <c r="A1054" s="4" t="s">
        <v>544</v>
      </c>
      <c r="C1054" s="127">
        <v>1451.934853557759</v>
      </c>
      <c r="D1054" s="657">
        <v>9.2657954361438577</v>
      </c>
      <c r="F1054" s="2">
        <f t="shared" si="92"/>
        <v>13453</v>
      </c>
      <c r="G1054" s="729">
        <v>9.51</v>
      </c>
      <c r="I1054" s="2">
        <f t="shared" si="93"/>
        <v>13808</v>
      </c>
      <c r="J1054" s="128">
        <f t="shared" ca="1" si="96"/>
        <v>9.5</v>
      </c>
      <c r="L1054" s="2">
        <f t="shared" ca="1" si="94"/>
        <v>13793</v>
      </c>
      <c r="N1054">
        <v>25</v>
      </c>
      <c r="O1054" s="720">
        <f t="shared" si="95"/>
        <v>36298.371338943973</v>
      </c>
      <c r="Q1054" s="144"/>
      <c r="R1054" s="38"/>
      <c r="S1054" s="266"/>
      <c r="T1054" s="266"/>
      <c r="U1054" s="146"/>
      <c r="V1054" s="146"/>
      <c r="W1054" s="146"/>
      <c r="X1054" s="141"/>
      <c r="Y1054" s="141"/>
      <c r="Z1054" s="144"/>
      <c r="AA1054" s="144"/>
      <c r="AB1054" s="148"/>
      <c r="AC1054" s="144"/>
      <c r="AD1054" s="11"/>
      <c r="AE1054" s="11"/>
      <c r="AF1054" s="11"/>
      <c r="AG1054" s="11"/>
      <c r="AH1054" s="11"/>
    </row>
    <row r="1055" spans="1:34">
      <c r="A1055" s="4" t="s">
        <v>545</v>
      </c>
      <c r="C1055" s="127">
        <v>19012.205913949121</v>
      </c>
      <c r="D1055" s="657">
        <v>9.5713734591618813</v>
      </c>
      <c r="F1055" s="2">
        <f t="shared" si="92"/>
        <v>181973</v>
      </c>
      <c r="G1055" s="729">
        <v>9.91</v>
      </c>
      <c r="I1055" s="2">
        <f t="shared" si="93"/>
        <v>188411</v>
      </c>
      <c r="J1055" s="128">
        <f t="shared" ca="1" si="96"/>
        <v>9.9</v>
      </c>
      <c r="L1055" s="2">
        <f t="shared" ca="1" si="94"/>
        <v>188221</v>
      </c>
      <c r="M1055" s="11"/>
      <c r="N1055">
        <v>34</v>
      </c>
      <c r="O1055" s="720">
        <f t="shared" si="95"/>
        <v>646415.00107427011</v>
      </c>
      <c r="Q1055" s="144"/>
      <c r="R1055" s="38"/>
      <c r="S1055" s="266"/>
      <c r="T1055" s="266"/>
      <c r="U1055" s="146"/>
      <c r="V1055" s="146"/>
      <c r="W1055" s="146"/>
      <c r="X1055" s="141"/>
      <c r="Y1055" s="141"/>
      <c r="Z1055" s="144"/>
      <c r="AA1055" s="144"/>
      <c r="AB1055" s="148"/>
      <c r="AC1055" s="144"/>
      <c r="AD1055" s="11"/>
      <c r="AE1055" s="11"/>
      <c r="AF1055" s="11"/>
      <c r="AG1055" s="11"/>
      <c r="AH1055" s="11"/>
    </row>
    <row r="1056" spans="1:34">
      <c r="A1056" s="4" t="s">
        <v>546</v>
      </c>
      <c r="C1056" s="127">
        <v>3915.6518554633003</v>
      </c>
      <c r="D1056" s="657">
        <v>10.15449857949411</v>
      </c>
      <c r="F1056" s="2">
        <f t="shared" si="92"/>
        <v>39761</v>
      </c>
      <c r="G1056" s="729">
        <v>10.59</v>
      </c>
      <c r="I1056" s="2">
        <f t="shared" si="93"/>
        <v>41467</v>
      </c>
      <c r="J1056" s="128">
        <f t="shared" ca="1" si="96"/>
        <v>10.58</v>
      </c>
      <c r="L1056" s="2">
        <f t="shared" ca="1" si="94"/>
        <v>41428</v>
      </c>
      <c r="M1056" s="11"/>
      <c r="N1056">
        <v>44</v>
      </c>
      <c r="O1056" s="720">
        <f t="shared" si="95"/>
        <v>172288.68164038521</v>
      </c>
      <c r="Q1056" s="144"/>
      <c r="R1056" s="38"/>
      <c r="S1056" s="266"/>
      <c r="T1056" s="266"/>
      <c r="U1056" s="146"/>
      <c r="V1056" s="146"/>
      <c r="W1056" s="146"/>
      <c r="X1056" s="141"/>
      <c r="Y1056" s="141"/>
      <c r="Z1056" s="144"/>
      <c r="AA1056" s="144"/>
      <c r="AB1056" s="148"/>
      <c r="AC1056" s="144"/>
      <c r="AD1056" s="11"/>
      <c r="AE1056" s="11"/>
      <c r="AF1056" s="11"/>
      <c r="AG1056" s="11"/>
      <c r="AH1056" s="11"/>
    </row>
    <row r="1057" spans="1:34">
      <c r="A1057" s="4" t="s">
        <v>547</v>
      </c>
      <c r="C1057" s="127">
        <v>3417.7601733623369</v>
      </c>
      <c r="D1057" s="657">
        <v>12.37832354596668</v>
      </c>
      <c r="F1057" s="2">
        <f t="shared" si="92"/>
        <v>42306</v>
      </c>
      <c r="G1057" s="729">
        <v>12.94</v>
      </c>
      <c r="I1057" s="2">
        <f t="shared" si="93"/>
        <v>44226</v>
      </c>
      <c r="J1057" s="128">
        <f t="shared" ca="1" si="96"/>
        <v>12.93</v>
      </c>
      <c r="L1057" s="2">
        <f t="shared" ca="1" si="94"/>
        <v>44192</v>
      </c>
      <c r="M1057" s="11"/>
      <c r="N1057">
        <v>57</v>
      </c>
      <c r="O1057" s="720">
        <f t="shared" si="95"/>
        <v>194812.32988165319</v>
      </c>
      <c r="Q1057" s="144"/>
      <c r="R1057" s="38"/>
      <c r="S1057" s="266"/>
      <c r="T1057" s="266"/>
      <c r="U1057" s="146"/>
      <c r="V1057" s="146"/>
      <c r="W1057" s="146"/>
      <c r="X1057" s="141"/>
      <c r="Y1057" s="141"/>
      <c r="Z1057" s="144"/>
      <c r="AA1057" s="144"/>
      <c r="AB1057" s="148"/>
      <c r="AC1057" s="144"/>
      <c r="AD1057" s="11"/>
      <c r="AE1057" s="11"/>
      <c r="AF1057" s="11"/>
      <c r="AG1057" s="11"/>
      <c r="AH1057" s="11"/>
    </row>
    <row r="1058" spans="1:34">
      <c r="A1058" s="498" t="s">
        <v>540</v>
      </c>
      <c r="C1058" s="127"/>
      <c r="D1058" s="128"/>
      <c r="F1058" s="2"/>
      <c r="G1058" s="729"/>
      <c r="I1058" s="2"/>
      <c r="J1058" s="128"/>
      <c r="L1058" s="2"/>
      <c r="M1058" s="11"/>
      <c r="N1058"/>
      <c r="O1058"/>
      <c r="Q1058" s="144"/>
      <c r="R1058" s="38"/>
      <c r="S1058" s="266"/>
      <c r="T1058" s="266"/>
      <c r="U1058" s="146"/>
      <c r="V1058" s="146"/>
      <c r="W1058" s="146"/>
      <c r="X1058" s="141"/>
      <c r="Y1058" s="141"/>
      <c r="Z1058" s="144"/>
      <c r="AA1058" s="144"/>
      <c r="AB1058" s="148"/>
      <c r="AC1058" s="144"/>
      <c r="AD1058" s="11"/>
      <c r="AE1058" s="11"/>
      <c r="AF1058" s="11"/>
      <c r="AG1058" s="11"/>
      <c r="AH1058" s="11"/>
    </row>
    <row r="1059" spans="1:34">
      <c r="A1059" s="4" t="s">
        <v>542</v>
      </c>
      <c r="C1059" s="127">
        <v>2511.7599388379199</v>
      </c>
      <c r="D1059" s="657">
        <v>4.1314496276496042</v>
      </c>
      <c r="F1059" s="2">
        <f t="shared" ref="F1059:F1064" si="97">ROUND(C1059*D1059,0)</f>
        <v>10377</v>
      </c>
      <c r="G1059" s="729">
        <v>4.21</v>
      </c>
      <c r="I1059" s="2">
        <f t="shared" ref="I1059:I1064" si="98">ROUND(G1059*$C1059,0)</f>
        <v>10575</v>
      </c>
      <c r="J1059" s="128">
        <f t="shared" ref="J1059:J1064" ca="1" si="99">G1059+ROUND($O$1050*(O1059/SUM($O$1052:$O$1066))/C1059,2)</f>
        <v>4.21</v>
      </c>
      <c r="L1059" s="2">
        <f t="shared" ref="L1059:L1064" ca="1" si="100">ROUND(J1059*$C1059,0)</f>
        <v>10575</v>
      </c>
      <c r="N1059">
        <v>8</v>
      </c>
      <c r="O1059" s="720">
        <f t="shared" ref="O1059:O1064" si="101">N1059*C1059</f>
        <v>20094.079510703359</v>
      </c>
      <c r="Q1059" s="144"/>
      <c r="R1059" s="38"/>
      <c r="S1059" s="266"/>
      <c r="T1059" s="266"/>
      <c r="U1059" s="146"/>
      <c r="V1059" s="146"/>
      <c r="W1059" s="146"/>
      <c r="X1059" s="141"/>
      <c r="Y1059" s="141"/>
      <c r="Z1059" s="144"/>
      <c r="AA1059" s="144"/>
      <c r="AB1059" s="148"/>
      <c r="AC1059" s="144"/>
      <c r="AD1059" s="11"/>
      <c r="AE1059" s="11"/>
      <c r="AF1059" s="11"/>
      <c r="AG1059" s="11"/>
      <c r="AH1059" s="11"/>
    </row>
    <row r="1060" spans="1:34">
      <c r="A1060" s="4" t="s">
        <v>543</v>
      </c>
      <c r="C1060" s="127">
        <v>1224.931672702</v>
      </c>
      <c r="D1060" s="657">
        <v>4.4640833240366753</v>
      </c>
      <c r="F1060" s="2">
        <f t="shared" si="97"/>
        <v>5468</v>
      </c>
      <c r="G1060" s="729">
        <v>4.6100000000000003</v>
      </c>
      <c r="I1060" s="2">
        <f t="shared" si="98"/>
        <v>5647</v>
      </c>
      <c r="J1060" s="128">
        <f t="shared" ca="1" si="99"/>
        <v>4.6100000000000003</v>
      </c>
      <c r="L1060" s="2">
        <f t="shared" ca="1" si="100"/>
        <v>5647</v>
      </c>
      <c r="N1060">
        <v>15</v>
      </c>
      <c r="O1060" s="720">
        <f t="shared" si="101"/>
        <v>18373.975090529999</v>
      </c>
      <c r="Q1060" s="144"/>
      <c r="R1060" s="38"/>
      <c r="S1060" s="266"/>
      <c r="T1060" s="266"/>
      <c r="U1060" s="146"/>
      <c r="V1060" s="146"/>
      <c r="W1060" s="146"/>
      <c r="X1060" s="141"/>
      <c r="Y1060" s="141"/>
      <c r="Z1060" s="144"/>
      <c r="AA1060" s="144"/>
      <c r="AB1060" s="148"/>
      <c r="AC1060" s="144"/>
      <c r="AD1060" s="11"/>
      <c r="AE1060" s="11"/>
      <c r="AF1060" s="11"/>
      <c r="AG1060" s="11"/>
      <c r="AH1060" s="11"/>
    </row>
    <row r="1061" spans="1:34">
      <c r="A1061" s="4" t="s">
        <v>544</v>
      </c>
      <c r="C1061" s="127">
        <v>21.048507462686601</v>
      </c>
      <c r="D1061" s="657">
        <v>4.7076110666251578</v>
      </c>
      <c r="F1061" s="2">
        <f t="shared" si="97"/>
        <v>99</v>
      </c>
      <c r="G1061" s="729">
        <v>4.95</v>
      </c>
      <c r="I1061" s="2">
        <f t="shared" si="98"/>
        <v>104</v>
      </c>
      <c r="J1061" s="128">
        <f t="shared" ca="1" si="99"/>
        <v>4.9400000000000004</v>
      </c>
      <c r="L1061" s="2">
        <f t="shared" ca="1" si="100"/>
        <v>104</v>
      </c>
      <c r="N1061">
        <v>25</v>
      </c>
      <c r="O1061" s="720">
        <f t="shared" si="101"/>
        <v>526.21268656716506</v>
      </c>
      <c r="Q1061" s="144"/>
      <c r="R1061" s="38"/>
      <c r="S1061" s="266"/>
      <c r="T1061" s="266"/>
      <c r="U1061" s="146"/>
      <c r="V1061" s="146"/>
      <c r="W1061" s="146"/>
      <c r="X1061" s="141"/>
      <c r="Y1061" s="141"/>
      <c r="Z1061" s="144"/>
      <c r="AA1061" s="144"/>
      <c r="AB1061" s="148"/>
      <c r="AC1061" s="144"/>
      <c r="AD1061" s="11"/>
      <c r="AE1061" s="11"/>
      <c r="AF1061" s="11"/>
      <c r="AG1061" s="11"/>
      <c r="AH1061" s="11"/>
    </row>
    <row r="1062" spans="1:34">
      <c r="A1062" s="4" t="s">
        <v>545</v>
      </c>
      <c r="C1062" s="127">
        <v>1847.76591955096</v>
      </c>
      <c r="D1062" s="657">
        <v>4.9716924248034848</v>
      </c>
      <c r="F1062" s="2">
        <f t="shared" si="97"/>
        <v>9187</v>
      </c>
      <c r="G1062" s="729">
        <v>5.31</v>
      </c>
      <c r="I1062" s="2">
        <f t="shared" si="98"/>
        <v>9812</v>
      </c>
      <c r="J1062" s="128">
        <f t="shared" ca="1" si="99"/>
        <v>5.3</v>
      </c>
      <c r="L1062" s="2">
        <f t="shared" ca="1" si="100"/>
        <v>9793</v>
      </c>
      <c r="M1062" s="11"/>
      <c r="N1062">
        <v>34</v>
      </c>
      <c r="O1062" s="720">
        <f t="shared" si="101"/>
        <v>62824.041264732638</v>
      </c>
      <c r="Q1062" s="144"/>
      <c r="R1062" s="38"/>
      <c r="S1062" s="266"/>
      <c r="T1062" s="266"/>
      <c r="U1062" s="146"/>
      <c r="V1062" s="146"/>
      <c r="W1062" s="146"/>
      <c r="X1062" s="141"/>
      <c r="Y1062" s="141"/>
      <c r="Z1062" s="144"/>
      <c r="AA1062" s="144"/>
      <c r="AB1062" s="148"/>
      <c r="AC1062" s="144"/>
      <c r="AD1062" s="11"/>
      <c r="AE1062" s="11"/>
      <c r="AF1062" s="11"/>
      <c r="AG1062" s="11"/>
      <c r="AH1062" s="11"/>
    </row>
    <row r="1063" spans="1:34">
      <c r="A1063" s="4" t="s">
        <v>546</v>
      </c>
      <c r="C1063" s="127">
        <v>164.16525779691301</v>
      </c>
      <c r="D1063" s="657">
        <v>5.3004493948070266</v>
      </c>
      <c r="F1063" s="2">
        <f t="shared" si="97"/>
        <v>870</v>
      </c>
      <c r="G1063" s="729">
        <v>5.73</v>
      </c>
      <c r="I1063" s="2">
        <f t="shared" si="98"/>
        <v>941</v>
      </c>
      <c r="J1063" s="128">
        <f t="shared" ca="1" si="99"/>
        <v>5.7200000000000006</v>
      </c>
      <c r="L1063" s="2">
        <f t="shared" ca="1" si="100"/>
        <v>939</v>
      </c>
      <c r="M1063" s="11"/>
      <c r="N1063">
        <v>44</v>
      </c>
      <c r="O1063" s="720">
        <f t="shared" si="101"/>
        <v>7223.2713430641725</v>
      </c>
      <c r="Q1063" s="144"/>
      <c r="R1063" s="38"/>
      <c r="S1063" s="266"/>
      <c r="T1063" s="266"/>
      <c r="U1063" s="146"/>
      <c r="V1063" s="146"/>
      <c r="W1063" s="146"/>
      <c r="X1063" s="141"/>
      <c r="Y1063" s="141"/>
      <c r="Z1063" s="144"/>
      <c r="AA1063" s="144"/>
      <c r="AB1063" s="148"/>
      <c r="AC1063" s="144"/>
      <c r="AD1063" s="11"/>
      <c r="AE1063" s="11"/>
      <c r="AF1063" s="11"/>
      <c r="AG1063" s="11"/>
      <c r="AH1063" s="11"/>
    </row>
    <row r="1064" spans="1:34">
      <c r="A1064" s="4" t="s">
        <v>547</v>
      </c>
      <c r="C1064" s="127">
        <v>648.34196374959504</v>
      </c>
      <c r="D1064" s="657">
        <v>6.4715384367034794</v>
      </c>
      <c r="F1064" s="2">
        <f t="shared" si="97"/>
        <v>4196</v>
      </c>
      <c r="G1064" s="729">
        <v>7.03</v>
      </c>
      <c r="I1064" s="2">
        <f t="shared" si="98"/>
        <v>4558</v>
      </c>
      <c r="J1064" s="128">
        <f t="shared" ca="1" si="99"/>
        <v>7.0200000000000005</v>
      </c>
      <c r="L1064" s="2">
        <f t="shared" ca="1" si="100"/>
        <v>4551</v>
      </c>
      <c r="M1064" s="11"/>
      <c r="N1064">
        <v>57</v>
      </c>
      <c r="O1064" s="720">
        <f t="shared" si="101"/>
        <v>36955.491933726917</v>
      </c>
      <c r="Q1064" s="144"/>
      <c r="R1064" s="38"/>
      <c r="S1064" s="266"/>
      <c r="T1064" s="266"/>
      <c r="U1064" s="146"/>
      <c r="V1064" s="146"/>
      <c r="W1064" s="146"/>
      <c r="X1064" s="141"/>
      <c r="Y1064" s="141"/>
      <c r="Z1064" s="144"/>
      <c r="AA1064" s="144"/>
      <c r="AB1064" s="148"/>
      <c r="AC1064" s="144"/>
      <c r="AD1064" s="11"/>
      <c r="AE1064" s="11"/>
      <c r="AF1064" s="11"/>
      <c r="AG1064" s="11"/>
      <c r="AH1064" s="11"/>
    </row>
    <row r="1065" spans="1:34">
      <c r="A1065" s="1" t="s">
        <v>549</v>
      </c>
      <c r="B1065" s="1"/>
      <c r="C1065" s="1"/>
      <c r="D1065" s="1"/>
      <c r="E1065" s="1"/>
      <c r="F1065" s="2"/>
      <c r="G1065" s="284"/>
      <c r="H1065" s="1"/>
      <c r="I1065" s="1"/>
      <c r="J1065" s="1"/>
      <c r="K1065" s="1"/>
      <c r="L1065" s="1"/>
      <c r="M1065" s="11"/>
      <c r="N1065"/>
      <c r="O1065"/>
      <c r="Q1065" s="144"/>
      <c r="R1065" s="38"/>
      <c r="S1065" s="266"/>
      <c r="T1065" s="266"/>
      <c r="U1065" s="146"/>
      <c r="V1065" s="146"/>
      <c r="W1065" s="146"/>
      <c r="X1065" s="141"/>
      <c r="Y1065" s="141"/>
      <c r="Z1065" s="144"/>
      <c r="AA1065" s="144"/>
      <c r="AB1065" s="148"/>
      <c r="AC1065" s="144"/>
      <c r="AD1065" s="11"/>
      <c r="AE1065" s="11"/>
      <c r="AF1065" s="11"/>
      <c r="AG1065" s="11"/>
      <c r="AH1065" s="11"/>
    </row>
    <row r="1066" spans="1:34">
      <c r="A1066" s="4" t="s">
        <v>544</v>
      </c>
      <c r="C1066" s="127">
        <v>47.999893788498298</v>
      </c>
      <c r="D1066" s="657">
        <v>16.583859511862311</v>
      </c>
      <c r="F1066" s="2">
        <f t="shared" ref="F1066" si="102">ROUND(C1066*D1066,0)</f>
        <v>796</v>
      </c>
      <c r="G1066" s="729">
        <v>16.829999999999998</v>
      </c>
      <c r="I1066" s="2">
        <f t="shared" ref="I1066" si="103">ROUND(G1066*$C1066,0)</f>
        <v>808</v>
      </c>
      <c r="J1066" s="128">
        <f ca="1">G1066+ROUND($O$1050*(O1066/SUM($O$1052:$O$1066))/C1066,2)</f>
        <v>16.819999999999997</v>
      </c>
      <c r="L1066" s="2">
        <f t="shared" ref="L1066" ca="1" si="104">ROUND(J1066*$C1066,0)</f>
        <v>807</v>
      </c>
      <c r="N1066">
        <v>25</v>
      </c>
      <c r="O1066" s="720">
        <f>N1066*C1066</f>
        <v>1199.9973447124576</v>
      </c>
      <c r="Q1066" s="144"/>
      <c r="R1066" s="38"/>
      <c r="S1066" s="266"/>
      <c r="T1066" s="266"/>
      <c r="U1066" s="146"/>
      <c r="V1066" s="146"/>
      <c r="W1066" s="146"/>
      <c r="X1066" s="141"/>
      <c r="Y1066" s="141"/>
      <c r="Z1066" s="144"/>
      <c r="AA1066" s="144"/>
      <c r="AB1066" s="148"/>
      <c r="AC1066" s="144"/>
      <c r="AD1066" s="11"/>
      <c r="AE1066" s="11"/>
      <c r="AF1066" s="11"/>
      <c r="AG1066" s="11"/>
      <c r="AH1066" s="11"/>
    </row>
    <row r="1067" spans="1:34">
      <c r="A1067" s="4"/>
      <c r="C1067" s="127"/>
      <c r="D1067" s="657"/>
      <c r="F1067" s="2"/>
      <c r="G1067" s="729"/>
      <c r="I1067" s="2"/>
      <c r="J1067" s="128"/>
      <c r="L1067" s="2"/>
      <c r="M1067" s="11"/>
      <c r="N1067" s="11"/>
      <c r="O1067" s="38"/>
      <c r="P1067" s="513"/>
      <c r="Q1067" s="144"/>
      <c r="R1067" s="38"/>
      <c r="S1067" s="266"/>
      <c r="T1067" s="266"/>
      <c r="U1067" s="146"/>
      <c r="V1067" s="146"/>
      <c r="W1067" s="146"/>
      <c r="X1067" s="141"/>
      <c r="Y1067" s="141"/>
      <c r="Z1067" s="144"/>
      <c r="AA1067" s="144"/>
      <c r="AB1067" s="148"/>
      <c r="AC1067" s="144"/>
      <c r="AD1067" s="11"/>
      <c r="AE1067" s="11"/>
      <c r="AF1067" s="11"/>
      <c r="AG1067" s="11"/>
      <c r="AH1067" s="11"/>
    </row>
    <row r="1068" spans="1:34">
      <c r="A1068" s="3" t="s">
        <v>166</v>
      </c>
      <c r="C1068" s="127">
        <v>2928</v>
      </c>
      <c r="D1068" s="128"/>
      <c r="F1068" s="2"/>
      <c r="G1068" s="729"/>
      <c r="I1068" s="2"/>
      <c r="J1068" s="128"/>
      <c r="L1068" s="2"/>
      <c r="M1068" s="133"/>
      <c r="N1068" s="11"/>
      <c r="O1068" s="38"/>
      <c r="P1068" s="144"/>
      <c r="Q1068" s="144"/>
      <c r="R1068" s="38"/>
      <c r="S1068" s="266"/>
      <c r="T1068" s="266"/>
      <c r="U1068" s="146"/>
      <c r="V1068" s="146"/>
      <c r="W1068" s="146"/>
      <c r="X1068" s="141"/>
      <c r="Y1068" s="141"/>
      <c r="Z1068" s="144"/>
      <c r="AA1068" s="144"/>
      <c r="AB1068" s="144"/>
      <c r="AC1068" s="144"/>
      <c r="AD1068" s="11"/>
      <c r="AE1068" s="11"/>
      <c r="AF1068" s="11"/>
      <c r="AG1068" s="11"/>
      <c r="AH1068" s="11"/>
    </row>
    <row r="1069" spans="1:34">
      <c r="A1069" s="3" t="s">
        <v>185</v>
      </c>
      <c r="C1069" s="127">
        <v>5232514.644587121</v>
      </c>
      <c r="D1069" s="132"/>
      <c r="E1069" s="11"/>
      <c r="F1069" s="135">
        <f>SUM(F1051:F1066)</f>
        <v>717430</v>
      </c>
      <c r="G1069" s="717"/>
      <c r="H1069" s="11"/>
      <c r="I1069" s="135">
        <f>SUM(I1051:I1068)</f>
        <v>734403</v>
      </c>
      <c r="J1069" s="132"/>
      <c r="K1069" s="11"/>
      <c r="L1069" s="135">
        <f ca="1">SUM(L1051:L1068)</f>
        <v>734096</v>
      </c>
      <c r="M1069" s="133"/>
      <c r="N1069" s="11"/>
      <c r="O1069" s="38"/>
      <c r="P1069" s="144"/>
      <c r="Q1069" s="144"/>
      <c r="R1069" s="268"/>
      <c r="S1069" s="11"/>
      <c r="T1069" s="11"/>
      <c r="U1069" s="150"/>
      <c r="V1069" s="150"/>
      <c r="W1069" s="150"/>
      <c r="X1069" s="141"/>
      <c r="Y1069" s="141"/>
      <c r="Z1069" s="151"/>
      <c r="AA1069" s="141"/>
      <c r="AB1069" s="141"/>
      <c r="AC1069" s="141"/>
      <c r="AD1069" s="11"/>
      <c r="AE1069" s="11"/>
      <c r="AF1069" s="11"/>
      <c r="AG1069" s="11"/>
      <c r="AH1069" s="11"/>
    </row>
    <row r="1070" spans="1:34">
      <c r="A1070" s="3" t="s">
        <v>167</v>
      </c>
      <c r="C1070" s="127">
        <v>140762.01218428652</v>
      </c>
      <c r="D1070" s="132"/>
      <c r="E1070" s="11"/>
      <c r="F1070" s="135">
        <v>15832.762045348165</v>
      </c>
      <c r="G1070" s="717"/>
      <c r="H1070" s="11"/>
      <c r="I1070" s="135">
        <f>F1070</f>
        <v>15832.762045348165</v>
      </c>
      <c r="J1070" s="132"/>
      <c r="K1070" s="11"/>
      <c r="L1070" s="135">
        <f>I1070</f>
        <v>15832.762045348165</v>
      </c>
      <c r="M1070" s="307"/>
      <c r="N1070" s="307"/>
      <c r="O1070" s="38"/>
      <c r="P1070" s="150"/>
      <c r="Q1070" s="150"/>
      <c r="R1070" s="266"/>
      <c r="S1070" s="11"/>
      <c r="T1070" s="11"/>
      <c r="U1070" s="11"/>
      <c r="V1070" s="11"/>
      <c r="W1070" s="11"/>
      <c r="X1070" s="144"/>
      <c r="Y1070" s="141"/>
      <c r="Z1070" s="11"/>
      <c r="AA1070" s="11"/>
      <c r="AB1070" s="11"/>
      <c r="AC1070" s="11"/>
      <c r="AD1070" s="11"/>
      <c r="AE1070" s="11"/>
      <c r="AF1070" s="11"/>
      <c r="AG1070" s="11"/>
      <c r="AH1070" s="11"/>
    </row>
    <row r="1071" spans="1:34" ht="16.5" thickBot="1">
      <c r="A1071" s="3" t="s">
        <v>1</v>
      </c>
      <c r="C1071" s="136">
        <f>C1069+C1070</f>
        <v>5373276.6567714075</v>
      </c>
      <c r="D1071" s="175"/>
      <c r="E1071" s="175"/>
      <c r="F1071" s="137">
        <f>F1069+F1070</f>
        <v>733262.76204534818</v>
      </c>
      <c r="G1071" s="730"/>
      <c r="H1071" s="175"/>
      <c r="I1071" s="137">
        <f>I1069+I1070</f>
        <v>750235.76204534818</v>
      </c>
      <c r="J1071" s="175"/>
      <c r="K1071" s="175"/>
      <c r="L1071" s="137">
        <f ca="1">L1069+L1070</f>
        <v>749928.76204534818</v>
      </c>
      <c r="M1071" s="279"/>
      <c r="N1071" s="11"/>
      <c r="O1071" s="279"/>
      <c r="P1071" s="500"/>
      <c r="Q1071" s="500"/>
      <c r="R1071" s="11"/>
      <c r="S1071" s="11"/>
      <c r="T1071" s="11"/>
      <c r="U1071" s="11"/>
      <c r="V1071" s="11"/>
      <c r="X1071" s="141"/>
      <c r="Y1071" s="141"/>
      <c r="Z1071" s="11"/>
      <c r="AA1071" s="11"/>
      <c r="AB1071" s="11"/>
      <c r="AC1071" s="11"/>
      <c r="AD1071" s="11"/>
      <c r="AE1071" s="11"/>
      <c r="AF1071" s="11"/>
      <c r="AG1071" s="11"/>
      <c r="AH1071" s="11"/>
    </row>
    <row r="1072" spans="1:34" ht="16.5" thickTop="1">
      <c r="A1072" s="1"/>
      <c r="B1072" s="1"/>
      <c r="C1072" s="1"/>
      <c r="D1072" s="282"/>
      <c r="E1072" s="1"/>
      <c r="F1072" s="1"/>
      <c r="G1072" s="749"/>
      <c r="H1072" s="1"/>
      <c r="I1072" s="2"/>
      <c r="J1072" s="282"/>
      <c r="K1072" s="1"/>
      <c r="L1072" s="2"/>
      <c r="M1072" s="279"/>
      <c r="N1072" s="279"/>
      <c r="O1072" s="279"/>
      <c r="P1072" s="279"/>
      <c r="Q1072" s="104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</row>
    <row r="1073" spans="1:34">
      <c r="A1073" s="156" t="s">
        <v>297</v>
      </c>
      <c r="B1073" s="1"/>
      <c r="C1073" s="1"/>
      <c r="D1073" s="1"/>
      <c r="E1073" s="1"/>
      <c r="F1073" s="1"/>
      <c r="G1073" s="284"/>
      <c r="H1073" s="1"/>
      <c r="I1073" s="1"/>
      <c r="J1073" s="1"/>
      <c r="K1073" s="1"/>
      <c r="L1073" s="1"/>
      <c r="M1073" s="11"/>
      <c r="N1073" s="11"/>
      <c r="O1073" s="853" t="s">
        <v>1461</v>
      </c>
      <c r="P1073" s="38"/>
      <c r="Q1073" s="38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</row>
    <row r="1074" spans="1:34">
      <c r="A1074" s="1" t="s">
        <v>298</v>
      </c>
      <c r="B1074" s="1"/>
      <c r="C1074" s="1"/>
      <c r="D1074" s="1"/>
      <c r="E1074" s="1"/>
      <c r="F1074" s="1"/>
      <c r="G1074" s="284"/>
      <c r="H1074" s="1"/>
      <c r="I1074" s="1"/>
      <c r="J1074" s="1"/>
      <c r="K1074" s="1"/>
      <c r="L1074" s="1"/>
      <c r="M1074" s="11"/>
      <c r="N1074" s="11"/>
      <c r="O1074" s="852">
        <f ca="1">'Exhibit No.__(RMM-2)pg1'!O37*1000</f>
        <v>-263.03859845777362</v>
      </c>
      <c r="P1074" s="38"/>
      <c r="Q1074" s="38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</row>
    <row r="1075" spans="1:34">
      <c r="A1075" s="1"/>
      <c r="B1075" s="1"/>
      <c r="C1075" s="1"/>
      <c r="D1075" s="282"/>
      <c r="E1075" s="1"/>
      <c r="F1075" s="1"/>
      <c r="G1075" s="749"/>
      <c r="H1075" s="1"/>
      <c r="I1075" s="1"/>
      <c r="J1075" s="282"/>
      <c r="K1075" s="1"/>
      <c r="L1075" s="1"/>
      <c r="M1075" s="11"/>
      <c r="N1075" s="11"/>
      <c r="O1075" s="38"/>
      <c r="P1075" s="38"/>
      <c r="Q1075" s="38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</row>
    <row r="1076" spans="1:34">
      <c r="A1076" s="1" t="s">
        <v>292</v>
      </c>
      <c r="B1076" s="1"/>
      <c r="C1076" s="12"/>
      <c r="D1076" s="161"/>
      <c r="E1076" s="1"/>
      <c r="F1076" s="275">
        <f>F1090+F1103</f>
        <v>0</v>
      </c>
      <c r="G1076" s="506"/>
      <c r="H1076" s="1"/>
      <c r="I1076" s="2">
        <v>0</v>
      </c>
      <c r="J1076" s="161"/>
      <c r="K1076" s="1"/>
      <c r="L1076" s="2">
        <v>0</v>
      </c>
      <c r="M1076" s="11"/>
      <c r="N1076" s="11"/>
      <c r="O1076" s="38"/>
      <c r="P1076" s="38"/>
      <c r="Q1076" s="38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</row>
    <row r="1077" spans="1:34">
      <c r="A1077" s="1" t="s">
        <v>407</v>
      </c>
      <c r="B1077" s="1"/>
      <c r="C1077" s="127">
        <f>C1092+C1104+C1105</f>
        <v>1847418.9175815417</v>
      </c>
      <c r="D1077" s="515" t="s">
        <v>13</v>
      </c>
      <c r="E1077" s="1" t="s">
        <v>13</v>
      </c>
      <c r="F1077" s="277">
        <f>F1092+F1105</f>
        <v>82008.269085045322</v>
      </c>
      <c r="G1077" s="287" t="s">
        <v>13</v>
      </c>
      <c r="H1077" s="1" t="s">
        <v>13</v>
      </c>
      <c r="I1077" s="2">
        <f>I1092+I1105</f>
        <v>87973.624075233005</v>
      </c>
      <c r="J1077" s="515" t="s">
        <v>13</v>
      </c>
      <c r="K1077" s="1" t="s">
        <v>13</v>
      </c>
      <c r="L1077" s="2">
        <f ca="1">L1092+L1105</f>
        <v>87807.778082650679</v>
      </c>
      <c r="M1077" s="11"/>
      <c r="N1077" s="11"/>
      <c r="O1077" s="38"/>
      <c r="P1077" s="38"/>
      <c r="Q1077" s="38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</row>
    <row r="1078" spans="1:34">
      <c r="A1078" s="1" t="s">
        <v>409</v>
      </c>
      <c r="B1078" s="1"/>
      <c r="C1078" s="127">
        <f>C1093</f>
        <v>1848477.8177724311</v>
      </c>
      <c r="D1078" s="287" t="s">
        <v>13</v>
      </c>
      <c r="E1078" s="1" t="s">
        <v>13</v>
      </c>
      <c r="F1078" s="2">
        <f>F1093</f>
        <v>82055.607763180989</v>
      </c>
      <c r="G1078" s="287" t="s">
        <v>13</v>
      </c>
      <c r="H1078" s="1" t="s">
        <v>13</v>
      </c>
      <c r="I1078" s="2">
        <f>I1093</f>
        <v>88024.513682323159</v>
      </c>
      <c r="J1078" s="287" t="s">
        <v>13</v>
      </c>
      <c r="K1078" s="1" t="s">
        <v>13</v>
      </c>
      <c r="L1078" s="2">
        <f ca="1">L1093</f>
        <v>87858.150678723658</v>
      </c>
      <c r="M1078" s="11"/>
      <c r="N1078" s="11"/>
      <c r="O1078" s="38"/>
      <c r="P1078" s="17"/>
      <c r="Q1078" s="38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</row>
    <row r="1079" spans="1:34">
      <c r="A1079" s="1" t="s">
        <v>166</v>
      </c>
      <c r="B1079" s="1"/>
      <c r="C1079" s="127">
        <f>C1094+C1106</f>
        <v>2792</v>
      </c>
      <c r="D1079" s="278"/>
      <c r="E1079" s="1"/>
      <c r="F1079" s="2"/>
      <c r="G1079" s="752"/>
      <c r="H1079" s="1"/>
      <c r="I1079" s="2"/>
      <c r="J1079" s="278"/>
      <c r="K1079" s="1"/>
      <c r="L1079" s="2"/>
      <c r="M1079" s="11"/>
      <c r="N1079" s="11"/>
      <c r="O1079" s="38"/>
      <c r="P1079" s="38"/>
      <c r="Q1079" s="38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</row>
    <row r="1080" spans="1:34">
      <c r="A1080" s="3" t="s">
        <v>295</v>
      </c>
      <c r="C1080" s="127">
        <f>C1095+C1107</f>
        <v>3695896.7353539728</v>
      </c>
      <c r="D1080" s="132"/>
      <c r="E1080" s="11"/>
      <c r="F1080" s="135">
        <f>F1095+F1107</f>
        <v>164063.87684822633</v>
      </c>
      <c r="G1080" s="717"/>
      <c r="H1080" s="11"/>
      <c r="I1080" s="135">
        <f>I1095+I1107</f>
        <v>175998.13775755616</v>
      </c>
      <c r="J1080" s="132"/>
      <c r="K1080" s="11"/>
      <c r="L1080" s="135">
        <f ca="1">L1095+L1107</f>
        <v>175665.92876137432</v>
      </c>
      <c r="M1080" s="11"/>
      <c r="N1080" s="11"/>
      <c r="O1080" s="38"/>
      <c r="P1080" s="38"/>
      <c r="Q1080" s="38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</row>
    <row r="1081" spans="1:34">
      <c r="A1081" s="3" t="s">
        <v>296</v>
      </c>
      <c r="C1081" s="127">
        <f>C1096+C1108</f>
        <v>100237.9878157135</v>
      </c>
      <c r="D1081" s="132"/>
      <c r="E1081" s="11"/>
      <c r="F1081" s="135">
        <f>F1096+F1108</f>
        <v>4167.2379546518341</v>
      </c>
      <c r="G1081" s="717"/>
      <c r="H1081" s="11"/>
      <c r="I1081" s="135">
        <f>F1081</f>
        <v>4167.2379546518341</v>
      </c>
      <c r="J1081" s="132"/>
      <c r="K1081" s="11"/>
      <c r="L1081" s="135">
        <f>I1081</f>
        <v>4167.2379546518341</v>
      </c>
      <c r="M1081" s="307"/>
      <c r="N1081" s="307"/>
      <c r="O1081" s="150"/>
      <c r="P1081" s="38"/>
      <c r="Q1081" s="38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</row>
    <row r="1082" spans="1:34" ht="16.5" thickBot="1">
      <c r="A1082" s="1" t="s">
        <v>1</v>
      </c>
      <c r="B1082" s="1"/>
      <c r="C1082" s="256">
        <f>C1080+C1081</f>
        <v>3796134.7231696863</v>
      </c>
      <c r="D1082" s="522"/>
      <c r="E1082" s="208"/>
      <c r="F1082" s="137">
        <f>F1080+F1081</f>
        <v>168231.11480287815</v>
      </c>
      <c r="G1082" s="753"/>
      <c r="H1082" s="208"/>
      <c r="I1082" s="137">
        <f>I1080+I1081</f>
        <v>180165.37571220798</v>
      </c>
      <c r="J1082" s="522"/>
      <c r="K1082" s="208"/>
      <c r="L1082" s="137">
        <f ca="1">L1080+L1081</f>
        <v>179833.16671602614</v>
      </c>
      <c r="M1082" s="279"/>
      <c r="N1082" s="141"/>
      <c r="O1082" s="279"/>
      <c r="P1082" s="500"/>
      <c r="Q1082" s="513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</row>
    <row r="1083" spans="1:34" ht="16.5" thickTop="1">
      <c r="A1083" s="623" t="s">
        <v>13</v>
      </c>
      <c r="B1083" s="1"/>
      <c r="C1083" s="16"/>
      <c r="D1083" s="285"/>
      <c r="E1083" s="14"/>
      <c r="F1083" s="20"/>
      <c r="G1083" s="754"/>
      <c r="H1083" s="14"/>
      <c r="I1083" s="20" t="s">
        <v>13</v>
      </c>
      <c r="J1083" s="285"/>
      <c r="K1083" s="14"/>
      <c r="L1083" s="20" t="s">
        <v>13</v>
      </c>
      <c r="M1083" s="11"/>
      <c r="N1083" s="141"/>
      <c r="O1083" s="279"/>
      <c r="P1083" s="11"/>
      <c r="Q1083" s="513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</row>
    <row r="1084" spans="1:34">
      <c r="A1084" s="1"/>
      <c r="B1084" s="1"/>
      <c r="C1084" s="16"/>
      <c r="D1084" s="285"/>
      <c r="E1084" s="14"/>
      <c r="F1084" s="20"/>
      <c r="G1084" s="754"/>
      <c r="H1084" s="14"/>
      <c r="I1084" s="20"/>
      <c r="J1084" s="285"/>
      <c r="K1084" s="14"/>
      <c r="L1084" s="20"/>
      <c r="M1084" s="11"/>
      <c r="N1084" s="11"/>
      <c r="O1084" s="38"/>
      <c r="P1084" s="38"/>
      <c r="Q1084" s="513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</row>
    <row r="1085" spans="1:34">
      <c r="A1085" s="1"/>
      <c r="B1085" s="1"/>
      <c r="C1085" s="16"/>
      <c r="D1085" s="285"/>
      <c r="E1085" s="14"/>
      <c r="F1085" s="20"/>
      <c r="G1085" s="754"/>
      <c r="H1085" s="14"/>
      <c r="I1085" s="20"/>
      <c r="J1085" s="285"/>
      <c r="K1085" s="14"/>
      <c r="L1085" s="20"/>
      <c r="M1085" s="490"/>
      <c r="N1085" s="490"/>
      <c r="O1085" s="490"/>
      <c r="P1085" s="490"/>
      <c r="Q1085" s="513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</row>
    <row r="1086" spans="1:34">
      <c r="A1086" s="1"/>
      <c r="B1086" s="1"/>
      <c r="C1086" s="16"/>
      <c r="D1086" s="285" t="s">
        <v>13</v>
      </c>
      <c r="E1086" s="14"/>
      <c r="F1086" s="20"/>
      <c r="G1086" s="754" t="s">
        <v>13</v>
      </c>
      <c r="H1086" s="14"/>
      <c r="I1086" s="20" t="s">
        <v>13</v>
      </c>
      <c r="J1086" s="285" t="s">
        <v>13</v>
      </c>
      <c r="K1086" s="14"/>
      <c r="L1086" s="20" t="s">
        <v>13</v>
      </c>
      <c r="M1086" s="279"/>
      <c r="N1086" s="279"/>
      <c r="O1086" s="279"/>
      <c r="P1086" s="279"/>
      <c r="Q1086" s="38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</row>
    <row r="1087" spans="1:34">
      <c r="A1087" s="156" t="s">
        <v>301</v>
      </c>
      <c r="B1087" s="1"/>
      <c r="C1087" s="1"/>
      <c r="D1087" s="1"/>
      <c r="E1087" s="1"/>
      <c r="F1087" s="1"/>
      <c r="G1087" s="284"/>
      <c r="H1087" s="1"/>
      <c r="I1087" s="1"/>
      <c r="J1087" s="1"/>
      <c r="K1087" s="1"/>
      <c r="L1087" s="1"/>
      <c r="M1087" s="279"/>
      <c r="N1087" s="279"/>
      <c r="O1087" s="38"/>
      <c r="P1087" s="38"/>
      <c r="Q1087" s="38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</row>
    <row r="1088" spans="1:34">
      <c r="A1088" s="1" t="s">
        <v>302</v>
      </c>
      <c r="B1088" s="1"/>
      <c r="C1088" s="1"/>
      <c r="D1088" s="1"/>
      <c r="E1088" s="1"/>
      <c r="F1088" s="1"/>
      <c r="G1088" s="284"/>
      <c r="H1088" s="1"/>
      <c r="I1088" s="1"/>
      <c r="J1088" s="1"/>
      <c r="K1088" s="1"/>
      <c r="L1088" s="1"/>
      <c r="M1088" s="11"/>
      <c r="N1088" s="11"/>
      <c r="O1088" s="38"/>
      <c r="P1088" s="38"/>
      <c r="Q1088" s="38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</row>
    <row r="1089" spans="1:34">
      <c r="A1089" s="1"/>
      <c r="B1089" s="1"/>
      <c r="C1089" s="1"/>
      <c r="D1089" s="282"/>
      <c r="E1089" s="1"/>
      <c r="F1089" s="1"/>
      <c r="G1089" s="749"/>
      <c r="H1089" s="1"/>
      <c r="I1089" s="1"/>
      <c r="J1089" s="282"/>
      <c r="K1089" s="1"/>
      <c r="L1089" s="1"/>
      <c r="M1089" s="11"/>
      <c r="N1089" s="11"/>
      <c r="O1089" s="38"/>
      <c r="P1089" s="38"/>
      <c r="Q1089" s="38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</row>
    <row r="1090" spans="1:34">
      <c r="A1090" s="1" t="s">
        <v>292</v>
      </c>
      <c r="B1090" s="1"/>
      <c r="C1090" s="12"/>
      <c r="D1090" s="161"/>
      <c r="E1090" s="1"/>
      <c r="F1090" s="275"/>
      <c r="G1090" s="506"/>
      <c r="H1090" s="1"/>
      <c r="I1090" s="2">
        <v>0</v>
      </c>
      <c r="J1090" s="161"/>
      <c r="K1090" s="1"/>
      <c r="L1090" s="2">
        <v>0</v>
      </c>
      <c r="M1090" s="11"/>
      <c r="N1090" s="11"/>
      <c r="O1090" s="38"/>
      <c r="P1090" s="38"/>
      <c r="Q1090" s="38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</row>
    <row r="1091" spans="1:34">
      <c r="A1091" s="1"/>
      <c r="B1091" s="1"/>
      <c r="C1091" s="12"/>
      <c r="D1091" s="161"/>
      <c r="E1091" s="1"/>
      <c r="F1091" s="275"/>
      <c r="G1091" s="506"/>
      <c r="H1091" s="1"/>
      <c r="I1091" s="2"/>
      <c r="J1091" s="161"/>
      <c r="K1091" s="1"/>
      <c r="L1091" s="2"/>
      <c r="M1091" s="11"/>
      <c r="N1091" s="11"/>
      <c r="O1091" s="38"/>
      <c r="P1091" s="38"/>
      <c r="Q1091" s="38"/>
      <c r="R1091" s="38"/>
      <c r="S1091" s="38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</row>
    <row r="1092" spans="1:34">
      <c r="A1092" s="1" t="s">
        <v>407</v>
      </c>
      <c r="B1092" s="1"/>
      <c r="C1092" s="127">
        <v>1109399.9175815417</v>
      </c>
      <c r="D1092" s="245">
        <v>4.4390907466806819</v>
      </c>
      <c r="E1092" s="1" t="s">
        <v>178</v>
      </c>
      <c r="F1092" s="277">
        <f>D1092*C1092/100</f>
        <v>49247.269085045329</v>
      </c>
      <c r="G1092" s="287">
        <v>4.7619999999999996</v>
      </c>
      <c r="H1092" s="1" t="s">
        <v>178</v>
      </c>
      <c r="I1092" s="2">
        <f>G1092*C1092/100</f>
        <v>52829.624075233012</v>
      </c>
      <c r="J1092" s="162">
        <f ca="1">ROUND(G1092+($O$1074/$C$1095)*100,3)</f>
        <v>4.7530000000000001</v>
      </c>
      <c r="K1092" s="1" t="s">
        <v>178</v>
      </c>
      <c r="L1092" s="2">
        <f ca="1">J1092*C1092/100</f>
        <v>52729.778082650679</v>
      </c>
      <c r="M1092" s="11"/>
      <c r="N1092" s="11"/>
      <c r="O1092" s="321"/>
      <c r="P1092" s="17"/>
      <c r="Q1092" s="38"/>
      <c r="R1092" s="38"/>
      <c r="S1092" s="38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</row>
    <row r="1093" spans="1:34">
      <c r="A1093" s="1" t="s">
        <v>409</v>
      </c>
      <c r="B1093" s="1"/>
      <c r="C1093" s="127">
        <v>1848477.8177724311</v>
      </c>
      <c r="D1093" s="245">
        <v>4.4390907466806819</v>
      </c>
      <c r="E1093" s="1" t="s">
        <v>178</v>
      </c>
      <c r="F1093" s="2">
        <f>D1093*C1093/100</f>
        <v>82055.607763180989</v>
      </c>
      <c r="G1093" s="287">
        <v>4.7619999999999996</v>
      </c>
      <c r="H1093" s="1" t="s">
        <v>178</v>
      </c>
      <c r="I1093" s="2">
        <f>G1093*C1093/100</f>
        <v>88024.513682323159</v>
      </c>
      <c r="J1093" s="287">
        <f ca="1">J1092</f>
        <v>4.7530000000000001</v>
      </c>
      <c r="K1093" s="1" t="s">
        <v>178</v>
      </c>
      <c r="L1093" s="2">
        <f ca="1">J1093*C1093/100</f>
        <v>87858.150678723658</v>
      </c>
      <c r="M1093" s="11"/>
      <c r="N1093" s="11"/>
      <c r="O1093" s="38"/>
      <c r="P1093" s="38"/>
      <c r="Q1093" s="38"/>
      <c r="R1093" s="38"/>
      <c r="S1093" s="17"/>
      <c r="T1093" s="20"/>
      <c r="U1093" s="20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</row>
    <row r="1094" spans="1:34">
      <c r="A1094" s="1" t="s">
        <v>166</v>
      </c>
      <c r="B1094" s="1"/>
      <c r="C1094" s="127">
        <v>1443</v>
      </c>
      <c r="D1094" s="278"/>
      <c r="E1094" s="1"/>
      <c r="F1094" s="2"/>
      <c r="G1094" s="752"/>
      <c r="H1094" s="1"/>
      <c r="I1094" s="2"/>
      <c r="J1094" s="278"/>
      <c r="K1094" s="1"/>
      <c r="L1094" s="2"/>
      <c r="M1094" s="11"/>
      <c r="N1094" s="11"/>
      <c r="O1094" s="38"/>
      <c r="P1094" s="38"/>
      <c r="Q1094" s="38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</row>
    <row r="1095" spans="1:34">
      <c r="A1095" s="3" t="s">
        <v>295</v>
      </c>
      <c r="C1095" s="127">
        <f>C1092+C1093</f>
        <v>2957877.7353539728</v>
      </c>
      <c r="D1095" s="132"/>
      <c r="E1095" s="11"/>
      <c r="F1095" s="135">
        <f>SUM(F1090:F1093)</f>
        <v>131302.87684822633</v>
      </c>
      <c r="G1095" s="717"/>
      <c r="H1095" s="11"/>
      <c r="I1095" s="135">
        <f>SUM(I1090:I1094)</f>
        <v>140854.13775755616</v>
      </c>
      <c r="J1095" s="132"/>
      <c r="K1095" s="11"/>
      <c r="L1095" s="135">
        <f ca="1">SUM(L1090:L1094)</f>
        <v>140587.92876137432</v>
      </c>
      <c r="M1095" s="11"/>
      <c r="N1095" s="11"/>
      <c r="O1095" s="38"/>
      <c r="P1095" s="38"/>
      <c r="Q1095" s="38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</row>
    <row r="1096" spans="1:34">
      <c r="A1096" s="3" t="s">
        <v>296</v>
      </c>
      <c r="C1096" s="127">
        <v>80210.080976111421</v>
      </c>
      <c r="D1096" s="132"/>
      <c r="E1096" s="11"/>
      <c r="F1096" s="135">
        <v>3338.4372439764056</v>
      </c>
      <c r="G1096" s="717"/>
      <c r="H1096" s="11"/>
      <c r="I1096" s="135">
        <f>F1096</f>
        <v>3338.4372439764056</v>
      </c>
      <c r="J1096" s="132"/>
      <c r="K1096" s="11"/>
      <c r="L1096" s="135">
        <f>I1096</f>
        <v>3338.4372439764056</v>
      </c>
      <c r="M1096" s="307"/>
      <c r="N1096" s="307"/>
      <c r="O1096" s="150"/>
      <c r="P1096" s="38"/>
      <c r="Q1096" s="38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</row>
    <row r="1097" spans="1:34" ht="16.5" thickBot="1">
      <c r="A1097" s="1" t="s">
        <v>1</v>
      </c>
      <c r="B1097" s="1"/>
      <c r="C1097" s="256">
        <f>C1095+C1096</f>
        <v>3038087.8163300841</v>
      </c>
      <c r="D1097" s="522"/>
      <c r="E1097" s="208"/>
      <c r="F1097" s="137">
        <f>F1095+F1096</f>
        <v>134641.31409220272</v>
      </c>
      <c r="G1097" s="753"/>
      <c r="H1097" s="208"/>
      <c r="I1097" s="137">
        <f>I1095+I1096</f>
        <v>144192.57500153256</v>
      </c>
      <c r="J1097" s="522"/>
      <c r="K1097" s="208"/>
      <c r="L1097" s="137">
        <f ca="1">L1095+L1096</f>
        <v>143926.36600535072</v>
      </c>
      <c r="M1097" s="274"/>
      <c r="N1097" s="274"/>
      <c r="O1097" s="333"/>
      <c r="P1097" s="38"/>
      <c r="Q1097" s="38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</row>
    <row r="1098" spans="1:34" ht="16.5" thickTop="1">
      <c r="A1098" s="623" t="s">
        <v>490</v>
      </c>
      <c r="B1098" s="1"/>
      <c r="C1098" s="16"/>
      <c r="D1098" s="285"/>
      <c r="E1098" s="14"/>
      <c r="F1098" s="20"/>
      <c r="G1098" s="754"/>
      <c r="H1098" s="14"/>
      <c r="I1098" s="20"/>
      <c r="J1098" s="285"/>
      <c r="K1098" s="14"/>
      <c r="L1098" s="20"/>
      <c r="M1098" s="274"/>
      <c r="N1098" s="274"/>
      <c r="O1098" s="333"/>
      <c r="P1098" s="38"/>
      <c r="Q1098" s="38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</row>
    <row r="1099" spans="1:34">
      <c r="A1099" s="1"/>
      <c r="B1099" s="1"/>
      <c r="C1099" s="16"/>
      <c r="D1099" s="285" t="s">
        <v>13</v>
      </c>
      <c r="E1099" s="14"/>
      <c r="F1099" s="20"/>
      <c r="G1099" s="754" t="s">
        <v>13</v>
      </c>
      <c r="H1099" s="14"/>
      <c r="I1099" s="20" t="s">
        <v>13</v>
      </c>
      <c r="J1099" s="285" t="s">
        <v>13</v>
      </c>
      <c r="K1099" s="14"/>
      <c r="L1099" s="20" t="s">
        <v>13</v>
      </c>
      <c r="M1099" s="490"/>
      <c r="N1099" s="490"/>
      <c r="O1099" s="490"/>
      <c r="P1099" s="490"/>
      <c r="Q1099" s="38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</row>
    <row r="1100" spans="1:34">
      <c r="A1100" s="156" t="s">
        <v>303</v>
      </c>
      <c r="B1100" s="1"/>
      <c r="C1100" s="1"/>
      <c r="D1100" s="1"/>
      <c r="E1100" s="1"/>
      <c r="F1100" s="1"/>
      <c r="G1100" s="284"/>
      <c r="H1100" s="1"/>
      <c r="I1100" s="1"/>
      <c r="J1100" s="1"/>
      <c r="K1100" s="1"/>
      <c r="L1100" s="1"/>
      <c r="M1100" s="279"/>
      <c r="N1100" s="279"/>
      <c r="O1100" s="279"/>
      <c r="P1100" s="279"/>
      <c r="Q1100" s="38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</row>
    <row r="1101" spans="1:34">
      <c r="A1101" s="1" t="s">
        <v>304</v>
      </c>
      <c r="B1101" s="1"/>
      <c r="C1101" s="1"/>
      <c r="D1101" s="1"/>
      <c r="E1101" s="1"/>
      <c r="F1101" s="1"/>
      <c r="G1101" s="284"/>
      <c r="H1101" s="1"/>
      <c r="I1101" s="1"/>
      <c r="J1101" s="1"/>
      <c r="K1101" s="1"/>
      <c r="L1101" s="1"/>
      <c r="M1101" s="11"/>
      <c r="N1101" s="11"/>
      <c r="O1101" s="38"/>
      <c r="P1101" s="38"/>
      <c r="Q1101" s="38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</row>
    <row r="1102" spans="1:34">
      <c r="A1102" s="1"/>
      <c r="B1102" s="1"/>
      <c r="C1102" s="1"/>
      <c r="D1102" s="282"/>
      <c r="E1102" s="1"/>
      <c r="F1102" s="1"/>
      <c r="G1102" s="749"/>
      <c r="H1102" s="1"/>
      <c r="I1102" s="1"/>
      <c r="J1102" s="282"/>
      <c r="K1102" s="1"/>
      <c r="L1102" s="1"/>
      <c r="M1102" s="11"/>
      <c r="N1102" s="11"/>
      <c r="O1102" s="38"/>
      <c r="P1102" s="38"/>
      <c r="Q1102" s="38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</row>
    <row r="1103" spans="1:34">
      <c r="A1103" s="1" t="s">
        <v>292</v>
      </c>
      <c r="B1103" s="1"/>
      <c r="C1103" s="12"/>
      <c r="D1103" s="161"/>
      <c r="E1103" s="1"/>
      <c r="F1103" s="275">
        <v>0</v>
      </c>
      <c r="G1103" s="506"/>
      <c r="H1103" s="1"/>
      <c r="I1103" s="2">
        <f>F1103</f>
        <v>0</v>
      </c>
      <c r="J1103" s="161"/>
      <c r="K1103" s="1"/>
      <c r="L1103" s="2">
        <f>I1103</f>
        <v>0</v>
      </c>
      <c r="M1103" s="11"/>
      <c r="N1103" s="11"/>
      <c r="O1103" s="38"/>
      <c r="P1103" s="38"/>
      <c r="Q1103" s="38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</row>
    <row r="1104" spans="1:34">
      <c r="A1104" s="1" t="s">
        <v>299</v>
      </c>
      <c r="B1104" s="1"/>
      <c r="C1104" s="127">
        <v>0</v>
      </c>
      <c r="D1104" s="245">
        <v>4.4390907466806819</v>
      </c>
      <c r="E1104" s="1" t="s">
        <v>178</v>
      </c>
      <c r="F1104" s="277">
        <f>ROUND(D1104*C1104/100,0)</f>
        <v>0</v>
      </c>
      <c r="G1104" s="287">
        <v>4.7619999999999996</v>
      </c>
      <c r="H1104" s="1" t="s">
        <v>178</v>
      </c>
      <c r="I1104" s="2">
        <f>ROUND(C1104*G1104/100,0)</f>
        <v>0</v>
      </c>
      <c r="J1104" s="245">
        <f ca="1">J1092</f>
        <v>4.7530000000000001</v>
      </c>
      <c r="K1104" s="1" t="s">
        <v>178</v>
      </c>
      <c r="L1104" s="2">
        <f ca="1">ROUND(C1104*J1104/100,0)</f>
        <v>0</v>
      </c>
      <c r="M1104" s="11"/>
      <c r="N1104" s="11"/>
      <c r="O1104" s="38"/>
      <c r="P1104" s="513"/>
      <c r="Q1104" s="38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</row>
    <row r="1105" spans="1:34">
      <c r="A1105" s="1" t="s">
        <v>300</v>
      </c>
      <c r="B1105" s="1"/>
      <c r="C1105" s="127">
        <v>738019</v>
      </c>
      <c r="D1105" s="287">
        <f>D1104</f>
        <v>4.4390907466806819</v>
      </c>
      <c r="E1105" s="1" t="s">
        <v>178</v>
      </c>
      <c r="F1105" s="277">
        <f>ROUND(D1105*C1105/100,0)</f>
        <v>32761</v>
      </c>
      <c r="G1105" s="287">
        <v>4.7619999999999996</v>
      </c>
      <c r="H1105" s="1" t="s">
        <v>178</v>
      </c>
      <c r="I1105" s="2">
        <f>ROUND(G1105*$C1105/100,0)</f>
        <v>35144</v>
      </c>
      <c r="J1105" s="287">
        <f ca="1">J1104</f>
        <v>4.7530000000000001</v>
      </c>
      <c r="K1105" s="1" t="s">
        <v>178</v>
      </c>
      <c r="L1105" s="2">
        <f ca="1">ROUND(J1105*$C1105/100,0)</f>
        <v>35078</v>
      </c>
      <c r="M1105" s="11"/>
      <c r="N1105" s="11"/>
      <c r="O1105" s="38"/>
      <c r="P1105" s="38"/>
      <c r="Q1105" s="38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</row>
    <row r="1106" spans="1:34">
      <c r="A1106" s="1" t="s">
        <v>166</v>
      </c>
      <c r="B1106" s="1"/>
      <c r="C1106" s="127">
        <v>1349</v>
      </c>
      <c r="D1106" s="278"/>
      <c r="E1106" s="1"/>
      <c r="F1106" s="2"/>
      <c r="G1106" s="752"/>
      <c r="H1106" s="1"/>
      <c r="I1106" s="2"/>
      <c r="J1106" s="278"/>
      <c r="K1106" s="1"/>
      <c r="L1106" s="2"/>
      <c r="M1106" s="11"/>
      <c r="N1106" s="11"/>
      <c r="O1106" s="38"/>
      <c r="P1106" s="38"/>
      <c r="Q1106" s="38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</row>
    <row r="1107" spans="1:34">
      <c r="A1107" s="3" t="s">
        <v>295</v>
      </c>
      <c r="C1107" s="127">
        <f>C1104+C1105</f>
        <v>738019</v>
      </c>
      <c r="D1107" s="132"/>
      <c r="E1107" s="11"/>
      <c r="F1107" s="135">
        <f>SUM(F1103:F1105)</f>
        <v>32761</v>
      </c>
      <c r="G1107" s="717"/>
      <c r="H1107" s="11"/>
      <c r="I1107" s="135">
        <f>SUM(I1103:I1106)</f>
        <v>35144</v>
      </c>
      <c r="J1107" s="132"/>
      <c r="K1107" s="11"/>
      <c r="L1107" s="135">
        <f ca="1">SUM(L1103:L1106)</f>
        <v>35078</v>
      </c>
      <c r="M1107" s="11"/>
      <c r="N1107" s="11"/>
      <c r="O1107" s="38"/>
      <c r="P1107" s="38"/>
      <c r="Q1107" s="38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</row>
    <row r="1108" spans="1:34">
      <c r="A1108" s="3" t="s">
        <v>296</v>
      </c>
      <c r="C1108" s="127">
        <v>20027.90683960207</v>
      </c>
      <c r="D1108" s="132"/>
      <c r="E1108" s="11"/>
      <c r="F1108" s="135">
        <v>828.80071067542849</v>
      </c>
      <c r="G1108" s="717"/>
      <c r="H1108" s="11"/>
      <c r="I1108" s="135">
        <f>F1108</f>
        <v>828.80071067542849</v>
      </c>
      <c r="J1108" s="132"/>
      <c r="K1108" s="11"/>
      <c r="L1108" s="135">
        <f>I1108</f>
        <v>828.80071067542849</v>
      </c>
      <c r="M1108" s="307"/>
      <c r="N1108" s="307"/>
      <c r="O1108" s="150"/>
      <c r="P1108" s="38"/>
      <c r="Q1108" s="38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</row>
    <row r="1109" spans="1:34" ht="16.5" thickBot="1">
      <c r="A1109" s="1" t="s">
        <v>1</v>
      </c>
      <c r="B1109" s="1"/>
      <c r="C1109" s="256">
        <f>C1107+C1108</f>
        <v>758046.90683960204</v>
      </c>
      <c r="D1109" s="522"/>
      <c r="E1109" s="208"/>
      <c r="F1109" s="137">
        <f>F1107+F1108</f>
        <v>33589.80071067543</v>
      </c>
      <c r="G1109" s="753"/>
      <c r="H1109" s="208"/>
      <c r="I1109" s="137">
        <f>I1107+I1108</f>
        <v>35972.80071067543</v>
      </c>
      <c r="J1109" s="522"/>
      <c r="K1109" s="208"/>
      <c r="L1109" s="137">
        <f ca="1">L1107+L1108</f>
        <v>35906.80071067543</v>
      </c>
      <c r="M1109" s="274"/>
      <c r="N1109" s="274"/>
      <c r="O1109" s="333"/>
      <c r="P1109" s="38"/>
      <c r="Q1109" s="38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</row>
    <row r="1110" spans="1:34" ht="16.5" thickTop="1">
      <c r="A1110" s="623" t="s">
        <v>490</v>
      </c>
      <c r="B1110" s="1"/>
      <c r="C1110" s="16"/>
      <c r="D1110" s="285"/>
      <c r="E1110" s="14"/>
      <c r="F1110" s="20"/>
      <c r="G1110" s="754"/>
      <c r="H1110" s="14"/>
      <c r="I1110" s="20"/>
      <c r="J1110" s="285"/>
      <c r="K1110" s="14"/>
      <c r="L1110" s="20"/>
      <c r="M1110" s="274"/>
      <c r="N1110" s="274"/>
      <c r="O1110" s="333"/>
      <c r="P1110" s="38"/>
      <c r="Q1110" s="38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</row>
    <row r="1111" spans="1:34">
      <c r="A1111" s="1"/>
      <c r="B1111" s="1"/>
      <c r="C1111" s="16"/>
      <c r="D1111" s="285"/>
      <c r="E1111" s="14"/>
      <c r="F1111" s="20"/>
      <c r="G1111" s="754"/>
      <c r="H1111" s="14"/>
      <c r="I1111" s="20"/>
      <c r="J1111" s="285"/>
      <c r="K1111" s="14"/>
      <c r="L1111" s="20"/>
      <c r="M1111" s="490"/>
      <c r="N1111" s="490"/>
      <c r="O1111" s="490"/>
      <c r="P1111" s="490"/>
      <c r="Q1111" s="38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</row>
    <row r="1112" spans="1:34">
      <c r="A1112" s="1"/>
      <c r="B1112" s="1"/>
      <c r="C1112" s="16"/>
      <c r="D1112" s="285"/>
      <c r="E1112" s="14"/>
      <c r="F1112" s="20"/>
      <c r="G1112" s="754"/>
      <c r="H1112" s="14"/>
      <c r="I1112" s="20"/>
      <c r="J1112" s="285"/>
      <c r="K1112" s="14"/>
      <c r="L1112" s="20"/>
      <c r="M1112" s="279"/>
      <c r="N1112" s="279"/>
      <c r="O1112" s="279"/>
      <c r="P1112" s="279"/>
      <c r="Q1112" s="38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</row>
    <row r="1113" spans="1:34">
      <c r="A1113" s="1"/>
      <c r="B1113" s="1"/>
      <c r="C1113" s="16"/>
      <c r="D1113" s="285" t="s">
        <v>13</v>
      </c>
      <c r="E1113" s="14"/>
      <c r="F1113" s="20"/>
      <c r="G1113" s="754" t="s">
        <v>13</v>
      </c>
      <c r="H1113" s="14"/>
      <c r="I1113" s="20" t="s">
        <v>13</v>
      </c>
      <c r="J1113" s="285" t="s">
        <v>13</v>
      </c>
      <c r="K1113" s="14"/>
      <c r="L1113" s="20" t="s">
        <v>13</v>
      </c>
      <c r="M1113" s="11"/>
      <c r="N1113" s="11"/>
      <c r="O1113" s="38"/>
      <c r="P1113" s="38"/>
      <c r="Q1113" s="38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</row>
    <row r="1114" spans="1:34">
      <c r="A1114" s="156" t="s">
        <v>305</v>
      </c>
      <c r="B1114" s="1"/>
      <c r="C1114" s="1"/>
      <c r="D1114" s="1"/>
      <c r="E1114" s="1"/>
      <c r="F1114" s="1"/>
      <c r="G1114" s="284"/>
      <c r="H1114" s="1"/>
      <c r="I1114" s="1" t="s">
        <v>13</v>
      </c>
      <c r="J1114" s="1"/>
      <c r="K1114" s="1"/>
      <c r="L1114" s="1" t="s">
        <v>13</v>
      </c>
      <c r="M1114" s="11"/>
      <c r="N1114" s="11"/>
      <c r="O1114" s="853" t="s">
        <v>1462</v>
      </c>
      <c r="P1114" s="38"/>
      <c r="Q1114" s="38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</row>
    <row r="1115" spans="1:34">
      <c r="A1115" s="1" t="s">
        <v>80</v>
      </c>
      <c r="B1115" s="1"/>
      <c r="C1115" s="1"/>
      <c r="D1115" s="1"/>
      <c r="E1115" s="1"/>
      <c r="F1115" s="1"/>
      <c r="G1115" s="284"/>
      <c r="H1115" s="1"/>
      <c r="I1115" s="1"/>
      <c r="J1115" s="1"/>
      <c r="K1115" s="1"/>
      <c r="L1115" s="1"/>
      <c r="M1115" s="11"/>
      <c r="N1115" s="11"/>
      <c r="O1115" s="852">
        <f ca="1">'Exhibit No.__(RMM-2)pg1'!O29*1000</f>
        <v>-19.767481159287478</v>
      </c>
      <c r="P1115" s="38"/>
      <c r="Q1115" s="38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</row>
    <row r="1116" spans="1:34">
      <c r="A1116" s="1"/>
      <c r="B1116" s="1"/>
      <c r="C1116" s="1"/>
      <c r="D1116" s="1"/>
      <c r="E1116" s="1"/>
      <c r="F1116" s="1"/>
      <c r="G1116" s="284"/>
      <c r="H1116" s="1"/>
      <c r="I1116" s="1"/>
      <c r="J1116" s="1"/>
      <c r="K1116" s="1"/>
      <c r="L1116" s="1"/>
      <c r="M1116" s="11"/>
      <c r="N1116" s="11"/>
      <c r="O1116" s="38"/>
      <c r="P1116" s="38"/>
      <c r="Q1116" s="38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</row>
    <row r="1117" spans="1:34">
      <c r="A1117" s="1" t="s">
        <v>306</v>
      </c>
      <c r="B1117" s="1"/>
      <c r="C1117" s="12">
        <v>144</v>
      </c>
      <c r="D1117" s="161">
        <v>7.0305325076863987</v>
      </c>
      <c r="E1117" s="1"/>
      <c r="F1117" s="2">
        <f>ROUND(C1117*D1117,0)</f>
        <v>1012</v>
      </c>
      <c r="G1117" s="729">
        <v>7.0305325076863987</v>
      </c>
      <c r="H1117" s="1"/>
      <c r="I1117" s="2">
        <f>ROUND(G1117*$C1117,0)</f>
        <v>1012</v>
      </c>
      <c r="J1117" s="128">
        <f t="shared" ref="J1117:J1118" si="105">G1117</f>
        <v>7.0305325076863987</v>
      </c>
      <c r="K1117" s="1"/>
      <c r="L1117" s="2">
        <f>ROUND(J1117*$C1117,0)</f>
        <v>1012</v>
      </c>
      <c r="M1117" s="11"/>
      <c r="N1117" s="11"/>
      <c r="O1117" s="717"/>
      <c r="P1117" s="513"/>
      <c r="Q1117" s="288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</row>
    <row r="1118" spans="1:34">
      <c r="A1118" s="1" t="s">
        <v>307</v>
      </c>
      <c r="B1118" s="1"/>
      <c r="C1118" s="12">
        <v>180</v>
      </c>
      <c r="D1118" s="161">
        <v>12.648904500975586</v>
      </c>
      <c r="E1118" s="1"/>
      <c r="F1118" s="2">
        <f>ROUND(C1118*D1118,0)</f>
        <v>2277</v>
      </c>
      <c r="G1118" s="729">
        <v>12.648904500975586</v>
      </c>
      <c r="H1118" s="1"/>
      <c r="I1118" s="2">
        <f>ROUND(G1118*$C1118,0)</f>
        <v>2277</v>
      </c>
      <c r="J1118" s="128">
        <f t="shared" si="105"/>
        <v>12.648904500975586</v>
      </c>
      <c r="K1118" s="1"/>
      <c r="L1118" s="2">
        <f>ROUND(J1118*$C1118,0)</f>
        <v>2277</v>
      </c>
      <c r="M1118" s="11"/>
      <c r="N1118" s="11"/>
      <c r="O1118" s="717"/>
      <c r="P1118" s="513"/>
      <c r="Q1118" s="288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</row>
    <row r="1119" spans="1:34">
      <c r="A1119" s="1" t="s">
        <v>308</v>
      </c>
      <c r="B1119" s="1"/>
      <c r="C1119" s="12">
        <f>SUM(C1117:C1118)</f>
        <v>324</v>
      </c>
      <c r="D1119" s="237"/>
      <c r="E1119" s="1"/>
      <c r="F1119" s="277"/>
      <c r="G1119" s="731"/>
      <c r="H1119" s="1"/>
      <c r="I1119" s="2"/>
      <c r="J1119" s="237"/>
      <c r="K1119" s="1"/>
      <c r="L1119" s="2"/>
      <c r="M1119" s="11"/>
      <c r="N1119" s="11"/>
      <c r="O1119" s="288"/>
      <c r="P1119" s="288"/>
      <c r="Q1119" s="288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</row>
    <row r="1120" spans="1:34">
      <c r="A1120" s="1" t="s">
        <v>268</v>
      </c>
      <c r="B1120" s="1"/>
      <c r="C1120" s="12">
        <v>282712</v>
      </c>
      <c r="D1120" s="190">
        <v>4.6892336901312657</v>
      </c>
      <c r="E1120" s="2" t="s">
        <v>178</v>
      </c>
      <c r="F1120" s="277">
        <f>ROUND(D1120*C1120/100,0)</f>
        <v>13257</v>
      </c>
      <c r="G1120" s="745">
        <v>5.0119999999999996</v>
      </c>
      <c r="H1120" s="2" t="s">
        <v>178</v>
      </c>
      <c r="I1120" s="277">
        <f>ROUND(G1120*C1120/100,0)</f>
        <v>14170</v>
      </c>
      <c r="J1120" s="162">
        <f ca="1">ROUND(G1120+($O$1115/$C$1121)*100,3)</f>
        <v>5.0049999999999999</v>
      </c>
      <c r="K1120" s="2" t="s">
        <v>178</v>
      </c>
      <c r="L1120" s="277">
        <f ca="1">ROUND(J1120*C1120/100,0)</f>
        <v>14150</v>
      </c>
      <c r="M1120" s="11"/>
      <c r="N1120" s="11"/>
      <c r="O1120" s="288"/>
      <c r="P1120" s="513"/>
      <c r="Q1120" s="288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</row>
    <row r="1121" spans="1:34">
      <c r="A1121" s="1" t="s">
        <v>185</v>
      </c>
      <c r="B1121" s="1"/>
      <c r="C1121" s="182">
        <f>SUM(C1120)</f>
        <v>282712</v>
      </c>
      <c r="D1121" s="12"/>
      <c r="E1121" s="2"/>
      <c r="F1121" s="277">
        <f>SUM(F1117:F1120)</f>
        <v>16546</v>
      </c>
      <c r="G1121" s="28"/>
      <c r="H1121" s="2"/>
      <c r="I1121" s="277">
        <f>SUM(I1117:I1120)</f>
        <v>17459</v>
      </c>
      <c r="J1121" s="12"/>
      <c r="K1121" s="2"/>
      <c r="L1121" s="277">
        <f ca="1">SUM(L1117:L1120)</f>
        <v>17439</v>
      </c>
      <c r="M1121" s="11"/>
      <c r="N1121" s="11"/>
      <c r="O1121" s="38"/>
      <c r="P1121" s="38"/>
      <c r="Q1121" s="38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</row>
    <row r="1122" spans="1:34">
      <c r="A1122" s="1" t="s">
        <v>167</v>
      </c>
      <c r="B1122" s="1"/>
      <c r="C1122" s="212">
        <v>2569.407589389054</v>
      </c>
      <c r="D1122" s="523"/>
      <c r="E1122" s="523"/>
      <c r="F1122" s="291">
        <v>344.89560655615463</v>
      </c>
      <c r="G1122" s="755"/>
      <c r="H1122" s="523"/>
      <c r="I1122" s="291">
        <f>F1122</f>
        <v>344.89560655615463</v>
      </c>
      <c r="J1122" s="523"/>
      <c r="K1122" s="523"/>
      <c r="L1122" s="291">
        <f>I1122</f>
        <v>344.89560655615463</v>
      </c>
      <c r="M1122" s="307"/>
      <c r="N1122" s="307"/>
      <c r="O1122" s="150"/>
      <c r="P1122" s="38"/>
      <c r="Q1122" s="38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</row>
    <row r="1123" spans="1:34" ht="16.5" thickBot="1">
      <c r="A1123" s="1" t="s">
        <v>186</v>
      </c>
      <c r="B1123" s="1"/>
      <c r="C1123" s="229">
        <f>C1121+C1122</f>
        <v>285281.40758938907</v>
      </c>
      <c r="D1123" s="208"/>
      <c r="E1123" s="208"/>
      <c r="F1123" s="175">
        <f>F1121+F1122</f>
        <v>16890.895606556154</v>
      </c>
      <c r="G1123" s="756"/>
      <c r="H1123" s="208"/>
      <c r="I1123" s="175">
        <f>I1121+I1122</f>
        <v>17803.895606556154</v>
      </c>
      <c r="J1123" s="208"/>
      <c r="K1123" s="208"/>
      <c r="L1123" s="175">
        <f ca="1">L1121+L1122</f>
        <v>17783.895606556154</v>
      </c>
      <c r="M1123" s="11"/>
      <c r="N1123" s="274"/>
      <c r="O1123" s="279"/>
      <c r="P1123" s="500"/>
      <c r="Q1123" s="38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</row>
    <row r="1124" spans="1:34" ht="16.5" thickTop="1">
      <c r="A1124" s="1"/>
      <c r="B1124" s="176"/>
      <c r="C1124" s="1"/>
      <c r="D1124" s="1" t="s">
        <v>13</v>
      </c>
      <c r="E1124" s="1"/>
      <c r="F1124" s="1"/>
      <c r="G1124" s="284" t="s">
        <v>13</v>
      </c>
      <c r="H1124" s="1"/>
      <c r="I1124" s="2" t="s">
        <v>13</v>
      </c>
      <c r="J1124" s="1" t="s">
        <v>13</v>
      </c>
      <c r="K1124" s="1"/>
      <c r="L1124" s="2" t="s">
        <v>13</v>
      </c>
      <c r="M1124" s="11"/>
      <c r="N1124" s="141"/>
      <c r="O1124" s="279"/>
      <c r="P1124" s="11"/>
      <c r="Q1124" s="5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</row>
    <row r="1125" spans="1:34">
      <c r="A1125" s="166"/>
      <c r="B1125" s="176"/>
      <c r="C1125" s="308"/>
      <c r="D1125" s="309"/>
      <c r="E1125" s="166"/>
      <c r="F1125" s="2"/>
      <c r="G1125" s="216"/>
      <c r="H1125" s="166"/>
      <c r="I1125" s="2"/>
      <c r="J1125" s="309"/>
      <c r="K1125" s="166"/>
      <c r="L1125" s="2"/>
      <c r="M1125" s="11"/>
      <c r="N1125" s="11"/>
      <c r="O1125" s="38"/>
      <c r="P1125" s="38"/>
      <c r="Q1125" s="38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</row>
    <row r="1126" spans="1:34" s="4" customFormat="1" ht="19.899999999999999" customHeight="1" thickBot="1">
      <c r="A1126" s="310" t="s">
        <v>319</v>
      </c>
      <c r="B1126" s="311"/>
      <c r="C1126" s="312">
        <f>C21+C77+C201+C541+C577+C703+C830+C849+C1071+C1082+C1123</f>
        <v>4081606818.5945606</v>
      </c>
      <c r="D1126" s="313"/>
      <c r="E1126" s="314"/>
      <c r="F1126" s="314">
        <f>F21+F77+F201+F541+F577+F703+F830+F849+F1071+F1082+F1123</f>
        <v>351179863.09100753</v>
      </c>
      <c r="G1126" s="757"/>
      <c r="H1126" s="314"/>
      <c r="I1126" s="314">
        <f>I21+I77+I201+I541+I577+I703+I830+I888+I947+I1045+I1071+I1082+I1123</f>
        <v>364311259.28070533</v>
      </c>
      <c r="J1126" s="313"/>
      <c r="K1126" s="314"/>
      <c r="L1126" s="314">
        <f ca="1">L21+L77+L201+L541+L577+L703+L830+L888+L947+L1045+L1071+L1082+L1123</f>
        <v>363700222.20547462</v>
      </c>
      <c r="M1126" s="6"/>
      <c r="N1126" s="6"/>
      <c r="O1126" s="321"/>
      <c r="P1126" s="38"/>
      <c r="Q1126" s="38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34" ht="16.5" thickTop="1">
      <c r="A1127" s="1"/>
      <c r="B1127" s="176"/>
      <c r="C1127" s="200"/>
      <c r="D1127" s="200" t="s">
        <v>13</v>
      </c>
      <c r="E1127" s="1"/>
      <c r="F1127" s="2"/>
      <c r="G1127" s="216" t="s">
        <v>13</v>
      </c>
      <c r="H1127" s="1"/>
      <c r="I1127" s="2" t="s">
        <v>13</v>
      </c>
      <c r="J1127" s="216" t="s">
        <v>13</v>
      </c>
      <c r="K1127" s="1"/>
      <c r="L1127" s="2" t="s">
        <v>13</v>
      </c>
      <c r="M1127" s="11"/>
      <c r="N1127" s="11"/>
      <c r="O1127" s="279"/>
      <c r="P1127" s="509"/>
      <c r="Q1127" s="509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</row>
    <row r="1128" spans="1:34">
      <c r="A1128" s="1" t="s">
        <v>14</v>
      </c>
      <c r="B1128" s="176"/>
      <c r="C1128" s="316"/>
      <c r="D1128" s="317"/>
      <c r="E1128" s="320"/>
      <c r="F1128" s="499">
        <v>727802.09999999986</v>
      </c>
      <c r="G1128" s="319"/>
      <c r="H1128" s="320"/>
      <c r="I1128" s="499">
        <f>F1128</f>
        <v>727802.09999999986</v>
      </c>
      <c r="J1128" s="319"/>
      <c r="K1128" s="320"/>
      <c r="L1128" s="499">
        <f>I1128</f>
        <v>727802.09999999986</v>
      </c>
      <c r="M1128" s="11"/>
      <c r="N1128" s="11"/>
      <c r="O1128" s="38"/>
      <c r="P1128" s="38"/>
      <c r="Q1128" s="38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</row>
    <row r="1129" spans="1:34" s="4" customFormat="1" ht="19.899999999999999" customHeight="1" thickBot="1">
      <c r="A1129" s="322" t="s">
        <v>320</v>
      </c>
      <c r="B1129" s="323"/>
      <c r="C1129" s="324">
        <f>C1126+C1128</f>
        <v>4081606818.5945606</v>
      </c>
      <c r="D1129" s="544"/>
      <c r="E1129" s="326"/>
      <c r="F1129" s="327">
        <f>F1126+F1128</f>
        <v>351907665.19100755</v>
      </c>
      <c r="G1129" s="758"/>
      <c r="H1129" s="326"/>
      <c r="I1129" s="327">
        <f>I1126+I1128</f>
        <v>365039061.38070536</v>
      </c>
      <c r="J1129" s="328"/>
      <c r="K1129" s="326"/>
      <c r="L1129" s="327">
        <f ca="1">L1126+L1128</f>
        <v>364428024.30547464</v>
      </c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34" ht="16.5" thickTop="1">
      <c r="A1130" s="1"/>
      <c r="B1130" s="176"/>
      <c r="C1130" s="12"/>
      <c r="D1130" s="200"/>
      <c r="E1130" s="329"/>
      <c r="F1130" s="2" t="s">
        <v>13</v>
      </c>
      <c r="G1130" s="200"/>
      <c r="H1130" s="1"/>
      <c r="I1130" s="29"/>
      <c r="J1130" s="29"/>
      <c r="K1130" s="696"/>
      <c r="L1130" s="200"/>
      <c r="M1130" s="11"/>
      <c r="N1130" s="6"/>
      <c r="O1130" s="17"/>
      <c r="P1130" s="38"/>
      <c r="Q1130" s="38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</row>
    <row r="1132" spans="1:34">
      <c r="I1132" s="22" t="s">
        <v>1452</v>
      </c>
      <c r="L1132" s="851">
        <f ca="1">L1129-I1129</f>
        <v>-611037.07523071766</v>
      </c>
    </row>
    <row r="1133" spans="1:34">
      <c r="A1133" s="22"/>
      <c r="C1133" s="127"/>
      <c r="I1133" s="22"/>
    </row>
    <row r="1134" spans="1:34">
      <c r="I1134" s="22"/>
      <c r="L1134" s="42"/>
    </row>
    <row r="1135" spans="1:34">
      <c r="I1135" s="22"/>
      <c r="L1135" s="42"/>
    </row>
  </sheetData>
  <mergeCells count="1">
    <mergeCell ref="D9:F9"/>
  </mergeCells>
  <printOptions horizontalCentered="1"/>
  <pageMargins left="0" right="0" top="0.25" bottom="0.05" header="0.5" footer="0.25"/>
  <pageSetup scale="55" fitToHeight="13" orientation="portrait" r:id="rId1"/>
  <headerFooter alignWithMargins="0"/>
  <rowBreaks count="5" manualBreakCount="5">
    <brk id="492" max="11" man="1"/>
    <brk id="648" max="11" man="1"/>
    <brk id="831" max="11" man="1"/>
    <brk id="1027" max="11" man="1"/>
    <brk id="1099" max="11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47"/>
  <sheetViews>
    <sheetView view="pageBreakPreview" zoomScale="60" zoomScaleNormal="100" workbookViewId="0"/>
  </sheetViews>
  <sheetFormatPr defaultColWidth="8.5" defaultRowHeight="15"/>
  <cols>
    <col min="1" max="1" width="4.625" style="343" customWidth="1"/>
    <col min="2" max="2" width="8.5" style="343"/>
    <col min="3" max="3" width="2.75" style="343" customWidth="1"/>
    <col min="4" max="4" width="8.875" style="343" bestFit="1" customWidth="1"/>
    <col min="5" max="5" width="2.625" style="343" customWidth="1"/>
    <col min="6" max="6" width="11.75" style="343" customWidth="1"/>
    <col min="7" max="7" width="2.625" style="343" customWidth="1"/>
    <col min="8" max="8" width="10.625" style="343" customWidth="1"/>
    <col min="9" max="9" width="2.875" style="343" customWidth="1"/>
    <col min="10" max="10" width="9.625" style="343" customWidth="1"/>
    <col min="11" max="11" width="4.875" style="343" customWidth="1"/>
    <col min="12" max="12" width="18.25" style="343" customWidth="1"/>
    <col min="13" max="13" width="15.25" style="343" customWidth="1"/>
    <col min="14" max="14" width="11.125" style="343" customWidth="1"/>
    <col min="15" max="15" width="8.25" style="343" customWidth="1"/>
    <col min="16" max="16" width="1.625" style="343" customWidth="1"/>
    <col min="17" max="16384" width="8.5" style="343"/>
  </cols>
  <sheetData>
    <row r="1" spans="1:20" ht="18.75">
      <c r="B1" s="347" t="s">
        <v>443</v>
      </c>
      <c r="C1" s="347"/>
      <c r="D1" s="347"/>
      <c r="E1" s="347"/>
      <c r="F1" s="347"/>
      <c r="G1" s="347"/>
      <c r="H1" s="347"/>
      <c r="I1" s="347"/>
      <c r="J1" s="347"/>
      <c r="K1" s="347"/>
    </row>
    <row r="2" spans="1:20" ht="18.75">
      <c r="A2" s="348"/>
      <c r="B2" s="347" t="s">
        <v>324</v>
      </c>
      <c r="C2" s="347"/>
      <c r="D2" s="347"/>
      <c r="E2" s="347"/>
      <c r="F2" s="347"/>
      <c r="G2" s="347"/>
      <c r="H2" s="347"/>
      <c r="I2" s="347"/>
      <c r="J2" s="347"/>
      <c r="K2" s="347"/>
    </row>
    <row r="3" spans="1:20" ht="18.75">
      <c r="A3" s="348"/>
      <c r="B3" s="347" t="s">
        <v>325</v>
      </c>
      <c r="C3" s="347"/>
      <c r="D3" s="347"/>
      <c r="E3" s="347"/>
      <c r="F3" s="347"/>
      <c r="G3" s="347"/>
      <c r="H3" s="347"/>
      <c r="I3" s="347"/>
      <c r="J3" s="347"/>
      <c r="K3" s="347"/>
    </row>
    <row r="4" spans="1:20" ht="18.75">
      <c r="B4" s="347" t="s">
        <v>13</v>
      </c>
      <c r="C4" s="347"/>
      <c r="D4" s="347"/>
      <c r="E4" s="347"/>
      <c r="F4" s="347"/>
      <c r="G4" s="347"/>
      <c r="H4" s="347"/>
      <c r="I4" s="347"/>
      <c r="J4" s="347"/>
      <c r="K4" s="347"/>
    </row>
    <row r="6" spans="1:20" ht="18.75" thickBot="1">
      <c r="D6" s="868" t="s">
        <v>527</v>
      </c>
      <c r="E6" s="868"/>
      <c r="F6" s="868"/>
      <c r="G6" s="868"/>
      <c r="H6" s="868"/>
      <c r="I6" s="868"/>
      <c r="J6" s="868"/>
      <c r="K6" s="538"/>
      <c r="L6" s="350"/>
    </row>
    <row r="7" spans="1:20">
      <c r="D7" s="538" t="s">
        <v>13</v>
      </c>
      <c r="E7" s="352"/>
      <c r="F7" s="539" t="s">
        <v>13</v>
      </c>
      <c r="H7" s="868" t="s">
        <v>493</v>
      </c>
      <c r="I7" s="868"/>
      <c r="J7" s="868"/>
      <c r="K7" s="538"/>
      <c r="L7" s="353" t="s">
        <v>328</v>
      </c>
      <c r="M7" s="354"/>
      <c r="N7" s="353" t="s">
        <v>329</v>
      </c>
      <c r="O7" s="354"/>
    </row>
    <row r="8" spans="1:20" ht="18">
      <c r="B8" s="537" t="s">
        <v>9</v>
      </c>
      <c r="D8" s="514" t="s">
        <v>85</v>
      </c>
      <c r="E8" s="357" t="s">
        <v>13</v>
      </c>
      <c r="F8" s="514" t="s">
        <v>120</v>
      </c>
      <c r="G8" s="357" t="s">
        <v>13</v>
      </c>
      <c r="H8" s="536" t="s">
        <v>20</v>
      </c>
      <c r="J8" s="631" t="s">
        <v>126</v>
      </c>
      <c r="K8" s="538"/>
      <c r="L8" s="359" t="s">
        <v>330</v>
      </c>
      <c r="M8" s="360">
        <f>'Exhibit No.__(RMM-3)'!D65</f>
        <v>7.75</v>
      </c>
      <c r="N8" s="359"/>
      <c r="O8" s="360">
        <f>'Exhibit No.__(RMM-3)'!J65</f>
        <v>7.75</v>
      </c>
      <c r="R8" s="672" t="s">
        <v>528</v>
      </c>
      <c r="S8" s="671"/>
      <c r="T8" s="539"/>
    </row>
    <row r="9" spans="1:20">
      <c r="B9" s="361"/>
      <c r="D9" s="361"/>
      <c r="E9" s="361"/>
      <c r="F9" s="361"/>
      <c r="L9" s="359" t="s">
        <v>331</v>
      </c>
      <c r="M9" s="362">
        <f>'Exhibit No.__(RMM-3)'!D66+O11+O19</f>
        <v>7.21</v>
      </c>
      <c r="N9" s="359"/>
      <c r="O9" s="362">
        <f ca="1">('Exhibit No.__(RMM-3)'!J66+'Exhibit No.__(RMM-3)'!J71)+O12+O20+O22</f>
        <v>7.4560000000000004</v>
      </c>
      <c r="P9" s="363"/>
      <c r="Q9" s="535">
        <f ca="1">(O9-M9)/M9</f>
        <v>3.4119278779473017E-2</v>
      </c>
      <c r="R9" s="454" t="s">
        <v>175</v>
      </c>
      <c r="S9" s="454" t="s">
        <v>120</v>
      </c>
      <c r="T9" s="454"/>
    </row>
    <row r="10" spans="1:20" ht="15.75" thickBot="1">
      <c r="B10" s="364">
        <v>50</v>
      </c>
      <c r="D10" s="365">
        <f>ROUND($M$8+(($B10*M$9/100))+((B10*$O$14)/100),2)+$O$16</f>
        <v>11.73</v>
      </c>
      <c r="F10" s="365">
        <f ca="1">ROUND($O$8+(($B10*O$9/100))+((B10*$O$15)/100),2)+$O$17</f>
        <v>11.85</v>
      </c>
      <c r="H10" s="366">
        <f ca="1">F10-D10</f>
        <v>0.11999999999999922</v>
      </c>
      <c r="J10" s="367">
        <f ca="1">H10/D10</f>
        <v>1.0230179028132926E-2</v>
      </c>
      <c r="K10" s="367"/>
      <c r="L10" s="368" t="s">
        <v>180</v>
      </c>
      <c r="M10" s="369">
        <f>'Exhibit No.__(RMM-3)'!D67+O11+O19</f>
        <v>10.132</v>
      </c>
      <c r="N10" s="368"/>
      <c r="O10" s="369">
        <f ca="1">('Exhibit No.__(RMM-3)'!J67+'Exhibit No.__(RMM-3)'!J72)+O12+O20+O22</f>
        <v>10.377999999999998</v>
      </c>
      <c r="Q10" s="535">
        <f ca="1">(O10-M10)/M10</f>
        <v>2.4279510461902749E-2</v>
      </c>
      <c r="R10" s="371">
        <f>D10/B10*100</f>
        <v>23.46</v>
      </c>
      <c r="S10" s="371">
        <f ca="1">F10/B10*100</f>
        <v>23.7</v>
      </c>
      <c r="T10" s="371"/>
    </row>
    <row r="11" spans="1:20">
      <c r="B11" s="364">
        <v>100</v>
      </c>
      <c r="D11" s="365">
        <f>ROUND($M$8+(($B11*M$9/100))+((B11*$O$14)/100),2)+$O$16</f>
        <v>14.97</v>
      </c>
      <c r="F11" s="365">
        <f ca="1">ROUND($O$8+(($B11*O$9/100))+((B11*$O$15)/100),2)+$O$17</f>
        <v>15.22</v>
      </c>
      <c r="H11" s="366">
        <f ca="1">F11-D11</f>
        <v>0.25</v>
      </c>
      <c r="J11" s="367">
        <f t="shared" ref="J11:J33" ca="1" si="0">H11/D11</f>
        <v>1.6700066800267199E-2</v>
      </c>
      <c r="K11" s="367"/>
      <c r="L11" s="370"/>
      <c r="M11" s="370" t="s">
        <v>88</v>
      </c>
      <c r="N11" s="370"/>
      <c r="O11" s="371">
        <v>0.29299999999999998</v>
      </c>
      <c r="R11" s="371">
        <f t="shared" ref="R11:R33" si="1">D11/B11*100</f>
        <v>14.97</v>
      </c>
      <c r="S11" s="371">
        <f t="shared" ref="S11:S33" ca="1" si="2">F11/B11*100</f>
        <v>15.22</v>
      </c>
      <c r="T11" s="371"/>
    </row>
    <row r="12" spans="1:20">
      <c r="B12" s="364">
        <v>150</v>
      </c>
      <c r="D12" s="365">
        <f>ROUND($M$8+(($B12*M$9/100))+((B12*$O$14)/100),2)+$O$16</f>
        <v>18.209999999999997</v>
      </c>
      <c r="F12" s="365">
        <f ca="1">ROUND($O$8+(($B12*O$9/100))+((B12*$O$15)/100),2)+$O$17</f>
        <v>18.579999999999998</v>
      </c>
      <c r="H12" s="366">
        <f ca="1">F12-D12</f>
        <v>0.37000000000000099</v>
      </c>
      <c r="J12" s="367">
        <f t="shared" ca="1" si="0"/>
        <v>2.0318506315211479E-2</v>
      </c>
      <c r="K12" s="367"/>
      <c r="L12" s="370"/>
      <c r="M12" s="370"/>
      <c r="N12" s="370"/>
      <c r="O12" s="371">
        <v>0.29299999999999998</v>
      </c>
      <c r="P12" s="372"/>
      <c r="R12" s="371">
        <f t="shared" si="1"/>
        <v>12.139999999999999</v>
      </c>
      <c r="S12" s="371">
        <f t="shared" ca="1" si="2"/>
        <v>12.386666666666665</v>
      </c>
      <c r="T12" s="371"/>
    </row>
    <row r="13" spans="1:20">
      <c r="D13" s="373"/>
      <c r="F13" s="373"/>
      <c r="L13" s="370"/>
      <c r="M13" s="370"/>
      <c r="N13" s="370"/>
      <c r="O13" s="374"/>
      <c r="R13" s="670"/>
      <c r="S13" s="670"/>
      <c r="T13" s="371"/>
    </row>
    <row r="14" spans="1:20">
      <c r="B14" s="364">
        <v>200</v>
      </c>
      <c r="D14" s="365">
        <f>ROUND($M$8+(($B14*M$9/100))+((B14*$O$14)/100),2)+$O$16</f>
        <v>21.45</v>
      </c>
      <c r="F14" s="365">
        <f ca="1">ROUND($O$8+(($B14*O$9/100))+((B14*$O$15)/100),2)+$O$17</f>
        <v>21.95</v>
      </c>
      <c r="H14" s="366">
        <f ca="1">F14-D14</f>
        <v>0.5</v>
      </c>
      <c r="J14" s="367">
        <f t="shared" ca="1" si="0"/>
        <v>2.3310023310023312E-2</v>
      </c>
      <c r="K14" s="367"/>
      <c r="L14" s="370"/>
      <c r="M14" s="370" t="s">
        <v>332</v>
      </c>
      <c r="N14" s="370"/>
      <c r="O14" s="371">
        <v>-0.72799999999999998</v>
      </c>
      <c r="Q14" s="343" t="s">
        <v>13</v>
      </c>
      <c r="R14" s="371">
        <f t="shared" si="1"/>
        <v>10.725</v>
      </c>
      <c r="S14" s="371">
        <f t="shared" ca="1" si="2"/>
        <v>10.975</v>
      </c>
      <c r="T14" s="371"/>
    </row>
    <row r="15" spans="1:20">
      <c r="B15" s="364">
        <v>300</v>
      </c>
      <c r="D15" s="365">
        <f>ROUND($M$8+(($B15*M$9/100))+((B15*$O$14)/100),2)+$O$16</f>
        <v>27.939999999999998</v>
      </c>
      <c r="F15" s="365">
        <f ca="1">ROUND($O$8+(($B15*O$9/100))+((B15*$O$15)/100),2)+$O$17</f>
        <v>28.669999999999998</v>
      </c>
      <c r="H15" s="366">
        <f ca="1">F15-D15</f>
        <v>0.73000000000000043</v>
      </c>
      <c r="J15" s="367">
        <f t="shared" ca="1" si="0"/>
        <v>2.6127415891195434E-2</v>
      </c>
      <c r="K15" s="367"/>
      <c r="L15" s="370"/>
      <c r="M15" s="343" t="s">
        <v>13</v>
      </c>
      <c r="N15" s="343" t="s">
        <v>13</v>
      </c>
      <c r="O15" s="371">
        <f>O14</f>
        <v>-0.72799999999999998</v>
      </c>
      <c r="R15" s="371">
        <f t="shared" si="1"/>
        <v>9.3133333333333326</v>
      </c>
      <c r="S15" s="371">
        <f t="shared" ca="1" si="2"/>
        <v>9.5566666666666666</v>
      </c>
      <c r="T15" s="371"/>
    </row>
    <row r="16" spans="1:20">
      <c r="B16" s="364">
        <v>400</v>
      </c>
      <c r="D16" s="365">
        <f>ROUND($M$8+(($B16*M$9/100))+((B16*$O$14)/100),2)+$O$16</f>
        <v>34.42</v>
      </c>
      <c r="F16" s="365">
        <f ca="1">ROUND($O$8+(($B16*O$9/100))+((B16*$O$15)/100),2)+$O$17</f>
        <v>35.4</v>
      </c>
      <c r="H16" s="366">
        <f ca="1">F16-D16</f>
        <v>0.97999999999999687</v>
      </c>
      <c r="J16" s="367">
        <f t="shared" ca="1" si="0"/>
        <v>2.8471818710052204E-2</v>
      </c>
      <c r="K16" s="367"/>
      <c r="M16" s="343" t="s">
        <v>417</v>
      </c>
      <c r="O16" s="366">
        <v>0.74</v>
      </c>
      <c r="P16" s="343" t="s">
        <v>13</v>
      </c>
      <c r="R16" s="371">
        <f t="shared" si="1"/>
        <v>8.6050000000000004</v>
      </c>
      <c r="S16" s="371">
        <f t="shared" ca="1" si="2"/>
        <v>8.85</v>
      </c>
      <c r="T16" s="371"/>
    </row>
    <row r="17" spans="2:20">
      <c r="B17" s="364">
        <v>500</v>
      </c>
      <c r="D17" s="365">
        <f>ROUND($M$8+(($B17*M$9/100))+((B17*$O$14)/100),2)+$O$16</f>
        <v>40.9</v>
      </c>
      <c r="F17" s="365">
        <f ca="1">ROUND($O$8+(($B17*O$9/100))+((B17*$O$15)/100),2)+$O$17</f>
        <v>42.13</v>
      </c>
      <c r="H17" s="366">
        <f ca="1">F17-D17</f>
        <v>1.230000000000004</v>
      </c>
      <c r="J17" s="367">
        <f t="shared" ca="1" si="0"/>
        <v>3.0073349633251933E-2</v>
      </c>
      <c r="K17" s="367"/>
      <c r="M17" s="343" t="s">
        <v>418</v>
      </c>
      <c r="O17" s="366">
        <f>O16</f>
        <v>0.74</v>
      </c>
      <c r="R17" s="371">
        <f t="shared" si="1"/>
        <v>8.18</v>
      </c>
      <c r="S17" s="371">
        <f t="shared" ca="1" si="2"/>
        <v>8.4260000000000002</v>
      </c>
      <c r="T17" s="371"/>
    </row>
    <row r="18" spans="2:20">
      <c r="D18" s="373"/>
      <c r="F18" s="373"/>
      <c r="R18" s="670"/>
      <c r="S18" s="670"/>
      <c r="T18" s="371"/>
    </row>
    <row r="19" spans="2:20">
      <c r="B19" s="364">
        <v>600</v>
      </c>
      <c r="D19" s="365">
        <f>ROUND($M$8+(($B19*M$9/100))+((B19*$O$14)/100),2)+$O$16</f>
        <v>47.38</v>
      </c>
      <c r="F19" s="365">
        <f ca="1">ROUND($O$8+(($B19*O$9/100))+((B19*$O$15)/100),2)+$O$17</f>
        <v>48.86</v>
      </c>
      <c r="H19" s="366">
        <f ca="1">F19-D19</f>
        <v>1.4799999999999969</v>
      </c>
      <c r="J19" s="367">
        <f t="shared" ca="1" si="0"/>
        <v>3.1236808780075915E-2</v>
      </c>
      <c r="K19" s="367"/>
      <c r="M19" s="501" t="s">
        <v>534</v>
      </c>
      <c r="O19" s="427">
        <v>-0.35899999999999999</v>
      </c>
      <c r="R19" s="371">
        <f t="shared" si="1"/>
        <v>7.8966666666666674</v>
      </c>
      <c r="S19" s="371">
        <f t="shared" ca="1" si="2"/>
        <v>8.1433333333333326</v>
      </c>
      <c r="T19" s="371"/>
    </row>
    <row r="20" spans="2:20">
      <c r="B20" s="364">
        <v>700</v>
      </c>
      <c r="D20" s="365">
        <f>ROUND($M$8+(((600*M$9/100)+(($B20-600)*M$10/100)))+((B20*$O$14)/100),2)+$O$16</f>
        <v>56.79</v>
      </c>
      <c r="F20" s="365">
        <f ca="1">ROUND($O$8+(((600*O$9/100)+(($B20-600)*O$10/100)))+((B20*$O$15)/100),2)+$O$17</f>
        <v>58.510000000000005</v>
      </c>
      <c r="H20" s="366">
        <f ca="1">F20-D20</f>
        <v>1.720000000000006</v>
      </c>
      <c r="J20" s="367">
        <f t="shared" ca="1" si="0"/>
        <v>3.0287022363092199E-2</v>
      </c>
      <c r="K20" s="367"/>
      <c r="M20" s="501" t="s">
        <v>533</v>
      </c>
      <c r="O20" s="427">
        <v>-0.35899999999999999</v>
      </c>
      <c r="R20" s="371">
        <f t="shared" si="1"/>
        <v>8.112857142857143</v>
      </c>
      <c r="S20" s="371">
        <f t="shared" ca="1" si="2"/>
        <v>8.3585714285714285</v>
      </c>
      <c r="T20" s="371"/>
    </row>
    <row r="21" spans="2:20">
      <c r="B21" s="364">
        <v>800</v>
      </c>
      <c r="D21" s="365">
        <f>ROUND($M$8+(((600*M$9/100)+(($B21-600)*M$10/100)))+((B21*$O$14)/100),2)+$O$16</f>
        <v>66.19</v>
      </c>
      <c r="F21" s="365">
        <f ca="1">ROUND($O$8+(((600*O$9/100)+(($B21-600)*O$10/100)))+((B21*$O$15)/100),2)+$O$17</f>
        <v>68.16</v>
      </c>
      <c r="H21" s="366">
        <f ca="1">F21-D21</f>
        <v>1.9699999999999989</v>
      </c>
      <c r="J21" s="367">
        <f t="shared" ca="1" si="0"/>
        <v>2.9762804048949976E-2</v>
      </c>
      <c r="K21" s="367"/>
      <c r="M21" s="501"/>
      <c r="O21" s="690"/>
      <c r="R21" s="371">
        <f t="shared" si="1"/>
        <v>8.2737499999999997</v>
      </c>
      <c r="S21" s="371">
        <f t="shared" ca="1" si="2"/>
        <v>8.52</v>
      </c>
      <c r="T21" s="371"/>
    </row>
    <row r="22" spans="2:20">
      <c r="B22" s="364">
        <v>900</v>
      </c>
      <c r="D22" s="365">
        <f>ROUND($M$8+(((600*M$9/100)+(($B22-600)*M$10/100)))+((B22*$O$14)/100),2)+$O$16</f>
        <v>75.589999999999989</v>
      </c>
      <c r="F22" s="365">
        <f ca="1">ROUND($O$8+(((600*O$9/100)+(($B22-600)*O$10/100)))+((B22*$O$15)/100),2)+$O$17</f>
        <v>77.809999999999988</v>
      </c>
      <c r="H22" s="366">
        <f ca="1">F22-D22</f>
        <v>2.2199999999999989</v>
      </c>
      <c r="J22" s="367">
        <f t="shared" ca="1" si="0"/>
        <v>2.9368964148696906E-2</v>
      </c>
      <c r="K22" s="367"/>
      <c r="M22" s="620" t="s">
        <v>1472</v>
      </c>
      <c r="O22" s="343">
        <f ca="1">'Exhibit No.__(RMM-2)pg1'!S16</f>
        <v>-0.06</v>
      </c>
      <c r="R22" s="371">
        <f t="shared" si="1"/>
        <v>8.3988888888888873</v>
      </c>
      <c r="S22" s="371">
        <f t="shared" ca="1" si="2"/>
        <v>8.6455555555555534</v>
      </c>
      <c r="T22" s="371"/>
    </row>
    <row r="23" spans="2:20">
      <c r="B23" s="364">
        <v>1000</v>
      </c>
      <c r="D23" s="365">
        <f>ROUND($M$8+(((600*M$9/100)+(($B23-600)*M$10/100)))+((B23*$O$14)/100),2)+$O$16</f>
        <v>85</v>
      </c>
      <c r="F23" s="365">
        <f ca="1">ROUND($O$8+(((600*O$9/100)+(($B23-600)*O$10/100)))+((B23*$O$15)/100),2)+$O$17</f>
        <v>87.46</v>
      </c>
      <c r="H23" s="366">
        <f ca="1">F23-D23</f>
        <v>2.4599999999999937</v>
      </c>
      <c r="J23" s="367">
        <f t="shared" ca="1" si="0"/>
        <v>2.8941176470588161E-2</v>
      </c>
      <c r="K23" s="367"/>
      <c r="R23" s="371">
        <f t="shared" si="1"/>
        <v>8.5</v>
      </c>
      <c r="S23" s="371">
        <f t="shared" ca="1" si="2"/>
        <v>8.7460000000000004</v>
      </c>
      <c r="T23" s="371"/>
    </row>
    <row r="24" spans="2:20">
      <c r="D24" s="373"/>
      <c r="F24" s="373"/>
      <c r="J24" s="375"/>
      <c r="K24" s="375"/>
      <c r="R24" s="670"/>
      <c r="S24" s="670"/>
      <c r="T24" s="371"/>
    </row>
    <row r="25" spans="2:20">
      <c r="B25" s="364">
        <v>1100</v>
      </c>
      <c r="D25" s="365">
        <f>ROUND($M$8+(((600*M$9/100)+(($B25-600)*M$10/100)))+((B25*$O$14)/100),2)+$O$16</f>
        <v>94.399999999999991</v>
      </c>
      <c r="F25" s="365">
        <f ca="1">ROUND($O$8+(((600*O$9/100)+(($B25-600)*O$10/100)))+((B25*$O$15)/100),2)+$O$17</f>
        <v>97.11</v>
      </c>
      <c r="H25" s="366">
        <f ca="1">F25-D25</f>
        <v>2.710000000000008</v>
      </c>
      <c r="J25" s="367">
        <f t="shared" ca="1" si="0"/>
        <v>2.8707627118644153E-2</v>
      </c>
      <c r="K25" s="367"/>
      <c r="L25" s="687" t="s">
        <v>491</v>
      </c>
      <c r="M25" s="630">
        <f ca="1">'Exhibit No.__(RMM-2)pg2'!X18</f>
        <v>2.564283993067893E-2</v>
      </c>
      <c r="R25" s="371">
        <f t="shared" si="1"/>
        <v>8.5818181818181802</v>
      </c>
      <c r="S25" s="371">
        <f t="shared" ca="1" si="2"/>
        <v>8.8281818181818181</v>
      </c>
      <c r="T25" s="371"/>
    </row>
    <row r="26" spans="2:20">
      <c r="B26" s="364">
        <v>1200</v>
      </c>
      <c r="C26" s="501" t="s">
        <v>440</v>
      </c>
      <c r="D26" s="365">
        <f>ROUND($M$8+(((600*M$9/100)+(($B26-600)*M$10/100)))+((B26*$O$14)/100),2)+$O$16</f>
        <v>103.80999999999999</v>
      </c>
      <c r="F26" s="365">
        <f ca="1">ROUND($O$8+(((600*O$9/100)+(($B26-600)*O$10/100)))+((B26*$O$15)/100),2)+$O$17</f>
        <v>106.75999999999999</v>
      </c>
      <c r="H26" s="366">
        <f ca="1">F26-D26</f>
        <v>2.9500000000000028</v>
      </c>
      <c r="J26" s="367">
        <f t="shared" ca="1" si="0"/>
        <v>2.8417300838069582E-2</v>
      </c>
      <c r="K26" s="367"/>
      <c r="R26" s="371">
        <f t="shared" si="1"/>
        <v>8.6508333333333329</v>
      </c>
      <c r="S26" s="371">
        <f t="shared" ca="1" si="2"/>
        <v>8.8966666666666647</v>
      </c>
      <c r="T26" s="371"/>
    </row>
    <row r="27" spans="2:20">
      <c r="B27" s="364">
        <v>1300</v>
      </c>
      <c r="C27" s="501" t="s">
        <v>13</v>
      </c>
      <c r="D27" s="365">
        <f>ROUND($M$8+(((600*M$9/100)+(($B27-600)*M$10/100)))+((B27*$O$14)/100),2)+$O$16</f>
        <v>113.21</v>
      </c>
      <c r="F27" s="365">
        <f ca="1">ROUND($O$8+(((600*O$9/100)+(($B27-600)*O$10/100)))+((B27*$O$15)/100),2)+$O$17</f>
        <v>116.41</v>
      </c>
      <c r="H27" s="366">
        <f ca="1">F27-D27</f>
        <v>3.2000000000000028</v>
      </c>
      <c r="J27" s="367">
        <f t="shared" ca="1" si="0"/>
        <v>2.826605423549159E-2</v>
      </c>
      <c r="K27" s="367"/>
      <c r="L27" s="366"/>
      <c r="R27" s="371">
        <f t="shared" si="1"/>
        <v>8.7084615384615383</v>
      </c>
      <c r="S27" s="371">
        <f t="shared" ca="1" si="2"/>
        <v>8.9546153846153853</v>
      </c>
      <c r="T27" s="371"/>
    </row>
    <row r="28" spans="2:20">
      <c r="B28" s="364">
        <v>1400</v>
      </c>
      <c r="D28" s="365">
        <f>ROUND($M$8+(((600*M$9/100)+(($B28-600)*M$10/100)))+((B28*$O$14)/100),2)+$O$16</f>
        <v>122.61</v>
      </c>
      <c r="F28" s="365">
        <f ca="1">ROUND($O$8+(((600*O$9/100)+(($B28-600)*O$10/100)))+((B28*$O$15)/100),2)+$O$17</f>
        <v>126.05999999999999</v>
      </c>
      <c r="H28" s="366">
        <f ca="1">F28-D28</f>
        <v>3.4499999999999886</v>
      </c>
      <c r="J28" s="367">
        <f t="shared" ca="1" si="0"/>
        <v>2.8137998531930417E-2</v>
      </c>
      <c r="K28" s="367"/>
      <c r="R28" s="371">
        <f t="shared" si="1"/>
        <v>8.7578571428571426</v>
      </c>
      <c r="S28" s="371">
        <f t="shared" ca="1" si="2"/>
        <v>9.0042857142857127</v>
      </c>
      <c r="T28" s="371"/>
    </row>
    <row r="29" spans="2:20">
      <c r="B29" s="364">
        <v>1500</v>
      </c>
      <c r="D29" s="365">
        <f>ROUND($M$8+(((600*M$9/100)+(($B29-600)*M$10/100)))+((B29*$O$14)/100),2)+$O$16</f>
        <v>132.02000000000001</v>
      </c>
      <c r="F29" s="365">
        <f ca="1">ROUND($O$8+(((600*O$9/100)+(($B29-600)*O$10/100)))+((B29*$O$15)/100),2)+$O$17</f>
        <v>135.71</v>
      </c>
      <c r="H29" s="366">
        <f ca="1">F29-D29</f>
        <v>3.6899999999999977</v>
      </c>
      <c r="J29" s="367">
        <f t="shared" ca="1" si="0"/>
        <v>2.7950310559006191E-2</v>
      </c>
      <c r="K29" s="367"/>
      <c r="R29" s="371">
        <f t="shared" si="1"/>
        <v>8.8013333333333339</v>
      </c>
      <c r="S29" s="371">
        <f t="shared" ca="1" si="2"/>
        <v>9.0473333333333343</v>
      </c>
      <c r="T29" s="371"/>
    </row>
    <row r="30" spans="2:20">
      <c r="D30" s="373"/>
      <c r="F30" s="373"/>
      <c r="R30" s="670"/>
      <c r="S30" s="670"/>
      <c r="T30" s="371"/>
    </row>
    <row r="31" spans="2:20">
      <c r="B31" s="364">
        <v>1600</v>
      </c>
      <c r="D31" s="365">
        <f>ROUND($M$8+(((600*M$9/100)+(($B31-600)*M$10/100)))+((B31*$O$14)/100),2)+$O$16</f>
        <v>141.42000000000002</v>
      </c>
      <c r="F31" s="365">
        <f ca="1">ROUND($O$8+(((600*O$9/100)+(($B31-600)*O$10/100)))+((B31*$O$15)/100),2)+$O$17</f>
        <v>145.36000000000001</v>
      </c>
      <c r="H31" s="366">
        <f ca="1">F31-D31</f>
        <v>3.9399999999999977</v>
      </c>
      <c r="J31" s="367">
        <f t="shared" ca="1" si="0"/>
        <v>2.7860274360062207E-2</v>
      </c>
      <c r="K31" s="367"/>
      <c r="R31" s="371">
        <f t="shared" si="1"/>
        <v>8.838750000000001</v>
      </c>
      <c r="S31" s="371">
        <f t="shared" ca="1" si="2"/>
        <v>9.0850000000000009</v>
      </c>
      <c r="T31" s="371"/>
    </row>
    <row r="32" spans="2:20">
      <c r="B32" s="364">
        <v>2000</v>
      </c>
      <c r="D32" s="365">
        <f>ROUND($M$8+(((600*M$9/100)+(($B32-600)*M$10/100)))+((B32*$O$14)/100),2)+$O$16</f>
        <v>179.04000000000002</v>
      </c>
      <c r="F32" s="365">
        <f ca="1">ROUND($O$8+(((600*O$9/100)+(($B32-600)*O$10/100)))+((B32*$O$15)/100),2)+$O$17</f>
        <v>183.96</v>
      </c>
      <c r="H32" s="366">
        <f ca="1">F32-D32</f>
        <v>4.9199999999999875</v>
      </c>
      <c r="J32" s="367">
        <f t="shared" ca="1" si="0"/>
        <v>2.747989276139403E-2</v>
      </c>
      <c r="K32" s="367"/>
      <c r="R32" s="371">
        <f t="shared" si="1"/>
        <v>8.9520000000000017</v>
      </c>
      <c r="S32" s="371">
        <f t="shared" ca="1" si="2"/>
        <v>9.1980000000000004</v>
      </c>
      <c r="T32" s="371"/>
    </row>
    <row r="33" spans="2:26">
      <c r="B33" s="364">
        <v>2600</v>
      </c>
      <c r="D33" s="365">
        <f>ROUND($M$8+(((600*M$9/100)+(($B33-600)*M$10/100)))+((B33*$O$14)/100),2)+$O$16</f>
        <v>235.46</v>
      </c>
      <c r="F33" s="365">
        <f ca="1">ROUND($O$8+(((600*O$9/100)+(($B33-600)*O$10/100)))+((B33*$O$15)/100),2)+$O$17</f>
        <v>241.86</v>
      </c>
      <c r="H33" s="366">
        <f ca="1">F33-D33</f>
        <v>6.4000000000000057</v>
      </c>
      <c r="J33" s="367">
        <f t="shared" ca="1" si="0"/>
        <v>2.7180837509555786E-2</v>
      </c>
      <c r="K33" s="367"/>
      <c r="R33" s="371">
        <f t="shared" si="1"/>
        <v>9.0561538461538476</v>
      </c>
      <c r="S33" s="371">
        <f t="shared" ca="1" si="2"/>
        <v>9.3023076923076928</v>
      </c>
      <c r="T33" s="371"/>
    </row>
    <row r="34" spans="2:26">
      <c r="B34" s="376"/>
      <c r="C34" s="358"/>
      <c r="D34" s="377"/>
      <c r="E34" s="358"/>
      <c r="F34" s="377"/>
      <c r="G34" s="358"/>
      <c r="H34" s="358"/>
      <c r="I34" s="358"/>
      <c r="J34" s="378"/>
      <c r="K34" s="378"/>
      <c r="S34" s="366"/>
    </row>
    <row r="35" spans="2:26">
      <c r="B35" s="379"/>
      <c r="N35" s="501" t="s">
        <v>13</v>
      </c>
    </row>
    <row r="36" spans="2:26">
      <c r="B36" s="343" t="s">
        <v>333</v>
      </c>
      <c r="Z36" s="501" t="s">
        <v>13</v>
      </c>
    </row>
    <row r="37" spans="2:26">
      <c r="B37" s="501" t="s">
        <v>441</v>
      </c>
    </row>
    <row r="38" spans="2:26" ht="16.5">
      <c r="B38" s="380" t="s">
        <v>1473</v>
      </c>
    </row>
    <row r="39" spans="2:26">
      <c r="B39" s="380" t="s">
        <v>13</v>
      </c>
    </row>
    <row r="47" spans="2:26">
      <c r="O47" s="381"/>
    </row>
  </sheetData>
  <mergeCells count="2">
    <mergeCell ref="H7:J7"/>
    <mergeCell ref="D6:J6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A47"/>
  <sheetViews>
    <sheetView view="pageBreakPreview" zoomScale="60" zoomScaleNormal="100" workbookViewId="0"/>
  </sheetViews>
  <sheetFormatPr defaultColWidth="8.5" defaultRowHeight="15"/>
  <cols>
    <col min="1" max="1" width="1.5" style="343" customWidth="1"/>
    <col min="2" max="2" width="9.75" style="343" customWidth="1"/>
    <col min="3" max="3" width="2.875" style="343" customWidth="1"/>
    <col min="4" max="4" width="0.625" style="343" customWidth="1"/>
    <col min="5" max="5" width="8.875" style="343" bestFit="1" customWidth="1"/>
    <col min="6" max="6" width="0.875" style="343" customWidth="1"/>
    <col min="7" max="7" width="11" style="343" bestFit="1" customWidth="1"/>
    <col min="8" max="8" width="1.75" style="343" customWidth="1"/>
    <col min="9" max="9" width="11" style="343" bestFit="1" customWidth="1"/>
    <col min="10" max="10" width="2.375" style="343" customWidth="1"/>
    <col min="11" max="11" width="11" style="343" bestFit="1" customWidth="1"/>
    <col min="12" max="12" width="2" style="343" customWidth="1"/>
    <col min="13" max="13" width="11" style="343" bestFit="1" customWidth="1"/>
    <col min="14" max="14" width="2.875" style="343" customWidth="1"/>
    <col min="15" max="15" width="11" style="501" bestFit="1" customWidth="1"/>
    <col min="16" max="16" width="2" style="501" customWidth="1"/>
    <col min="17" max="17" width="11" style="501" bestFit="1" customWidth="1"/>
    <col min="18" max="19" width="2.75" style="343" customWidth="1"/>
    <col min="20" max="20" width="12.5" style="343" customWidth="1"/>
    <col min="21" max="21" width="13.5" style="343" customWidth="1"/>
    <col min="22" max="22" width="10.875" style="343" customWidth="1"/>
    <col min="23" max="23" width="16.25" style="343" customWidth="1"/>
    <col min="24" max="24" width="12.75" style="343" bestFit="1" customWidth="1"/>
    <col min="25" max="25" width="8.5" style="343" customWidth="1"/>
    <col min="26" max="26" width="2.625" style="383" customWidth="1"/>
    <col min="27" max="16384" width="8.5" style="343"/>
  </cols>
  <sheetData>
    <row r="1" spans="1:27">
      <c r="A1" s="382"/>
      <c r="B1" s="382"/>
    </row>
    <row r="2" spans="1:27">
      <c r="A2" s="382"/>
      <c r="B2" s="382"/>
      <c r="C2" s="384"/>
      <c r="D2" s="384"/>
      <c r="E2" s="384"/>
      <c r="F2" s="384"/>
      <c r="G2" s="384"/>
      <c r="H2" s="384"/>
      <c r="I2" s="384"/>
      <c r="J2" s="384"/>
      <c r="K2" s="384"/>
      <c r="L2" s="384"/>
    </row>
    <row r="3" spans="1:27" ht="18.75">
      <c r="A3" s="382"/>
      <c r="B3" s="344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45"/>
      <c r="N3" s="345"/>
      <c r="O3" s="345"/>
      <c r="P3" s="346" t="s">
        <v>13</v>
      </c>
      <c r="Q3" s="386"/>
      <c r="S3" s="386"/>
    </row>
    <row r="4" spans="1:27" ht="20.25">
      <c r="B4" s="387" t="s">
        <v>443</v>
      </c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  <c r="R4" s="387"/>
      <c r="S4" s="387"/>
    </row>
    <row r="5" spans="1:27" ht="20.25">
      <c r="B5" s="387" t="s">
        <v>324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</row>
    <row r="6" spans="1:27" ht="20.25">
      <c r="B6" s="387" t="s">
        <v>334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</row>
    <row r="7" spans="1:27" ht="20.25">
      <c r="B7" s="388" t="s">
        <v>13</v>
      </c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</row>
    <row r="8" spans="1:27" ht="18.75">
      <c r="B8" s="389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693"/>
      <c r="P8" s="693"/>
      <c r="Q8" s="694"/>
      <c r="S8" s="391"/>
    </row>
    <row r="9" spans="1:27">
      <c r="A9" s="384"/>
      <c r="B9" s="382"/>
    </row>
    <row r="10" spans="1:27" ht="15.75">
      <c r="A10" s="384"/>
      <c r="B10" s="392" t="s">
        <v>335</v>
      </c>
      <c r="C10" s="393"/>
      <c r="D10" s="393"/>
      <c r="E10" s="393"/>
      <c r="F10" s="393"/>
      <c r="G10" s="394" t="s">
        <v>336</v>
      </c>
      <c r="H10" s="394"/>
      <c r="I10" s="394"/>
      <c r="J10" s="394"/>
      <c r="K10" s="394"/>
      <c r="L10" s="394"/>
      <c r="M10" s="394"/>
      <c r="N10" s="393"/>
      <c r="O10" s="395" t="s">
        <v>327</v>
      </c>
      <c r="P10" s="395"/>
      <c r="Q10" s="395"/>
      <c r="R10" s="396"/>
      <c r="S10" s="395"/>
    </row>
    <row r="11" spans="1:27" ht="16.5" thickBot="1">
      <c r="A11" s="384"/>
      <c r="B11" s="397" t="s">
        <v>337</v>
      </c>
      <c r="C11" s="395"/>
      <c r="D11" s="683" t="s">
        <v>338</v>
      </c>
      <c r="E11" s="393"/>
      <c r="F11" s="393"/>
      <c r="G11" s="398" t="s">
        <v>339</v>
      </c>
      <c r="H11" s="398"/>
      <c r="I11" s="398"/>
      <c r="J11" s="399"/>
      <c r="K11" s="398" t="s">
        <v>412</v>
      </c>
      <c r="L11" s="398"/>
      <c r="M11" s="398"/>
      <c r="N11" s="393"/>
      <c r="O11" s="398" t="s">
        <v>114</v>
      </c>
      <c r="P11" s="398"/>
      <c r="Q11" s="398"/>
      <c r="R11" s="396"/>
      <c r="S11" s="691"/>
    </row>
    <row r="12" spans="1:27" ht="15.75">
      <c r="A12" s="384"/>
      <c r="B12" s="400" t="s">
        <v>210</v>
      </c>
      <c r="C12" s="401"/>
      <c r="D12" s="684" t="s">
        <v>340</v>
      </c>
      <c r="E12" s="400" t="s">
        <v>9</v>
      </c>
      <c r="F12" s="393"/>
      <c r="G12" s="403" t="s">
        <v>341</v>
      </c>
      <c r="H12" s="404"/>
      <c r="I12" s="403" t="s">
        <v>342</v>
      </c>
      <c r="J12" s="393"/>
      <c r="K12" s="403" t="s">
        <v>341</v>
      </c>
      <c r="L12" s="404"/>
      <c r="M12" s="403" t="s">
        <v>342</v>
      </c>
      <c r="N12" s="393"/>
      <c r="O12" s="403" t="s">
        <v>341</v>
      </c>
      <c r="P12" s="393"/>
      <c r="Q12" s="403" t="s">
        <v>342</v>
      </c>
      <c r="R12" s="396"/>
      <c r="S12" s="397"/>
      <c r="T12" s="405"/>
      <c r="U12" s="406" t="s">
        <v>328</v>
      </c>
      <c r="V12" s="407"/>
      <c r="W12" s="406"/>
      <c r="X12" s="406" t="s">
        <v>329</v>
      </c>
      <c r="Y12" s="407"/>
    </row>
    <row r="13" spans="1:27" ht="15.75">
      <c r="A13" s="384"/>
      <c r="B13" s="393"/>
      <c r="C13" s="393"/>
      <c r="D13" s="393"/>
      <c r="E13" s="393"/>
      <c r="F13" s="393"/>
      <c r="G13" s="401"/>
      <c r="H13" s="401"/>
      <c r="I13" s="401"/>
      <c r="J13" s="401"/>
      <c r="K13" s="401"/>
      <c r="L13" s="401"/>
      <c r="M13" s="401"/>
      <c r="N13" s="396"/>
      <c r="O13" s="396"/>
      <c r="P13" s="396"/>
      <c r="Q13" s="396"/>
      <c r="R13" s="396"/>
      <c r="S13" s="396"/>
      <c r="T13" s="408" t="s">
        <v>208</v>
      </c>
      <c r="U13" s="372" t="s">
        <v>343</v>
      </c>
      <c r="V13" s="409" t="s">
        <v>344</v>
      </c>
      <c r="W13" s="372"/>
      <c r="X13" s="372" t="s">
        <v>343</v>
      </c>
      <c r="Y13" s="409" t="s">
        <v>344</v>
      </c>
    </row>
    <row r="14" spans="1:27" ht="15.75">
      <c r="A14" s="384"/>
      <c r="B14" s="393">
        <v>15</v>
      </c>
      <c r="C14" s="393"/>
      <c r="D14" s="393">
        <v>100</v>
      </c>
      <c r="E14" s="410">
        <v>5000</v>
      </c>
      <c r="F14" s="411">
        <f>E14/($B$14*730)</f>
        <v>0.45662100456621002</v>
      </c>
      <c r="G14" s="412">
        <f>ROUND($U$15+IF($E14&gt;1000,IF($E14&gt;9000,(1000*U$21/100)+(8000*U$22/100)+(($E14-(9000))*U$23/100),(1000*U$21/100)+(($E14-1000)*U$22/100)),($E14*$U$21)/100)+IF(B$14&gt;T$18,$U$18*($B$14-T$18),0)+IF(B$14&gt;T$20,$U$20*($B$14-T$20),0),2)+X$29</f>
        <v>414.57</v>
      </c>
      <c r="H14" s="412"/>
      <c r="I14" s="412">
        <f>ROUND($V$15+IF($E14&gt;1000,IF($E14&gt;9000,(1000*V$21/100)+(8000*V$22/100)+(($E14-(9000))*V$23/100),(1000*V$21/100)+(($E14-1000)*V$22/100)),($E14*$V$21)/100)+IF(B$14&gt;T$18,$V$18*($B$14-T$18),0)+IF(B$14&gt;T$20,$V$20*($B$14-T$20),0),2)+X$29</f>
        <v>419.41</v>
      </c>
      <c r="J14" s="412"/>
      <c r="K14" s="412">
        <f ca="1">ROUND($X$15+IF($E14&gt;1000,IF($E14&gt;9000,(1000*X$21/100)+(8000*X$22/100)+(($E14-9000)*X$23/100),(1000*X$21/100)+(($E14-1000)*X$22/100)),($E14*$X$21)/100)+IF(B$14&gt;W$18,$X$18*($B$14-W$18),0)+IF(B$14&gt;W$20,$X$20*($B$14-W$20),0),2)+X30</f>
        <v>427.42</v>
      </c>
      <c r="L14" s="412"/>
      <c r="M14" s="412">
        <f ca="1">ROUND($Y$15+IF($E14&gt;1000,IF($E14&gt;9000,(1000*Y$21/100)+(8000*Y$22/100)+(($E14-9000)*Y$23/100),(1000*Y$21/100)+(($E14-1000)*Y$22/100)),($E14*$Y$21)/100)+IF(B$14&gt;W$18,$Y$18*($B$14-W$18),0)+IF(B$14&gt;W$20,$Y$20*($B$14-W$20),0),2)+X30</f>
        <v>432.26</v>
      </c>
      <c r="N14" s="393"/>
      <c r="O14" s="413">
        <f ca="1">ROUND(K14/G14-1,4)</f>
        <v>3.1E-2</v>
      </c>
      <c r="P14" s="393"/>
      <c r="Q14" s="413">
        <f ca="1">ROUND(M14/I14-1,4)</f>
        <v>3.0599999999999999E-2</v>
      </c>
      <c r="R14" s="396"/>
      <c r="S14" s="413"/>
      <c r="T14" s="408" t="s">
        <v>345</v>
      </c>
      <c r="U14" s="414">
        <f>'Exhibit No.__(RMM-3)'!D175</f>
        <v>9.86</v>
      </c>
      <c r="V14" s="360">
        <f>'Exhibit No.__(RMM-3)'!D176</f>
        <v>14.7</v>
      </c>
      <c r="W14" s="415"/>
      <c r="X14" s="414">
        <f>'Exhibit No.__(RMM-3)'!J210</f>
        <v>9.86</v>
      </c>
      <c r="Y14" s="360">
        <f>'Exhibit No.__(RMM-3)'!J211</f>
        <v>14.7</v>
      </c>
      <c r="Z14" s="416"/>
      <c r="AA14" s="366"/>
    </row>
    <row r="15" spans="1:27" ht="15.75">
      <c r="A15" s="384"/>
      <c r="B15" s="393"/>
      <c r="C15" s="393"/>
      <c r="D15" s="393">
        <v>200</v>
      </c>
      <c r="E15" s="410">
        <v>7500</v>
      </c>
      <c r="F15" s="411">
        <f>E15/($B$14*730)</f>
        <v>0.68493150684931503</v>
      </c>
      <c r="G15" s="412">
        <f>ROUND($U$15+IF($E15&gt;1000,IF($E15&gt;9000,(1000*U$21/100)+(8000*U$22/100)+(($E15-(9000))*U$23/100),(1000*U$21/100)+(($E15-1000)*U$22/100)),($E15*$U$21)/100)+IF(B$14&gt;T$18,$U$18*($B$14-T$18),0)+IF(B$14&gt;T$20,$U$20*($B$14-T$20),0),2)+X$29</f>
        <v>598.52</v>
      </c>
      <c r="H15" s="412"/>
      <c r="I15" s="412">
        <f>ROUND($V$15+IF($E15&gt;1000,IF($E15&gt;9000,(1000*V$21/100)+(8000*V$22/100)+(($E15-(9000))*V$23/100),(1000*V$21/100)+(($E15-1000)*V$22/100)),($E15*$V$21)/100)+IF(B$14&gt;T$18,$V$18*($B$14-T$18),0)+IF(B$14&gt;T$20,$V$20*($B$14-T$20),0),2)+X$29</f>
        <v>603.3599999999999</v>
      </c>
      <c r="J15" s="412"/>
      <c r="K15" s="412">
        <f ca="1">ROUND($X$15+IF($E15&gt;1000,IF($E15&gt;9000,(1000*X$21/100)+(8000*X$22/100)+(($E15-9000)*X$23/100),(1000*X$21/100)+(($E15-1000)*X$22/100)),($E15*$X$21)/100)+IF(B$14&gt;W$18,$X$18*($B$14-W$18),0)+IF(B$14&gt;W$20,$X$20*($B$14-W$20),0),2)+X30</f>
        <v>617.79999999999995</v>
      </c>
      <c r="L15" s="412"/>
      <c r="M15" s="412">
        <f ca="1">ROUND($Y$15+IF($E15&gt;1000,IF($E15&gt;9000,(1000*Y$21/100)+(8000*Y$22/100)+(($E15-9000)*Y$23/100),(1000*Y$21/100)+(($E15-1000)*Y$22/100)),($E15*$Y$21)/100)+IF(B$14&gt;W$18,$Y$18*($B$14-W$18),0)+IF(B$14&gt;W$20,$Y$20*($B$14-W$20),0),2)+X30</f>
        <v>622.64</v>
      </c>
      <c r="N15" s="393"/>
      <c r="O15" s="413">
        <f t="shared" ref="O15:O16" ca="1" si="0">ROUND(K15/G15-1,4)</f>
        <v>3.2199999999999999E-2</v>
      </c>
      <c r="P15" s="393"/>
      <c r="Q15" s="413">
        <f t="shared" ref="Q15:Q32" ca="1" si="1">ROUND(M15/I15-1,4)</f>
        <v>3.2000000000000001E-2</v>
      </c>
      <c r="R15" s="396"/>
      <c r="S15" s="413"/>
      <c r="T15" s="408" t="s">
        <v>346</v>
      </c>
      <c r="U15" s="414">
        <f>U14</f>
        <v>9.86</v>
      </c>
      <c r="V15" s="360">
        <f>V14</f>
        <v>14.7</v>
      </c>
      <c r="W15" s="415"/>
      <c r="X15" s="414">
        <f>X14</f>
        <v>9.86</v>
      </c>
      <c r="Y15" s="360">
        <f>Y14</f>
        <v>14.7</v>
      </c>
    </row>
    <row r="16" spans="1:27" ht="15.75">
      <c r="A16" s="384"/>
      <c r="B16" s="393"/>
      <c r="C16" s="393"/>
      <c r="D16" s="393">
        <v>300</v>
      </c>
      <c r="E16" s="410">
        <v>10000</v>
      </c>
      <c r="F16" s="411">
        <f>E16/($B$14*730)</f>
        <v>0.91324200913242004</v>
      </c>
      <c r="G16" s="412">
        <f>ROUND($U$15+IF($E16&gt;1000,IF($E16&gt;9000,(1000*U$21/100)+(8000*U$22/100)+(($E16-(9000))*U$23/100),(1000*U$21/100)+(($E16-1000)*U$22/100)),($E16*$U$21)/100)+IF(B$14&gt;T$18,$U$18*($B$14-T$18),0)+IF(B$14&gt;T$20,$U$20*($B$14-T$20),0),2)+X$29</f>
        <v>777.26</v>
      </c>
      <c r="H16" s="412"/>
      <c r="I16" s="412">
        <f>ROUND($V$15+IF($E16&gt;1000,IF($E16&gt;9000,(1000*V$21/100)+(8000*V$22/100)+(($E16-(9000))*V$23/100),(1000*V$21/100)+(($E16-1000)*V$22/100)),($E16*$V$21)/100)+IF(B$14&gt;T$18,$V$18*($B$14-T$18),0)+IF(B$14&gt;T$20,$V$20*($B$14-T$20),0),2)+X$29</f>
        <v>782.09999999999991</v>
      </c>
      <c r="J16" s="412"/>
      <c r="K16" s="412">
        <f ca="1">ROUND($X$15+IF($E16&gt;1000,IF($E16&gt;9000,(1000*X$21/100)+(8000*X$22/100)+(($E16-9000)*X$23/100),(1000*X$21/100)+(($E16-1000)*X$22/100)),($E16*$X$21)/100)+IF(B$14&gt;W$18,$X$18*($B$14-W$18),0)+IF(B$14&gt;W$20,$X$20*($B$14-W$20),0),2)+X30</f>
        <v>802.95999999999992</v>
      </c>
      <c r="L16" s="412"/>
      <c r="M16" s="412">
        <f ca="1">ROUND($Y$15+IF($E16&gt;1000,IF($E16&gt;9000,(1000*Y$21/100)+(8000*Y$22/100)+(($E16-9000)*Y$23/100),(1000*Y$21/100)+(($E16-1000)*Y$22/100)),($E16*$Y$21)/100)+IF(B$14&gt;W$18,$Y$18*($B$14-W$18),0)+IF(B$14&gt;W$20,$Y$20*($B$14-W$20),0),2)+X30</f>
        <v>807.8</v>
      </c>
      <c r="N16" s="393"/>
      <c r="O16" s="413">
        <f t="shared" ca="1" si="0"/>
        <v>3.3099999999999997E-2</v>
      </c>
      <c r="P16" s="393"/>
      <c r="Q16" s="413">
        <f t="shared" ca="1" si="1"/>
        <v>3.2899999999999999E-2</v>
      </c>
      <c r="R16" s="396"/>
      <c r="S16" s="413"/>
      <c r="T16" s="408"/>
      <c r="U16" s="372"/>
      <c r="V16" s="409"/>
      <c r="W16" s="372"/>
      <c r="X16" s="414"/>
      <c r="Y16" s="360"/>
    </row>
    <row r="17" spans="1:27" ht="15.75">
      <c r="A17" s="384"/>
      <c r="B17" s="396"/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408" t="s">
        <v>208</v>
      </c>
      <c r="U17" s="414"/>
      <c r="V17" s="360"/>
      <c r="W17" s="417" t="s">
        <v>208</v>
      </c>
      <c r="X17" s="414"/>
      <c r="Y17" s="360"/>
    </row>
    <row r="18" spans="1:27" ht="15.75">
      <c r="A18" s="384"/>
      <c r="B18" s="393">
        <v>25</v>
      </c>
      <c r="C18" s="393"/>
      <c r="D18" s="393">
        <v>150</v>
      </c>
      <c r="E18" s="410">
        <f>ROUND((B$18*D18),0)</f>
        <v>3750</v>
      </c>
      <c r="F18" s="411">
        <f>E18/($B$18*730)</f>
        <v>0.20547945205479451</v>
      </c>
      <c r="G18" s="412">
        <f>ROUND($U$15+IF($E18&gt;1000,IF($E18&gt;9000,(1000*U$21/100)+(8000*U$22/100)+(($E18-9000)*U$23/100),(1000*U$21/100)+(($E18-1000)*U$22/100)),($E18*$U$21)/100)+IF(B$18&gt;T$18,$U$18*($B$18-T$18),0)+IF(B$18&gt;T$20,$U$20*($B$18-T$20),0),2)+X29</f>
        <v>371.1</v>
      </c>
      <c r="H18" s="412"/>
      <c r="I18" s="412">
        <f>ROUND($V$15+IF($E18&gt;1000,IF($E18&gt;9000,(1000*V$21/100)+(8000*V$22/100)+(($E18-9000)*V$23/100),(1000*V$21/100)+(($E18-1000)*V$22/100)),($E18*$V$21)/100)+IF(B$18&gt;T$18,$V$18*($B$18-T$18),0)+IF(B$18&gt;T$20,$V$20*($B$18-T$20),0),2)+X29</f>
        <v>375.94</v>
      </c>
      <c r="J18" s="412"/>
      <c r="K18" s="412">
        <f ca="1">ROUND($X$15+IF($E18&gt;1000,IF($E18&gt;9000,(1000*X$21/100)+(8000*X$22/100)+(($E18-9000)*X$23/100),(1000*X$21/100)+(($E18-1000)*X$22/100)),($E18*$X$21)/100)+IF(B$18&gt;W$18,$X$18*($B$18-W$18),0)+IF(B$18&gt;W$20,$X$20*($B$18-W$20),0),2)+X30</f>
        <v>380.73</v>
      </c>
      <c r="L18" s="412"/>
      <c r="M18" s="412">
        <f ca="1">ROUND($Y$15+IF($E18&gt;1000,IF($E18&gt;9000,(1000*Y$21/100)+(8000*Y$22/100)+(($E18-9000)*Y$23/100),(1000*Y$21/100)+(($E18-1000)*Y$22/100)),($E18*$Y$21)/100)+IF(B$18&gt;W$18,$Y$18*($B$18-W$18),0)+IF(B$18&gt;W$20,$Y$20*($B$18-W$20),0),2)+X30</f>
        <v>385.57</v>
      </c>
      <c r="N18" s="393"/>
      <c r="O18" s="413">
        <f t="shared" ref="O18:O20" ca="1" si="2">ROUND(K18/G18-1,4)</f>
        <v>2.5899999999999999E-2</v>
      </c>
      <c r="P18" s="393"/>
      <c r="Q18" s="413">
        <f t="shared" ca="1" si="1"/>
        <v>2.5600000000000001E-2</v>
      </c>
      <c r="R18" s="396"/>
      <c r="S18" s="413"/>
      <c r="T18" s="418">
        <v>15</v>
      </c>
      <c r="U18" s="414">
        <f>'Exhibit No.__(RMM-3)'!D177</f>
        <v>1.04</v>
      </c>
      <c r="V18" s="360">
        <f>U18</f>
        <v>1.04</v>
      </c>
      <c r="W18" s="419">
        <v>15</v>
      </c>
      <c r="X18" s="414">
        <f>'Exhibit No.__(RMM-3)'!J212</f>
        <v>1.04</v>
      </c>
      <c r="Y18" s="360">
        <f>X18</f>
        <v>1.04</v>
      </c>
      <c r="AA18" s="366"/>
    </row>
    <row r="19" spans="1:27" ht="15.75">
      <c r="A19" s="384"/>
      <c r="B19" s="393"/>
      <c r="C19" s="393"/>
      <c r="D19" s="393">
        <v>200</v>
      </c>
      <c r="E19" s="410">
        <f>ROUND((B$18*D19),0)</f>
        <v>5000</v>
      </c>
      <c r="F19" s="411">
        <f>E19/($B$18*730)</f>
        <v>0.27397260273972601</v>
      </c>
      <c r="G19" s="412">
        <f>ROUND($U$15+IF($E19&gt;1000,IF($E19&gt;9000,(1000*U$21/100)+(8000*U$22/100)+(($E19-9000)*U$23/100),(1000*U$21/100)+(($E19-1000)*U$22/100)),($E19*$U$21)/100)+IF(B$18&gt;T$18,$U$18*($B$18-T$18),0)+IF(B$18&gt;T$20,$U$20*($B$18-T$20),0),2)+X29</f>
        <v>463.07</v>
      </c>
      <c r="H19" s="412"/>
      <c r="I19" s="412">
        <f>ROUND($V$15+IF($E19&gt;1000,IF($E19&gt;9000,(1000*V$21/100)+(8000*V$22/100)+(($E19-9000)*V$23/100),(1000*V$21/100)+(($E19-1000)*V$22/100)),($E19*$V$21)/100)+IF(B$18&gt;T$18,$V$18*($B$18-T$18),0)+IF(B$18&gt;T$20,$V$20*($B$18-T$20),0),2)+X29</f>
        <v>467.91</v>
      </c>
      <c r="J19" s="412"/>
      <c r="K19" s="412">
        <f ca="1">ROUND($X$15+IF($E19&gt;1000,IF($E19&gt;9000,(1000*X$21/100)+(8000*X$22/100)+(($E19-9000)*X$23/100),(1000*X$21/100)+(($E19-1000)*X$22/100)),($E19*$X$21)/100)+IF(B$18&gt;W$18,$X$18*($B$18-W$18),0)+IF(B$18&gt;W$20,$X$20*($B$18-W$20),0),2)+X30</f>
        <v>475.92</v>
      </c>
      <c r="L19" s="412"/>
      <c r="M19" s="412">
        <f ca="1">ROUND($Y$15+IF($E19&gt;1000,IF($E19&gt;9000,(1000*Y$21/100)+(8000*Y$22/100)+(($E19-9000)*Y$23/100),(1000*Y$21/100)+(($E19-1000)*Y$22/100)),($E19*$Y$21)/100)+IF(B$18&gt;W$18,$Y$18*($B$18-W$18),0)+IF(B$18&gt;W$20,$Y$20*($B$18-W$20),0),2)+X30</f>
        <v>480.76</v>
      </c>
      <c r="N19" s="393"/>
      <c r="O19" s="413">
        <f t="shared" ca="1" si="2"/>
        <v>2.7699999999999999E-2</v>
      </c>
      <c r="P19" s="393"/>
      <c r="Q19" s="413">
        <f t="shared" ca="1" si="1"/>
        <v>2.75E-2</v>
      </c>
      <c r="R19" s="396"/>
      <c r="S19" s="413"/>
      <c r="T19" s="408" t="s">
        <v>210</v>
      </c>
      <c r="U19" s="372"/>
      <c r="V19" s="420"/>
      <c r="W19" s="372" t="s">
        <v>210</v>
      </c>
      <c r="X19" s="414"/>
      <c r="Y19" s="360"/>
    </row>
    <row r="20" spans="1:27" ht="15.75">
      <c r="A20" s="384"/>
      <c r="B20" s="393"/>
      <c r="C20" s="393"/>
      <c r="D20" s="393">
        <v>400</v>
      </c>
      <c r="E20" s="410">
        <f>ROUND((B$18*D20),0)</f>
        <v>10000</v>
      </c>
      <c r="F20" s="411">
        <f>E20/($B$18*730)</f>
        <v>0.54794520547945202</v>
      </c>
      <c r="G20" s="412">
        <f>ROUND($U$15+IF($E20&gt;1000,IF($E20&gt;9000,(1000*U$21/100)+(8000*U$22/100)+(($E20-9000)*U$23/100),(1000*U$21/100)+(($E20-1000)*U$22/100)),($E20*$U$21)/100)+IF(B$18&gt;T$18,$U$18*($B$18-T$18),0)+IF(B$18&gt;T$20,$U$20*($B$18-T$20),0),2)+X29</f>
        <v>825.76</v>
      </c>
      <c r="H20" s="412"/>
      <c r="I20" s="412">
        <f>ROUND($V$15+IF($E20&gt;1000,IF($E20&gt;9000,(1000*V$21/100)+(8000*V$22/100)+(($E20-9000)*V$23/100),(1000*V$21/100)+(($E20-1000)*V$22/100)),($E20*$V$21)/100)+IF(B$18&gt;T$18,$V$18*($B$18-T$18),0)+IF(B$18&gt;T$20,$V$20*($B$18-T$20),0),2)+X29</f>
        <v>830.59999999999991</v>
      </c>
      <c r="J20" s="412"/>
      <c r="K20" s="412">
        <f ca="1">ROUND($X$15+IF($E20&gt;1000,IF($E20&gt;9000,(1000*X$21/100)+(8000*X$22/100)+(($E20-9000)*X$23/100),(1000*X$21/100)+(($E20-1000)*X$22/100)),($E20*$X$21)/100)+IF(B$18&gt;W$18,$X$18*($B$18-W$18),0)+IF(B$18&gt;W$20,$X$20*($B$18-W$20),0),2)+X30</f>
        <v>851.45999999999992</v>
      </c>
      <c r="L20" s="412"/>
      <c r="M20" s="412">
        <f ca="1">ROUND($Y$15+IF($E20&gt;1000,IF($E20&gt;9000,(1000*Y$21/100)+(8000*Y$22/100)+(($E20-9000)*Y$23/100),(1000*Y$21/100)+(($E20-1000)*Y$22/100)),($E20*$Y$21)/100)+IF(B$18&gt;W$18,$Y$18*($B$18-W$18),0)+IF(B$18&gt;W$20,$Y$20*($B$18-W$20),0),2)+X30</f>
        <v>856.3</v>
      </c>
      <c r="N20" s="393"/>
      <c r="O20" s="413">
        <f t="shared" ca="1" si="2"/>
        <v>3.1099999999999999E-2</v>
      </c>
      <c r="P20" s="393"/>
      <c r="Q20" s="413">
        <f t="shared" ca="1" si="1"/>
        <v>3.09E-2</v>
      </c>
      <c r="R20" s="396"/>
      <c r="S20" s="413"/>
      <c r="T20" s="418">
        <v>15</v>
      </c>
      <c r="U20" s="414">
        <f>'Exhibit No.__(RMM-3)'!D180</f>
        <v>3.81</v>
      </c>
      <c r="V20" s="360">
        <f>U20</f>
        <v>3.81</v>
      </c>
      <c r="W20" s="421">
        <v>15</v>
      </c>
      <c r="X20" s="414">
        <f>('Exhibit No.__(RMM-3)'!J214)</f>
        <v>3.81</v>
      </c>
      <c r="Y20" s="360">
        <f>X20</f>
        <v>3.81</v>
      </c>
      <c r="AA20" s="366"/>
    </row>
    <row r="21" spans="1:27" ht="15.75">
      <c r="A21" s="384"/>
      <c r="B21" s="396"/>
      <c r="C21" s="396"/>
      <c r="D21" s="396"/>
      <c r="E21" s="396"/>
      <c r="F21" s="411"/>
      <c r="G21" s="422"/>
      <c r="H21" s="422"/>
      <c r="I21" s="422"/>
      <c r="J21" s="422"/>
      <c r="K21" s="422"/>
      <c r="L21" s="422"/>
      <c r="M21" s="422"/>
      <c r="N21" s="396"/>
      <c r="O21" s="413"/>
      <c r="P21" s="396"/>
      <c r="Q21" s="396"/>
      <c r="R21" s="396"/>
      <c r="S21" s="396"/>
      <c r="T21" s="408" t="s">
        <v>347</v>
      </c>
      <c r="U21" s="423">
        <f>'Exhibit No.__(RMM-3)'!D181+X25+X32</f>
        <v>10.882999999999999</v>
      </c>
      <c r="V21" s="362">
        <f>U21</f>
        <v>10.882999999999999</v>
      </c>
      <c r="W21" s="372" t="s">
        <v>347</v>
      </c>
      <c r="X21" s="423">
        <f ca="1">'Exhibit No.__(RMM-3)'!J215+X26+X33+X35</f>
        <v>11.14</v>
      </c>
      <c r="Y21" s="424">
        <f ca="1">X21</f>
        <v>11.14</v>
      </c>
      <c r="AA21" s="363"/>
    </row>
    <row r="22" spans="1:27" ht="15.75">
      <c r="A22" s="384"/>
      <c r="B22" s="393">
        <v>50</v>
      </c>
      <c r="C22" s="393"/>
      <c r="D22" s="393">
        <f>D18</f>
        <v>150</v>
      </c>
      <c r="E22" s="410">
        <f>ROUND((B$22*D22),0)</f>
        <v>7500</v>
      </c>
      <c r="F22" s="411">
        <f>E22/($B$22*730)</f>
        <v>0.20547945205479451</v>
      </c>
      <c r="G22" s="412">
        <f>ROUND($U$15+IF($E22&gt;1000,IF($E22&gt;9000,(1000*U$21/100)+(8000*U$22/100)+(($E22-9000)*U$23/100),(1000*U$21/100)+(($E22-1000)*U$22/100)),($E22*$U$21)/100)+IF(B$22&gt;T$18,$U$18*($B$22-T$18),0)+IF(B$22&gt;T$20,$U$20*($B$22-T$20),0),2)+X29</f>
        <v>768.27</v>
      </c>
      <c r="H22" s="412"/>
      <c r="I22" s="412">
        <f>ROUND($V$15+IF($E22&gt;1000,IF($E22&gt;9000,(1000*V$21/100)+(8000*V$22/100)+(($E22-9000)*V$23/100),(1000*V$21/100)+(($E22-1000)*V$22/100)),($E22*$V$21)/100)+IF(B$22&gt;T$18,$V$18*($B$22-T$18),0)+IF(B$22&gt;T$20,$V$20*($B$22-T$20),0),2)+X29</f>
        <v>773.1099999999999</v>
      </c>
      <c r="J22" s="412"/>
      <c r="K22" s="412">
        <f ca="1">ROUND($X$15+IF($E22&gt;1000,IF($E22&gt;9000,(1000*X$21/100)+(8000*X$22/100)+(($E22-9000)*X$23/100),(1000*X$21/100)+(($E22-1000)*X$22/100)),($E22*$X$21)/100)+IF(B$22&gt;W$18,$X$18*($B$22-W$18),0)+IF(B$22&gt;W$20,$X$20*($B$22-W$20),0),2)+X30</f>
        <v>787.55</v>
      </c>
      <c r="L22" s="412"/>
      <c r="M22" s="412">
        <f ca="1">ROUND($Y$15+IF($E22&gt;1000,IF($E22&gt;9000,(1000*Y$21/100)+(8000*Y$22/100)+(($E22-9000)*Y$23/100),(1000*Y$21/100)+(($E22-1000)*Y$22/100)),($E22*$Y$21)/100)+IF(B$22&gt;W$18,$Y$18*($B$22-W$18),0)+IF(B$22&gt;W$20,$Y$20*($B$22-W$20),0),2)+X30</f>
        <v>792.39</v>
      </c>
      <c r="N22" s="393"/>
      <c r="O22" s="413">
        <f t="shared" ref="O22:O24" ca="1" si="3">ROUND(K22/G22-1,4)</f>
        <v>2.5100000000000001E-2</v>
      </c>
      <c r="P22" s="393"/>
      <c r="Q22" s="413">
        <f t="shared" ca="1" si="1"/>
        <v>2.4899999999999999E-2</v>
      </c>
      <c r="R22" s="396"/>
      <c r="S22" s="413"/>
      <c r="T22" s="408" t="s">
        <v>348</v>
      </c>
      <c r="U22" s="423">
        <f>'Exhibit No.__(RMM-3)'!D182+X25+X32</f>
        <v>7.3579999999999997</v>
      </c>
      <c r="V22" s="362">
        <f>U22</f>
        <v>7.3579999999999997</v>
      </c>
      <c r="W22" s="408" t="s">
        <v>348</v>
      </c>
      <c r="X22" s="423">
        <f ca="1">'Exhibit No.__(RMM-3)'!J216+X26+X33+X35</f>
        <v>7.6150000000000002</v>
      </c>
      <c r="Y22" s="424">
        <f ca="1">X22</f>
        <v>7.6150000000000002</v>
      </c>
      <c r="AA22" s="363"/>
    </row>
    <row r="23" spans="1:27" ht="15.75">
      <c r="B23" s="393"/>
      <c r="C23" s="393"/>
      <c r="D23" s="393">
        <f>D19</f>
        <v>200</v>
      </c>
      <c r="E23" s="410">
        <f>ROUND((B$22*D23),0)</f>
        <v>10000</v>
      </c>
      <c r="F23" s="411">
        <f>E23/($B$22*730)</f>
        <v>0.27397260273972601</v>
      </c>
      <c r="G23" s="412">
        <f>ROUND($U$15+IF($E23&gt;1000,IF($E23&gt;9000,(1000*U$21/100)+(8000*U$22/100)+(($E23-9000)*U$23/100),(1000*U$21/100)+(($E23-1000)*U$22/100)),($E23*$U$21)/100)+IF(B$22&gt;T$18,$U$18*($B$22-T$18),0)+IF(B$22&gt;T$20,$U$20*($B$22-T$20),0),2)+X29</f>
        <v>947.01</v>
      </c>
      <c r="H23" s="412"/>
      <c r="I23" s="412">
        <f>ROUND($V$15+IF($E23&gt;1000,IF($E23&gt;9000,(1000*V$21/100)+(8000*V$22/100)+(($E23-9000)*V$23/100),(1000*V$21/100)+(($E23-1000)*V$22/100)),($E23*$V$21)/100)+IF(B$22&gt;T$18,$V$18*($B$22-T$18),0)+IF(B$22&gt;T$20,$V$20*($B$22-T$20),0),2)+X29</f>
        <v>951.84999999999991</v>
      </c>
      <c r="J23" s="412"/>
      <c r="K23" s="412">
        <f ca="1">ROUND($X$15+IF($E23&gt;1000,IF($E23&gt;9000,(1000*X$21/100)+(8000*X$22/100)+(($E23-9000)*X$23/100),(1000*X$21/100)+(($E23-1000)*X$22/100)),($E23*$X$21)/100)+IF(B$22&gt;W$18,$X$18*($B$22-W$18),0)+IF(B$22&gt;W$20,$X$20*($B$22-W$20),0),2)+X30</f>
        <v>972.70999999999992</v>
      </c>
      <c r="L23" s="412"/>
      <c r="M23" s="412">
        <f ca="1">ROUND($Y$15+IF($E23&gt;1000,IF($E23&gt;9000,(1000*Y$21/100)+(8000*Y$22/100)+(($E23-9000)*Y$23/100),(1000*Y$21/100)+(($E23-1000)*Y$22/100)),($E23*$Y$21)/100)+IF(B$22&gt;W$18,$Y$18*($B$22-W$18),0)+IF(B$22&gt;W$20,$Y$20*($B$22-W$20),0),2)+X30</f>
        <v>977.55</v>
      </c>
      <c r="N23" s="393"/>
      <c r="O23" s="413">
        <f t="shared" ca="1" si="3"/>
        <v>2.7099999999999999E-2</v>
      </c>
      <c r="P23" s="393"/>
      <c r="Q23" s="413">
        <f t="shared" ca="1" si="1"/>
        <v>2.7E-2</v>
      </c>
      <c r="R23" s="396"/>
      <c r="S23" s="413"/>
      <c r="T23" s="408" t="s">
        <v>349</v>
      </c>
      <c r="U23" s="423">
        <f>'Exhibit No.__(RMM-3)'!D183+X25+X32</f>
        <v>6.8369999999999997</v>
      </c>
      <c r="V23" s="362">
        <f>U23</f>
        <v>6.8369999999999997</v>
      </c>
      <c r="W23" s="408" t="s">
        <v>349</v>
      </c>
      <c r="X23" s="423">
        <f ca="1">'Exhibit No.__(RMM-3)'!J217+X26+X33+X35</f>
        <v>7.0939999999999994</v>
      </c>
      <c r="Y23" s="424">
        <f ca="1">X23</f>
        <v>7.0939999999999994</v>
      </c>
      <c r="Z23" s="416"/>
      <c r="AA23" s="366"/>
    </row>
    <row r="24" spans="1:27" ht="16.5" thickBot="1">
      <c r="A24" s="384"/>
      <c r="B24" s="393"/>
      <c r="C24" s="393"/>
      <c r="D24" s="393">
        <f>D20</f>
        <v>400</v>
      </c>
      <c r="E24" s="410">
        <f>ROUND((B$22*D24),0)</f>
        <v>20000</v>
      </c>
      <c r="F24" s="411">
        <f>E24/($B$22*730)</f>
        <v>0.54794520547945202</v>
      </c>
      <c r="G24" s="412">
        <f>ROUND($U$15+IF($E24&gt;1000,IF($E24&gt;9000,(1000*U$21/100)+(8000*U$22/100)+(($E24-9000)*U$23/100),(1000*U$21/100)+(($E24-1000)*U$22/100)),($E24*$U$21)/100)+IF(B$22&gt;T$18,$U$18*($B$22-T$18),0)+IF(B$22&gt;T$20,$U$20*($B$22-T$20),0),2)+X29</f>
        <v>1630.71</v>
      </c>
      <c r="H24" s="412"/>
      <c r="I24" s="412">
        <f>ROUND($V$15+IF($E24&gt;1000,IF($E24&gt;9000,(1000*V$21/100)+(8000*V$22/100)+(($E24-9000)*V$23/100),(1000*V$21/100)+(($E24-1000)*V$22/100)),($E24*$V$21)/100)+IF(B$22&gt;T$18,$V$18*($B$22-T$18),0)+IF(B$22&gt;T$20,$V$20*($B$22-T$20),0),2)+X29</f>
        <v>1635.55</v>
      </c>
      <c r="J24" s="412"/>
      <c r="K24" s="412">
        <f ca="1">ROUND($X$15+IF($E24&gt;1000,IF($E24&gt;9000,(1000*X$21/100)+(8000*X$22/100)+(($E24-9000)*X$23/100),(1000*X$21/100)+(($E24-1000)*X$22/100)),($E24*$X$21)/100)+IF(B$22&gt;W$18,$X$18*($B$22-W$18),0)+IF(B$22&gt;W$20,$X$20*($B$22-W$20),0),2)+X30</f>
        <v>1682.11</v>
      </c>
      <c r="L24" s="412"/>
      <c r="M24" s="412">
        <f ca="1">ROUND($Y$15+IF($E24&gt;1000,IF($E24&gt;9000,(1000*Y$21/100)+(8000*Y$22/100)+(($E24-9000)*Y$23/100),(1000*Y$21/100)+(($E24-1000)*Y$22/100)),($E24*$Y$21)/100)+IF(B$22&gt;W$18,$Y$18*($B$22-W$18),0)+IF(B$22&gt;W$20,$Y$20*($B$22-W$20),0),2)+X30</f>
        <v>1686.95</v>
      </c>
      <c r="N24" s="393"/>
      <c r="O24" s="413">
        <f t="shared" ca="1" si="3"/>
        <v>3.15E-2</v>
      </c>
      <c r="P24" s="393"/>
      <c r="Q24" s="413">
        <f t="shared" ca="1" si="1"/>
        <v>3.1399999999999997E-2</v>
      </c>
      <c r="R24" s="396"/>
      <c r="S24" s="413"/>
      <c r="T24" s="368" t="s">
        <v>13</v>
      </c>
      <c r="U24" s="425" t="s">
        <v>13</v>
      </c>
      <c r="V24" s="426" t="s">
        <v>13</v>
      </c>
      <c r="W24" s="368" t="s">
        <v>13</v>
      </c>
      <c r="X24" s="425" t="s">
        <v>13</v>
      </c>
      <c r="Y24" s="426" t="s">
        <v>13</v>
      </c>
    </row>
    <row r="25" spans="1:27" ht="15.75">
      <c r="A25" s="384"/>
      <c r="B25" s="396"/>
      <c r="C25" s="396"/>
      <c r="D25" s="396"/>
      <c r="E25" s="396"/>
      <c r="F25" s="411"/>
      <c r="G25" s="422"/>
      <c r="H25" s="422"/>
      <c r="I25" s="422"/>
      <c r="J25" s="422"/>
      <c r="K25" s="422"/>
      <c r="L25" s="422"/>
      <c r="M25" s="422"/>
      <c r="N25" s="396"/>
      <c r="O25" s="413"/>
      <c r="P25" s="396"/>
      <c r="Q25" s="396"/>
      <c r="R25" s="396"/>
      <c r="S25" s="396"/>
      <c r="V25" s="370" t="s">
        <v>88</v>
      </c>
      <c r="W25" s="370"/>
      <c r="X25" s="371">
        <v>0.28499999999999998</v>
      </c>
      <c r="Y25" s="427" t="s">
        <v>13</v>
      </c>
    </row>
    <row r="26" spans="1:27" ht="15.75">
      <c r="A26" s="384"/>
      <c r="B26" s="393">
        <v>75</v>
      </c>
      <c r="C26" s="393"/>
      <c r="D26" s="393">
        <v>333.33300000000003</v>
      </c>
      <c r="E26" s="410">
        <f>ROUND((B$26*D26),0)</f>
        <v>25000</v>
      </c>
      <c r="F26" s="411">
        <f>E26/($B$26*730)</f>
        <v>0.45662100456621002</v>
      </c>
      <c r="G26" s="412">
        <f>ROUND($U$15+IF($E26&gt;1000,IF($E26&gt;9000,(1000*U$21/100)+(8000*U$22/100)+(($E26-9000)*U$23/100),(1000*U$21/100)+(($E26-1000)*U$22/100)),($E26*$U$21)/100)+IF(B$26&gt;T$18,$U$18*($B$26-T$18),0)+IF(B$26&gt;T$20,$U$20*($B$26-T$20),0),2)+X29</f>
        <v>2093.81</v>
      </c>
      <c r="H26" s="412"/>
      <c r="I26" s="412">
        <f>ROUND($V$15+IF($E26&gt;1000,IF($E26&gt;9000,(1000*V$21/100)+(8000*V$22/100)+(($E26-9000)*V$23/100),(1000*V$21/100)+(($E26-1000)*V$22/100)),($E26*$V$21)/100)+IF(B$26&gt;T$18,$V$18*($B$26-T$18),0)+IF(B$26&gt;T$20,$V$20*($B$26-T$20),0),2)+X29</f>
        <v>2098.65</v>
      </c>
      <c r="J26" s="428"/>
      <c r="K26" s="412">
        <f ca="1">ROUND($X$15+IF($E26&gt;1000,IF($E26&gt;9000,(1000*X$21/100)+(8000*X$22/100)+(($E26-9000)*X$23/100),(1000*X$21/100)+(($E26-1000)*X$22/100)),($E26*$X$21)/100)+IF(B$26&gt;W$18,$X$18*($B$26-W$18),0)+IF(B$26&gt;W$20,$X$20*($B$26-W$20),0),2)+X30</f>
        <v>2158.06</v>
      </c>
      <c r="L26" s="412"/>
      <c r="M26" s="412">
        <f ca="1">ROUND($Y$15+IF($E26&gt;1000,IF($E26&gt;9000,(1000*Y$21/100)+(8000*Y$22/100)+(($E26-9000)*Y$23/100),(1000*Y$21/100)+(($E26-1000)*Y$22/100)),($E26*$Y$21)/100)+IF(B$26&gt;W$18,$Y$18*($B$26-W$18),0)+IF(B$26&gt;W$20,$Y$20*($B$26-W$20),0),2)+X30</f>
        <v>2162.9</v>
      </c>
      <c r="N26" s="393"/>
      <c r="O26" s="413">
        <f t="shared" ref="O26:O28" ca="1" si="4">ROUND(K26/G26-1,4)</f>
        <v>3.0700000000000002E-2</v>
      </c>
      <c r="P26" s="393"/>
      <c r="Q26" s="413">
        <f t="shared" ca="1" si="1"/>
        <v>3.0599999999999999E-2</v>
      </c>
      <c r="R26" s="396"/>
      <c r="S26" s="413"/>
      <c r="V26" s="370"/>
      <c r="W26" s="370"/>
      <c r="X26" s="371">
        <v>0.28499999999999998</v>
      </c>
      <c r="Y26" s="427" t="s">
        <v>13</v>
      </c>
    </row>
    <row r="27" spans="1:27" ht="15.75">
      <c r="B27" s="393"/>
      <c r="C27" s="393"/>
      <c r="D27" s="393">
        <v>500</v>
      </c>
      <c r="E27" s="410">
        <f>ROUND((B$26*D27),0)</f>
        <v>37500</v>
      </c>
      <c r="F27" s="411">
        <f>E27/($B$26*730)</f>
        <v>0.68493150684931503</v>
      </c>
      <c r="G27" s="412">
        <f>ROUND($U$15+IF($E27&gt;1000,IF($E27&gt;9000,(1000*U$21/100)+(8000*U$22/100)+(($E27-9000)*U$23/100),(1000*U$21/100)+(($E27-1000)*U$22/100)),($E27*$U$21)/100)+IF(B$26&gt;T$18,$U$18*($B$26-T$18),0)+IF(B$26&gt;T$20,$U$20*($B$26-T$20),0),2)+X29</f>
        <v>2948.44</v>
      </c>
      <c r="H27" s="412"/>
      <c r="I27" s="412">
        <f>ROUND($V$15+IF($E27&gt;1000,IF($E27&gt;9000,(1000*V$21/100)+(8000*V$22/100)+(($E27-9000)*V$23/100),(1000*V$21/100)+(($E27-1000)*V$22/100)),($E27*$V$21)/100)+IF(B$26&gt;T$18,$V$18*($B$26-T$18),0)+IF(B$26&gt;T$20,$V$20*($B$26-T$20),0),2)+X29</f>
        <v>2953.2799999999997</v>
      </c>
      <c r="J27" s="428"/>
      <c r="K27" s="412">
        <f ca="1">ROUND($X$15+IF($E27&gt;1000,IF($E27&gt;9000,(1000*X$21/100)+(8000*X$22/100)+(($E27-9000)*X$23/100),(1000*X$21/100)+(($E27-1000)*X$22/100)),($E27*$X$21)/100)+IF(B$26&gt;W$18,$X$18*($B$26-W$18),0)+IF(B$26&gt;W$20,$X$20*($B$26-W$20),0),2)+X30</f>
        <v>3044.81</v>
      </c>
      <c r="L27" s="412"/>
      <c r="M27" s="412">
        <f ca="1">ROUND($Y$15+IF($E27&gt;1000,IF($E27&gt;9000,(1000*Y$21/100)+(8000*Y$22/100)+(($E27-9000)*Y$23/100),(1000*Y$21/100)+(($E27-1000)*Y$22/100)),($E27*$Y$21)/100)+IF(B$26&gt;W$18,$Y$18*($B$26-W$18),0)+IF(B$26&gt;W$20,$Y$20*($B$26-W$20),0),2)+X30</f>
        <v>3049.65</v>
      </c>
      <c r="N27" s="393"/>
      <c r="O27" s="413">
        <f t="shared" ca="1" si="4"/>
        <v>3.27E-2</v>
      </c>
      <c r="P27" s="393"/>
      <c r="Q27" s="413">
        <f t="shared" ca="1" si="1"/>
        <v>3.2599999999999997E-2</v>
      </c>
      <c r="R27" s="396"/>
      <c r="S27" s="413"/>
      <c r="V27" s="370"/>
      <c r="W27" s="370"/>
      <c r="X27" s="374"/>
    </row>
    <row r="28" spans="1:27" ht="15.75">
      <c r="A28" s="384"/>
      <c r="B28" s="393"/>
      <c r="C28" s="393"/>
      <c r="D28" s="393">
        <v>666.66600000000005</v>
      </c>
      <c r="E28" s="410">
        <f>ROUND((B$26*D28),0)</f>
        <v>50000</v>
      </c>
      <c r="F28" s="411">
        <f>E28/($B$26*730)</f>
        <v>0.91324200913242004</v>
      </c>
      <c r="G28" s="412">
        <f>ROUND($U$15+IF($E28&gt;1000,IF($E28&gt;9000,(1000*U$21/100)+(8000*U$22/100)+(($E28-9000)*U$23/100),(1000*U$21/100)+(($E28-1000)*U$22/100)),($E28*$U$21)/100)+IF(B$26&gt;T$18,$U$18*($B$26-T$18),0)+IF(B$26&gt;T$20,$U$20*($B$26-T$20),0),2)+X29</f>
        <v>3803.06</v>
      </c>
      <c r="H28" s="412"/>
      <c r="I28" s="412">
        <f>ROUND($V$15+IF($E28&gt;1000,IF($E28&gt;9000,(1000*V$21/100)+(8000*V$22/100)+(($E28-9000)*V$23/100),(1000*V$21/100)+(($E28-1000)*V$22/100)),($E28*$V$21)/100)+IF(B$26&gt;T$18,$V$18*($B$26-T$18),0)+IF(B$26&gt;T$20,$V$20*($B$26-T$20),0),2)+X29</f>
        <v>3807.9</v>
      </c>
      <c r="J28" s="428"/>
      <c r="K28" s="412">
        <f ca="1">ROUND($X$15+IF($E28&gt;1000,IF($E28&gt;9000,(1000*X$21/100)+(8000*X$22/100)+(($E28-9000)*X$23/100),(1000*X$21/100)+(($E28-1000)*X$22/100)),($E28*$X$21)/100)+IF(B$26&gt;W$18,$X$18*($B$26-W$18),0)+IF(B$26&gt;W$20,$X$20*($B$26-W$20),0),2)+X30</f>
        <v>3931.56</v>
      </c>
      <c r="L28" s="412"/>
      <c r="M28" s="412">
        <f ca="1">ROUND($Y$15+IF($E28&gt;1000,IF($E28&gt;9000,(1000*Y$21/100)+(8000*Y$22/100)+(($E28-9000)*Y$23/100),(1000*Y$21/100)+(($E28-1000)*Y$22/100)),($E28*$Y$21)/100)+IF(B$26&gt;W$18,$Y$18*($B$26-W$18),0)+IF(B$26&gt;W$20,$Y$20*($B$26-W$20),0),2)+X30</f>
        <v>3936.4</v>
      </c>
      <c r="N28" s="393"/>
      <c r="O28" s="413">
        <f t="shared" ca="1" si="4"/>
        <v>3.3799999999999997E-2</v>
      </c>
      <c r="P28" s="393"/>
      <c r="Q28" s="413">
        <f t="shared" ca="1" si="1"/>
        <v>3.3700000000000001E-2</v>
      </c>
      <c r="R28" s="396"/>
      <c r="S28" s="413"/>
      <c r="V28" s="343" t="s">
        <v>13</v>
      </c>
      <c r="X28" s="343" t="s">
        <v>13</v>
      </c>
    </row>
    <row r="29" spans="1:27" ht="15.75">
      <c r="A29" s="384"/>
      <c r="B29" s="429"/>
      <c r="C29" s="429"/>
      <c r="D29" s="429"/>
      <c r="E29" s="429"/>
      <c r="F29" s="430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V29" s="343" t="s">
        <v>417</v>
      </c>
      <c r="X29" s="366">
        <v>1.56</v>
      </c>
      <c r="Y29" s="343" t="s">
        <v>13</v>
      </c>
    </row>
    <row r="30" spans="1:27" ht="15.75">
      <c r="A30" s="384"/>
      <c r="B30" s="393">
        <v>100</v>
      </c>
      <c r="C30" s="393"/>
      <c r="D30" s="393">
        <v>333.33300000000003</v>
      </c>
      <c r="E30" s="410">
        <f>ROUND((B$26*D30),0)</f>
        <v>25000</v>
      </c>
      <c r="F30" s="411">
        <f>E30/($B$30*730)</f>
        <v>0.34246575342465752</v>
      </c>
      <c r="G30" s="412">
        <f>ROUND($U$15+IF($E30&gt;1000,IF($E30&gt;9000,(1000*U$21/100)+(8000*U$22/100)+(($E30-9000)*U$23/100),(1000*U$21/100)+(($E30-1000)*U$22/100)),($E30*$U$21)/100)+IF(B$30&gt;T$18,$U$18*($B$30-T$18),0)+IF(B$30&gt;T$20,$U$20*($B$30-T$20),0),2)+X29</f>
        <v>2215.06</v>
      </c>
      <c r="H30" s="412"/>
      <c r="I30" s="412">
        <f>ROUND($V$15+IF($E30&gt;1000,IF($E30&gt;9000,(1000*V$21/100)+(8000*V$22/100)+(($E30-9000)*V$23/100),(1000*V$21/100)+(($E30-1000)*V$22/100)),($E30*$V$21)/100)+IF(B$30&gt;T$18,$V$18*($B$30-T$18),0)+IF(B$30&gt;T$20,$V$20*($B$30-T$20),0),2)+X29</f>
        <v>2219.9</v>
      </c>
      <c r="J30" s="428"/>
      <c r="K30" s="412">
        <f ca="1">ROUND($X$15+IF($E30&gt;1000,IF($E30&gt;9000,(1000*X$21/100)+(8000*X$22/100)+(($E30-9000)*X$23/100),(1000*X$21/100)+(($E30-1000)*X$22/100)),($E30*$X$21)/100)+IF(B$30&gt;W$18,$X$18*($B$30-W$18),0)+IF(B$30&gt;W$20,$X$20*($B$30-W$20),0),2)+X30</f>
        <v>2279.31</v>
      </c>
      <c r="L30" s="412"/>
      <c r="M30" s="412">
        <f ca="1">ROUND($Y$15+IF($E30&gt;1000,IF($E30&gt;9000,(1000*Y$21/100)+(8000*Y$22/100)+(($E30-9000)*Y$23/100),(1000*Y$21/100)+(($E30-1000)*Y$22/100)),($E30*$Y$21)/100)+IF(B$30&gt;W$18,$Y$18*($B$30-W$18),0)+IF(B$30&gt;W$20,$Y$20*($B$30-W$20),0),2)+X30</f>
        <v>2284.15</v>
      </c>
      <c r="N30" s="393"/>
      <c r="O30" s="413">
        <f t="shared" ref="O30:O32" ca="1" si="5">ROUND(K30/G30-1,4)</f>
        <v>2.9000000000000001E-2</v>
      </c>
      <c r="P30" s="393"/>
      <c r="Q30" s="413">
        <f t="shared" ca="1" si="1"/>
        <v>2.8899999999999999E-2</v>
      </c>
      <c r="R30" s="396"/>
      <c r="S30" s="413"/>
      <c r="V30" s="343" t="s">
        <v>419</v>
      </c>
      <c r="W30" s="363"/>
      <c r="X30" s="366">
        <f>X29</f>
        <v>1.56</v>
      </c>
    </row>
    <row r="31" spans="1:27" ht="15.75">
      <c r="B31" s="393"/>
      <c r="C31" s="393"/>
      <c r="D31" s="393">
        <v>500</v>
      </c>
      <c r="E31" s="410">
        <f>ROUND((B$26*D31),0)</f>
        <v>37500</v>
      </c>
      <c r="F31" s="411">
        <f>E31/($B$30*730)</f>
        <v>0.51369863013698636</v>
      </c>
      <c r="G31" s="412">
        <f>ROUND($U$15+IF($E31&gt;1000,IF($E31&gt;9000,(1000*U$21/100)+(8000*U$22/100)+(($E31-9000)*U$23/100),(1000*U$21/100)+(($E31-1000)*U$22/100)),($E31*$U$21)/100)+IF(B$30&gt;T$18,$U$18*($B$30-T$18),0)+IF(B$30&gt;T$20,$U$20*($B$30-T$20),0),2)+X29</f>
        <v>3069.69</v>
      </c>
      <c r="H31" s="412"/>
      <c r="I31" s="412">
        <f>ROUND($V$15+IF($E31&gt;1000,IF($E31&gt;9000,(1000*V$21/100)+(8000*V$22/100)+(($E31-9000)*V$23/100),(1000*V$21/100)+(($E31-1000)*V$22/100)),($E31*$V$21)/100)+IF(B$30&gt;T$18,$V$18*($B$30-T$18),0)+IF(B$30&gt;T$20,$V$20*($B$30-T$20),0),2)+X29</f>
        <v>3074.5299999999997</v>
      </c>
      <c r="J31" s="428"/>
      <c r="K31" s="412">
        <f ca="1">ROUND($X$15+IF($E31&gt;1000,IF($E31&gt;9000,(1000*X$21/100)+(8000*X$22/100)+(($E31-9000)*X$23/100),(1000*X$21/100)+(($E31-1000)*X$22/100)),($E31*$X$21)/100)+IF(B$30&gt;W$18,$X$18*($B$30-W$18),0)+IF(B$30&gt;W$20,$X$20*($B$30-W$20),0),2)+X30</f>
        <v>3166.06</v>
      </c>
      <c r="L31" s="412"/>
      <c r="M31" s="412">
        <f ca="1">ROUND($Y$15+IF($E31&gt;1000,IF($E31&gt;9000,(1000*Y$21/100)+(8000*Y$22/100)+(($E31-9000)*Y$23/100),(1000*Y$21/100)+(($E31-1000)*Y$22/100)),($E31*$Y$21)/100)+IF(B$30&gt;W$18,$Y$18*($B$30-W$18),0)+IF(B$30&gt;W$20,$Y$20*($B$30-W$20),0),2)+X30</f>
        <v>3170.9</v>
      </c>
      <c r="N31" s="393"/>
      <c r="O31" s="413">
        <f t="shared" ca="1" si="5"/>
        <v>3.1399999999999997E-2</v>
      </c>
      <c r="P31" s="393"/>
      <c r="Q31" s="413">
        <f t="shared" ca="1" si="1"/>
        <v>3.1300000000000001E-2</v>
      </c>
      <c r="R31" s="396"/>
      <c r="S31" s="413"/>
      <c r="V31" s="366"/>
      <c r="W31" s="366"/>
    </row>
    <row r="32" spans="1:27" ht="15.75">
      <c r="A32" s="384"/>
      <c r="B32" s="393"/>
      <c r="C32" s="393"/>
      <c r="D32" s="393">
        <v>666.66600000000005</v>
      </c>
      <c r="E32" s="410">
        <f>ROUND((B$26*D32),0)</f>
        <v>50000</v>
      </c>
      <c r="F32" s="411">
        <f>E32/($B$30*730)</f>
        <v>0.68493150684931503</v>
      </c>
      <c r="G32" s="412">
        <f>ROUND($U$15+IF($E32&gt;1000,IF($E32&gt;9000,(1000*U$21/100)+(8000*U$22/100)+(($E32-9000)*U$23/100),(1000*U$21/100)+(($E32-1000)*U$22/100)),($E32*$U$21)/100)+IF(B$30&gt;T$18,$U$18*($B$30-T$18),0)+IF(B$30&gt;T$20,$U$20*($B$30-T$20),0),2)+X29</f>
        <v>3924.31</v>
      </c>
      <c r="H32" s="412"/>
      <c r="I32" s="412">
        <f>ROUND($V$15+IF($E32&gt;1000,IF($E32&gt;9000,(1000*V$21/100)+(8000*V$22/100)+(($E32-9000)*V$23/100),(1000*V$21/100)+(($E32-1000)*V$22/100)),($E32*$V$21)/100)+IF(B$30&gt;T$18,$V$18*($B$30-T$18),0)+IF(B$30&gt;T$20,$V$20*($B$30-T$20),0),2)+X29</f>
        <v>3929.15</v>
      </c>
      <c r="J32" s="428"/>
      <c r="K32" s="412">
        <f ca="1">ROUND($X$15+IF($E32&gt;1000,IF($E32&gt;9000,(1000*X$21/100)+(8000*X$22/100)+(($E32-9000)*X$23/100),(1000*X$21/100)+(($E32-1000)*X$22/100)),($E32*$X$21)/100)+IF(B$30&gt;W$18,$X$18*($B$30-W$18),0)+IF(B$30&gt;W$20,$X$20*($B$30-W$20),0),2)+X30</f>
        <v>4052.81</v>
      </c>
      <c r="L32" s="412"/>
      <c r="M32" s="412">
        <f ca="1">ROUND($Y$15+IF($E32&gt;1000,IF($E32&gt;9000,(1000*Y$21/100)+(8000*Y$22/100)+(($E32-9000)*Y$23/100),(1000*Y$21/100)+(($E32-1000)*Y$22/100)),($E32*$Y$21)/100)+IF(B$30&gt;W$18,$Y$18*($B$30-W$18),0)+IF(B$30&gt;W$20,$Y$20*($B$30-W$20),0),2)+X30</f>
        <v>4057.65</v>
      </c>
      <c r="N32" s="393"/>
      <c r="O32" s="413">
        <f t="shared" ca="1" si="5"/>
        <v>3.27E-2</v>
      </c>
      <c r="P32" s="393"/>
      <c r="Q32" s="413">
        <f t="shared" ca="1" si="1"/>
        <v>3.27E-2</v>
      </c>
      <c r="R32" s="396"/>
      <c r="S32" s="413"/>
      <c r="V32" s="501" t="s">
        <v>534</v>
      </c>
      <c r="X32" s="427">
        <v>-0.30099999999999999</v>
      </c>
    </row>
    <row r="33" spans="1:24" ht="15.75">
      <c r="A33" s="384"/>
      <c r="B33" s="396"/>
      <c r="C33" s="396"/>
      <c r="D33" s="396"/>
      <c r="E33" s="396"/>
      <c r="F33" s="411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V33" s="501" t="s">
        <v>533</v>
      </c>
      <c r="X33" s="427">
        <v>-0.30099999999999999</v>
      </c>
    </row>
    <row r="34" spans="1:24" ht="15.75">
      <c r="A34" s="384"/>
      <c r="B34" s="396" t="s">
        <v>333</v>
      </c>
      <c r="C34" s="396"/>
      <c r="D34" s="396"/>
      <c r="E34" s="396"/>
      <c r="F34" s="411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V34" s="501"/>
      <c r="X34" s="690"/>
    </row>
    <row r="35" spans="1:24" ht="15.75">
      <c r="B35" s="431" t="s">
        <v>1474</v>
      </c>
      <c r="C35" s="396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U35" s="620" t="s">
        <v>13</v>
      </c>
      <c r="V35" s="501" t="s">
        <v>1472</v>
      </c>
      <c r="X35" s="343">
        <f ca="1">'Exhibit No.__(RMM-2)pg1'!S22</f>
        <v>-5.0999999999999997E-2</v>
      </c>
    </row>
    <row r="36" spans="1:24">
      <c r="A36" s="384"/>
    </row>
    <row r="37" spans="1:24">
      <c r="A37" s="384"/>
      <c r="T37" s="489" t="s">
        <v>427</v>
      </c>
      <c r="U37" s="630">
        <f ca="1">'Exhibit No.__(RMM-2)pg2'!X24</f>
        <v>2.6802699839269795E-2</v>
      </c>
    </row>
    <row r="38" spans="1:24">
      <c r="A38" s="384"/>
    </row>
    <row r="40" spans="1:24">
      <c r="A40" s="384"/>
    </row>
    <row r="41" spans="1:24">
      <c r="A41" s="384"/>
    </row>
    <row r="42" spans="1:24">
      <c r="A42" s="384"/>
    </row>
    <row r="43" spans="1:24">
      <c r="A43" s="384"/>
    </row>
    <row r="44" spans="1:24">
      <c r="A44" s="384"/>
    </row>
    <row r="45" spans="1:24">
      <c r="A45" s="384"/>
    </row>
    <row r="46" spans="1:24">
      <c r="A46" s="384"/>
    </row>
    <row r="47" spans="1:24">
      <c r="A47" s="384"/>
    </row>
  </sheetData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U57"/>
  <sheetViews>
    <sheetView view="pageBreakPreview" zoomScale="60" zoomScaleNormal="100" workbookViewId="0"/>
  </sheetViews>
  <sheetFormatPr defaultColWidth="8.5" defaultRowHeight="15"/>
  <cols>
    <col min="1" max="1" width="1.625" style="343" customWidth="1"/>
    <col min="2" max="2" width="10.375" style="343" customWidth="1"/>
    <col min="3" max="3" width="2.375" style="343" customWidth="1"/>
    <col min="4" max="4" width="10.875" style="343" hidden="1" customWidth="1"/>
    <col min="5" max="5" width="10.125" style="343" bestFit="1" customWidth="1"/>
    <col min="6" max="6" width="3.5" style="343" customWidth="1"/>
    <col min="7" max="7" width="11.75" style="343" bestFit="1" customWidth="1"/>
    <col min="8" max="8" width="3.625" style="343" customWidth="1"/>
    <col min="9" max="9" width="12.875" style="343" bestFit="1" customWidth="1"/>
    <col min="10" max="10" width="4.5" style="343" customWidth="1"/>
    <col min="11" max="11" width="12.375" style="343" customWidth="1"/>
    <col min="12" max="12" width="3.25" style="343" customWidth="1"/>
    <col min="13" max="13" width="2.375" style="343" customWidth="1"/>
    <col min="14" max="14" width="9.5" style="343" customWidth="1"/>
    <col min="15" max="15" width="10.75" style="343" bestFit="1" customWidth="1"/>
    <col min="16" max="16" width="17.25" style="343" customWidth="1"/>
    <col min="17" max="17" width="9.875" style="343" customWidth="1"/>
    <col min="18" max="18" width="8.5" style="343"/>
    <col min="19" max="19" width="7.75" style="343" customWidth="1"/>
    <col min="20" max="20" width="2.25" style="343" customWidth="1"/>
    <col min="21" max="16384" width="8.5" style="343"/>
  </cols>
  <sheetData>
    <row r="1" spans="1:19">
      <c r="A1" s="382"/>
      <c r="B1" s="382"/>
    </row>
    <row r="2" spans="1:19">
      <c r="A2" s="382"/>
      <c r="B2" s="382"/>
      <c r="C2" s="384"/>
      <c r="D2" s="384"/>
      <c r="E2" s="384"/>
      <c r="F2" s="384"/>
      <c r="G2" s="384"/>
      <c r="H2" s="384"/>
      <c r="I2" s="384"/>
    </row>
    <row r="3" spans="1:19" ht="18.75">
      <c r="A3" s="382"/>
      <c r="B3" s="344"/>
      <c r="C3" s="385"/>
      <c r="D3" s="385"/>
      <c r="E3" s="385"/>
      <c r="F3" s="385"/>
      <c r="G3" s="385"/>
      <c r="H3" s="385"/>
      <c r="I3" s="385"/>
      <c r="J3" s="346" t="s">
        <v>13</v>
      </c>
      <c r="K3" s="432"/>
      <c r="L3" s="432"/>
    </row>
    <row r="4" spans="1:19" ht="20.25">
      <c r="B4" s="387" t="s">
        <v>443</v>
      </c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91"/>
    </row>
    <row r="5" spans="1:19" ht="20.25">
      <c r="B5" s="387" t="s">
        <v>324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91"/>
    </row>
    <row r="6" spans="1:19" ht="20.25">
      <c r="B6" s="387" t="s">
        <v>350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91"/>
    </row>
    <row r="7" spans="1:19" ht="20.25">
      <c r="B7" s="387" t="s">
        <v>13</v>
      </c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91"/>
    </row>
    <row r="8" spans="1:19" ht="18.75">
      <c r="A8" s="389"/>
      <c r="B8" s="390"/>
      <c r="C8" s="390"/>
      <c r="D8" s="390"/>
      <c r="E8" s="390"/>
      <c r="F8" s="390"/>
      <c r="G8" s="390"/>
      <c r="H8" s="390"/>
      <c r="I8" s="390"/>
      <c r="J8" s="390"/>
      <c r="K8" s="391"/>
      <c r="L8" s="391"/>
      <c r="M8" s="390"/>
    </row>
    <row r="9" spans="1:19">
      <c r="A9" s="384"/>
      <c r="B9" s="382"/>
    </row>
    <row r="10" spans="1:19" ht="15.75">
      <c r="A10" s="384"/>
      <c r="B10" s="392" t="s">
        <v>335</v>
      </c>
      <c r="C10" s="393"/>
      <c r="D10" s="393"/>
      <c r="E10" s="393"/>
      <c r="F10" s="393"/>
      <c r="G10" s="394" t="s">
        <v>336</v>
      </c>
      <c r="H10" s="394"/>
      <c r="I10" s="394"/>
      <c r="J10" s="393"/>
      <c r="K10" s="396"/>
      <c r="L10" s="396"/>
      <c r="M10" s="384"/>
    </row>
    <row r="11" spans="1:19" ht="16.5" thickBot="1">
      <c r="A11" s="384"/>
      <c r="B11" s="397" t="s">
        <v>337</v>
      </c>
      <c r="C11" s="395"/>
      <c r="D11" s="392" t="s">
        <v>338</v>
      </c>
      <c r="E11" s="393"/>
      <c r="F11" s="393"/>
      <c r="G11" s="433" t="s">
        <v>326</v>
      </c>
      <c r="H11" s="396"/>
      <c r="I11" s="433" t="s">
        <v>120</v>
      </c>
      <c r="J11" s="393"/>
      <c r="K11" s="392" t="s">
        <v>327</v>
      </c>
      <c r="L11" s="395"/>
      <c r="M11" s="384"/>
      <c r="O11" s="434"/>
    </row>
    <row r="12" spans="1:19" ht="15.75">
      <c r="A12" s="384"/>
      <c r="B12" s="400" t="s">
        <v>210</v>
      </c>
      <c r="C12" s="401"/>
      <c r="D12" s="402" t="s">
        <v>340</v>
      </c>
      <c r="E12" s="400" t="s">
        <v>9</v>
      </c>
      <c r="F12" s="393"/>
      <c r="G12" s="400" t="s">
        <v>19</v>
      </c>
      <c r="H12" s="435"/>
      <c r="I12" s="400" t="s">
        <v>351</v>
      </c>
      <c r="J12" s="393"/>
      <c r="K12" s="400" t="s">
        <v>114</v>
      </c>
      <c r="L12" s="691"/>
      <c r="M12" s="384"/>
      <c r="N12" s="436" t="s">
        <v>328</v>
      </c>
      <c r="P12" s="437"/>
      <c r="Q12" s="438"/>
      <c r="R12" s="437" t="s">
        <v>329</v>
      </c>
      <c r="S12" s="438"/>
    </row>
    <row r="13" spans="1:19" ht="15.75">
      <c r="A13" s="384"/>
      <c r="B13" s="393"/>
      <c r="C13" s="393"/>
      <c r="D13" s="393"/>
      <c r="E13" s="393"/>
      <c r="F13" s="393"/>
      <c r="G13" s="401"/>
      <c r="H13" s="401"/>
      <c r="I13" s="401"/>
      <c r="J13" s="396"/>
      <c r="K13" s="396"/>
      <c r="L13" s="396"/>
      <c r="N13" s="408" t="s">
        <v>208</v>
      </c>
      <c r="O13" s="351" t="s">
        <v>75</v>
      </c>
      <c r="P13" s="351" t="s">
        <v>352</v>
      </c>
      <c r="Q13" s="409"/>
      <c r="R13" s="351" t="s">
        <v>75</v>
      </c>
      <c r="S13" s="439" t="s">
        <v>352</v>
      </c>
    </row>
    <row r="14" spans="1:19" ht="15.75">
      <c r="A14" s="384"/>
      <c r="B14" s="393">
        <v>100</v>
      </c>
      <c r="C14" s="393"/>
      <c r="D14" s="393">
        <v>300</v>
      </c>
      <c r="E14" s="410">
        <v>25000</v>
      </c>
      <c r="F14" s="393"/>
      <c r="G14" s="692">
        <f>ROUND(IF($E14&lt;40001,$E14*$O$19/100,40000*$O$19/100+($E14-40000)*$O$20/100)+MAX(100, $B$14)*$O$18+IF($B$14&lt;101,$O$14,IF($B$14&lt;301,$O$15+$B$14*$P$15,$O$16+$B$14*$P$16)),2)+R26</f>
        <v>2350.39</v>
      </c>
      <c r="H14" s="412"/>
      <c r="I14" s="692">
        <f ca="1">ROUND(IF($E14&lt;40001,$E14*$R$19/100,40000*$R$19/100+($E14-40000)*$R$20/100)+MAX(100, $B$14)*$R$18+IF($B$14&lt;101,$R$14,IF($B$14&lt;301,$R$15+$B$14*$S$15,$R$16+$B$14*$S$16)),2)+R27</f>
        <v>2415.14</v>
      </c>
      <c r="J14" s="393"/>
      <c r="K14" s="413">
        <f ca="1">ROUND(I14/G14-1,4)</f>
        <v>2.75E-2</v>
      </c>
      <c r="L14" s="413"/>
      <c r="M14" s="384"/>
      <c r="N14" s="408" t="s">
        <v>353</v>
      </c>
      <c r="O14" s="440">
        <f>'Exhibit No.__(RMM-3)'!D547</f>
        <v>248</v>
      </c>
      <c r="P14" s="415"/>
      <c r="Q14" s="409"/>
      <c r="R14" s="440">
        <f>'Exhibit No.__(RMM-3)'!J585</f>
        <v>248</v>
      </c>
      <c r="S14" s="420"/>
    </row>
    <row r="15" spans="1:19" ht="15.75">
      <c r="A15" s="384"/>
      <c r="B15" s="393"/>
      <c r="C15" s="393"/>
      <c r="D15" s="393">
        <v>500</v>
      </c>
      <c r="E15" s="410">
        <v>37500</v>
      </c>
      <c r="F15" s="393"/>
      <c r="G15" s="412">
        <f>ROUND(IF($E15&lt;40001,$E15*$O$19/100,40000*$O$19/100+($E15-40000)*$O$20/100)+MAX(100, $B$14)*$O$18+IF($B$14&lt;101,$O$14,IF($B$14&lt;301,$O$15+$B$14*$P$15,$O$16+$B$14*$P$16)),2)+R26</f>
        <v>3067.64</v>
      </c>
      <c r="H15" s="412"/>
      <c r="I15" s="412">
        <f ca="1">ROUND(IF($E15&lt;40001,$E15*$R$19/100,40000*$R$19/100+($E15-40000)*$R$20/100)+MAX(100, $B$14)*$R$18+IF($B$14&lt;101,$R$14,IF($B$14&lt;301,$R$15+$B$14*$S$15,$R$16+$B$14*$S$16)),2)+R27</f>
        <v>3164.77</v>
      </c>
      <c r="J15" s="393"/>
      <c r="K15" s="413">
        <f ca="1">ROUND(I15/G15-1,4)</f>
        <v>3.1699999999999999E-2</v>
      </c>
      <c r="L15" s="413"/>
      <c r="M15" s="384"/>
      <c r="N15" s="408" t="s">
        <v>354</v>
      </c>
      <c r="O15" s="440">
        <f>'Exhibit No.__(RMM-3)'!D548</f>
        <v>93</v>
      </c>
      <c r="P15" s="414">
        <f>'Exhibit No.__(RMM-3)'!D551</f>
        <v>1.8</v>
      </c>
      <c r="Q15" s="439"/>
      <c r="R15" s="440">
        <f>'Exhibit No.__(RMM-3)'!J586</f>
        <v>93</v>
      </c>
      <c r="S15" s="360">
        <f>'Exhibit No.__(RMM-3)'!J589</f>
        <v>1.8</v>
      </c>
    </row>
    <row r="16" spans="1:19" ht="15.75">
      <c r="A16" s="384"/>
      <c r="B16" s="393"/>
      <c r="C16" s="393"/>
      <c r="D16" s="393">
        <v>700</v>
      </c>
      <c r="E16" s="410">
        <v>50000</v>
      </c>
      <c r="F16" s="393"/>
      <c r="G16" s="412">
        <f>ROUND(IF($E16&lt;40001,$E16*$O$19/100,40000*$O$19/100+($E16-40000)*$O$20/100)+MAX(100, $B$14)*$O$18+IF($B$14&lt;101,$O$14,IF($B$14&lt;301,$O$15+$B$14*$P$15,$O$16+$B$14*$P$16)),2)+R26</f>
        <v>3734.69</v>
      </c>
      <c r="H16" s="412"/>
      <c r="I16" s="412">
        <f ca="1">ROUND(IF($E16&lt;40001,$E16*$R$19/100,40000*$R$19/100+($E16-40000)*$R$20/100)+MAX(100, $B$14)*$R$18+IF($B$14&lt;101,$R$14,IF($B$14&lt;301,$R$15+$B$14*$S$15,$R$16+$B$14*$S$16)),2)+R27</f>
        <v>3864.19</v>
      </c>
      <c r="J16" s="393"/>
      <c r="K16" s="413">
        <f ca="1">ROUND(I16/G16-1,4)</f>
        <v>3.4700000000000002E-2</v>
      </c>
      <c r="L16" s="413"/>
      <c r="N16" s="408" t="s">
        <v>355</v>
      </c>
      <c r="O16" s="440">
        <f>'Exhibit No.__(RMM-3)'!D549</f>
        <v>185</v>
      </c>
      <c r="P16" s="414">
        <f>'Exhibit No.__(RMM-3)'!D552</f>
        <v>1.48</v>
      </c>
      <c r="Q16" s="409"/>
      <c r="R16" s="440">
        <f>'Exhibit No.__(RMM-3)'!J587</f>
        <v>185</v>
      </c>
      <c r="S16" s="360">
        <f>'Exhibit No.__(RMM-3)'!J590</f>
        <v>1.48</v>
      </c>
    </row>
    <row r="17" spans="1:21" ht="15.75">
      <c r="A17" s="384"/>
      <c r="B17" s="393"/>
      <c r="C17" s="393"/>
      <c r="D17" s="393"/>
      <c r="E17" s="393"/>
      <c r="F17" s="393"/>
      <c r="G17" s="412"/>
      <c r="H17" s="412"/>
      <c r="I17" s="412"/>
      <c r="J17" s="396"/>
      <c r="K17" s="413"/>
      <c r="L17" s="413"/>
      <c r="M17" s="384"/>
      <c r="N17" s="408"/>
      <c r="O17" s="415"/>
      <c r="P17" s="415"/>
      <c r="Q17" s="409"/>
      <c r="R17" s="415"/>
      <c r="S17" s="420"/>
    </row>
    <row r="18" spans="1:21" ht="15.75">
      <c r="A18" s="384"/>
      <c r="B18" s="393">
        <v>200</v>
      </c>
      <c r="C18" s="393"/>
      <c r="D18" s="393">
        <v>300</v>
      </c>
      <c r="E18" s="410">
        <f>ROUND((B$18*D18),0)</f>
        <v>60000</v>
      </c>
      <c r="F18" s="393"/>
      <c r="G18" s="412">
        <f>ROUND(IF($E18&lt;40001,$E18*$O$19/100,40000*$O$19/100+($E18-40000)*$O$20/100)+MAX(100, $B$18)*$O$18+IF($B$18&lt;101,$O$14,IF($B$18&lt;301,$O$15+$B$18*$P$15,$O$16+$B$18*$P$16)),2)+R26</f>
        <v>5093.29</v>
      </c>
      <c r="H18" s="412"/>
      <c r="I18" s="412">
        <f ca="1">ROUND(IF($E18&lt;40001,$E18*$R$19/100,40000*$R$19/100+($E18-40000)*$R$20/100)+MAX(100, $B$18)*$R$18+IF($B$18&lt;101,$R$14,IF($B$18&lt;301,$R$15+$B$18*$S$15,$R$16+$B$18*$S$16)),2)+R27</f>
        <v>5248.6900000000005</v>
      </c>
      <c r="J18" s="393"/>
      <c r="K18" s="413">
        <f ca="1">ROUND(I18/G18-1,4)</f>
        <v>3.0499999999999999E-2</v>
      </c>
      <c r="L18" s="413"/>
      <c r="M18" s="384"/>
      <c r="N18" s="408" t="s">
        <v>210</v>
      </c>
      <c r="O18" s="414">
        <f>'Exhibit No.__(RMM-3)'!D554</f>
        <v>6.3</v>
      </c>
      <c r="P18" s="415"/>
      <c r="Q18" s="409"/>
      <c r="R18" s="414">
        <f>'Exhibit No.__(RMM-3)'!J592</f>
        <v>6.3</v>
      </c>
      <c r="S18" s="420"/>
      <c r="U18" s="535">
        <f>(R18-O18)/O18</f>
        <v>0</v>
      </c>
    </row>
    <row r="19" spans="1:21" ht="15.75">
      <c r="A19" s="384"/>
      <c r="B19" s="393"/>
      <c r="C19" s="393"/>
      <c r="D19" s="393">
        <v>500</v>
      </c>
      <c r="E19" s="410">
        <f>ROUND((B$18*D19),0)</f>
        <v>100000</v>
      </c>
      <c r="F19" s="393"/>
      <c r="G19" s="412">
        <f>ROUND(IF($E19&lt;40001,$E19*$O$19/100,40000*$O$19/100+($E19-40000)*$O$20/100)+MAX(100, $B$18)*$O$18+IF($B$18&lt;101,$O$14,IF($B$18&lt;301,$O$15+$B$18*$P$15,$O$16+$B$18*$P$16)),2)+R26</f>
        <v>7187.6900000000005</v>
      </c>
      <c r="H19" s="412"/>
      <c r="I19" s="412">
        <f ca="1">ROUND(IF($E19&lt;40001,$E19*$R$19/100,40000*$R$19/100+($E19-40000)*$R$20/100)+MAX(100, $B$18)*$R$18+IF($B$18&lt;101,$R$14,IF($B$18&lt;301,$R$15+$B$18*$S$15,$R$16+$B$18*$S$16)),2)+R27</f>
        <v>7446.6900000000005</v>
      </c>
      <c r="J19" s="393"/>
      <c r="K19" s="413">
        <f ca="1">ROUND(I19/G19-1,4)</f>
        <v>3.5999999999999997E-2</v>
      </c>
      <c r="L19" s="413"/>
      <c r="M19" s="384"/>
      <c r="N19" s="408" t="s">
        <v>356</v>
      </c>
      <c r="O19" s="441">
        <f>'Exhibit No.__(RMM-3)'!D557+R22+R29</f>
        <v>5.7380000000000004</v>
      </c>
      <c r="P19" s="441"/>
      <c r="Q19" s="442"/>
      <c r="R19" s="441">
        <f ca="1">'Exhibit No.__(RMM-3)'!J595+R23+R30+R32</f>
        <v>5.9970000000000008</v>
      </c>
      <c r="S19" s="420"/>
      <c r="U19" s="535">
        <f ca="1">(R19-O19)/O19</f>
        <v>4.5137678633670325E-2</v>
      </c>
    </row>
    <row r="20" spans="1:21" ht="15.75">
      <c r="A20" s="384"/>
      <c r="B20" s="393"/>
      <c r="C20" s="393"/>
      <c r="D20" s="393">
        <v>700</v>
      </c>
      <c r="E20" s="410">
        <f>ROUND((B$18*D20),0)</f>
        <v>140000</v>
      </c>
      <c r="F20" s="393"/>
      <c r="G20" s="412">
        <f>ROUND(IF($E20&lt;40001,$E20*$O$19/100,40000*$O$19/100+($E20-40000)*$O$20/100)+MAX(100, $B$18)*$O$18+IF($B$18&lt;101,$O$14,IF($B$18&lt;301,$O$15+$B$18*$P$15,$O$16+$B$18*$P$16)),2)+R26</f>
        <v>9282.09</v>
      </c>
      <c r="H20" s="412"/>
      <c r="I20" s="412">
        <f ca="1">ROUND(IF($E20&lt;40001,$E20*$R$19/100,40000*$R$19/100+($E20-40000)*$R$20/100)+MAX(100, $B$18)*$R$18+IF($B$18&lt;101,$R$14,IF($B$18&lt;301,$R$15+$B$18*$S$15,$R$16+$B$18*$S$16)),2)+R27</f>
        <v>9644.6899999999987</v>
      </c>
      <c r="J20" s="393"/>
      <c r="K20" s="413">
        <f ca="1">ROUND(I20/G20-1,4)</f>
        <v>3.9100000000000003E-2</v>
      </c>
      <c r="L20" s="413"/>
      <c r="N20" s="408" t="s">
        <v>357</v>
      </c>
      <c r="O20" s="441">
        <f>'Exhibit No.__(RMM-3)'!D558+R22+R29</f>
        <v>5.2360000000000007</v>
      </c>
      <c r="P20" s="441"/>
      <c r="Q20" s="442"/>
      <c r="R20" s="441">
        <f ca="1">'Exhibit No.__(RMM-3)'!J596+R23+R30+R32</f>
        <v>5.4950000000000001</v>
      </c>
      <c r="S20" s="420"/>
      <c r="U20" s="535">
        <f ca="1">(R20-O20)/O20</f>
        <v>4.9465240641711122E-2</v>
      </c>
    </row>
    <row r="21" spans="1:21" ht="16.5" thickBot="1">
      <c r="A21" s="384"/>
      <c r="B21" s="393"/>
      <c r="C21" s="393"/>
      <c r="D21" s="393"/>
      <c r="E21" s="393"/>
      <c r="F21" s="393"/>
      <c r="G21" s="412"/>
      <c r="H21" s="412"/>
      <c r="I21" s="412"/>
      <c r="J21" s="396"/>
      <c r="K21" s="413"/>
      <c r="L21" s="413"/>
      <c r="M21" s="384"/>
      <c r="N21" s="443" t="s">
        <v>13</v>
      </c>
      <c r="O21" s="444" t="s">
        <v>13</v>
      </c>
      <c r="P21" s="425" t="s">
        <v>13</v>
      </c>
      <c r="Q21" s="426"/>
      <c r="R21" s="444" t="s">
        <v>13</v>
      </c>
      <c r="S21" s="445"/>
    </row>
    <row r="22" spans="1:21" ht="15.75">
      <c r="A22" s="384"/>
      <c r="B22" s="393">
        <v>300</v>
      </c>
      <c r="C22" s="393"/>
      <c r="D22" s="393">
        <v>300</v>
      </c>
      <c r="E22" s="410">
        <f>ROUND((B$22*D22),0)</f>
        <v>90000</v>
      </c>
      <c r="F22" s="393"/>
      <c r="G22" s="412">
        <f>ROUND(IF($E22&lt;40001,$E22*$O$19/100,40000*$O$19/100+($E22-40000)*$O$20/100)+MAX(100, $B$22)*$O$18+IF($B$22&lt;101,$O$14,IF($B$22&lt;301,$O$15+$B$22*$P$15,$O$16+$B$22*$P$16)),2)+R26</f>
        <v>7474.09</v>
      </c>
      <c r="H22" s="412"/>
      <c r="I22" s="412">
        <f ca="1">ROUND(IF($E22&lt;40001,$E22*$R$19/100,40000*$R$19/100+($E22-40000)*$R$20/100)+MAX(100, $B$22)*$R$18+IF($B$22&lt;101,$R$14,IF($B$22&lt;301,$R$15+$B$22*$S$15,$R$16+$B$22*$S$16)),2)+R27</f>
        <v>7707.1900000000005</v>
      </c>
      <c r="J22" s="393"/>
      <c r="K22" s="413">
        <f ca="1">ROUND(I22/G22-1,4)</f>
        <v>3.1199999999999999E-2</v>
      </c>
      <c r="L22" s="413"/>
      <c r="M22" s="384"/>
      <c r="P22" s="370" t="s">
        <v>88</v>
      </c>
      <c r="Q22" s="370"/>
      <c r="R22" s="371">
        <v>0.245</v>
      </c>
      <c r="U22" s="501" t="s">
        <v>13</v>
      </c>
    </row>
    <row r="23" spans="1:21" ht="15.75">
      <c r="A23" s="384"/>
      <c r="B23" s="393"/>
      <c r="C23" s="393"/>
      <c r="D23" s="393">
        <v>500</v>
      </c>
      <c r="E23" s="410">
        <f>ROUND((B$22*D23),0)</f>
        <v>150000</v>
      </c>
      <c r="F23" s="393"/>
      <c r="G23" s="412">
        <f>ROUND(IF($E23&lt;40001,$E23*$O$19/100,40000*$O$19/100+($E23-40000)*$O$20/100)+MAX(100, $B$22)*$O$18+IF($B$22&lt;101,$O$14,IF($B$22&lt;301,$O$15+$B$22*$P$15,$O$16+$B$22*$P$16)),2)+R26</f>
        <v>10615.689999999999</v>
      </c>
      <c r="H23" s="412"/>
      <c r="I23" s="412">
        <f ca="1">ROUND(IF($E23&lt;40001,$E23*$R$19/100,40000*$R$19/100+($E23-40000)*$R$20/100)+MAX(100, $B$22)*$R$18+IF($B$22&lt;101,$R$14,IF($B$22&lt;301,$R$15+$B$22*$S$15,$R$16+$B$22*$S$16)),2)+R27</f>
        <v>11004.189999999999</v>
      </c>
      <c r="J23" s="393"/>
      <c r="K23" s="413">
        <f ca="1">ROUND(I23/G23-1,4)</f>
        <v>3.6600000000000001E-2</v>
      </c>
      <c r="L23" s="413"/>
      <c r="M23" s="384"/>
      <c r="P23" s="370"/>
      <c r="Q23" s="370"/>
      <c r="R23" s="371">
        <v>0.245</v>
      </c>
    </row>
    <row r="24" spans="1:21" ht="15.75">
      <c r="A24" s="384"/>
      <c r="B24" s="393"/>
      <c r="C24" s="393"/>
      <c r="D24" s="393">
        <v>700</v>
      </c>
      <c r="E24" s="410">
        <f>ROUND((B$22*D24),0)</f>
        <v>210000</v>
      </c>
      <c r="F24" s="393"/>
      <c r="G24" s="412">
        <f>ROUND(IF($E24&lt;40001,$E24*$O$19/100,40000*$O$19/100+($E24-40000)*$O$20/100)+MAX(100, $B$22)*$O$18+IF($B$22&lt;101,$O$14,IF($B$22&lt;301,$O$15+$B$22*$P$15,$O$16+$B$22*$P$16)),2)+R26</f>
        <v>13757.289999999999</v>
      </c>
      <c r="H24" s="412"/>
      <c r="I24" s="412">
        <f ca="1">ROUND(IF($E24&lt;40001,$E24*$R$19/100,40000*$R$19/100+($E24-40000)*$R$20/100)+MAX(100, $B$22)*$R$18+IF($B$22&lt;101,$R$14,IF($B$22&lt;301,$R$15+$B$22*$S$15,$R$16+$B$22*$S$16)),2)+R27</f>
        <v>14301.189999999999</v>
      </c>
      <c r="J24" s="393"/>
      <c r="K24" s="413">
        <f ca="1">ROUND(I24/G24-1,4)</f>
        <v>3.95E-2</v>
      </c>
      <c r="L24" s="413"/>
      <c r="P24" s="370"/>
      <c r="Q24" s="370"/>
      <c r="R24" s="374"/>
    </row>
    <row r="25" spans="1:21" ht="15.75">
      <c r="A25" s="384"/>
      <c r="B25" s="393"/>
      <c r="C25" s="393"/>
      <c r="D25" s="393"/>
      <c r="E25" s="393"/>
      <c r="F25" s="393"/>
      <c r="G25" s="412"/>
      <c r="H25" s="412"/>
      <c r="I25" s="412"/>
      <c r="J25" s="396"/>
      <c r="K25" s="413"/>
      <c r="L25" s="413"/>
      <c r="M25" s="384"/>
      <c r="P25" s="343" t="s">
        <v>13</v>
      </c>
      <c r="Q25" s="343" t="s">
        <v>13</v>
      </c>
      <c r="R25" s="343" t="s">
        <v>13</v>
      </c>
    </row>
    <row r="26" spans="1:21" ht="15.75">
      <c r="A26" s="384"/>
      <c r="B26" s="393">
        <v>400</v>
      </c>
      <c r="C26" s="393"/>
      <c r="D26" s="393">
        <v>300</v>
      </c>
      <c r="E26" s="410">
        <f>ROUND((B$26*D26),0)</f>
        <v>120000</v>
      </c>
      <c r="F26" s="393"/>
      <c r="G26" s="412">
        <f>ROUND(IF($E26&lt;40001,$E26*$O$19/100,40000*$O$19/100+($E26-40000)*$O$20/100)+MAX(100, $B$26)*$O$18+IF($B$26&lt;101,$O$14,IF($B$26&lt;301,$O$15+$B$26*$P$15,$O$16+$B$26*$P$16)),2)+R26</f>
        <v>9818.89</v>
      </c>
      <c r="H26" s="412"/>
      <c r="I26" s="412">
        <f ca="1">ROUND(IF($E26&lt;40001,$E26*$R$19/100,40000*$R$19/100+($E26-40000)*$R$20/100)+MAX(100, $B$26)*$R$18+IF($B$26&lt;101,$R$14,IF($B$26&lt;301,$R$15+$B$26*$S$15,$R$16+$B$26*$S$16)),2)+R27</f>
        <v>10129.689999999999</v>
      </c>
      <c r="J26" s="393"/>
      <c r="K26" s="413">
        <f ca="1">ROUND(I26/G26-1,4)</f>
        <v>3.1699999999999999E-2</v>
      </c>
      <c r="L26" s="413"/>
      <c r="M26" s="384"/>
      <c r="P26" s="343" t="s">
        <v>420</v>
      </c>
      <c r="R26" s="416">
        <v>37.89</v>
      </c>
      <c r="S26" s="343" t="s">
        <v>13</v>
      </c>
    </row>
    <row r="27" spans="1:21" ht="15.75">
      <c r="A27" s="384"/>
      <c r="B27" s="393"/>
      <c r="C27" s="393"/>
      <c r="D27" s="393">
        <v>500</v>
      </c>
      <c r="E27" s="410">
        <f>ROUND((B$26*D27),0)</f>
        <v>200000</v>
      </c>
      <c r="F27" s="393"/>
      <c r="G27" s="412">
        <f>ROUND(IF($E27&lt;40001,$E27*$O$19/100,40000*$O$19/100+($E27-40000)*$O$20/100)+MAX(100, $B$26)*$O$18+IF($B$26&lt;101,$O$14,IF($B$26&lt;301,$O$15+$B$26*$P$15,$O$16+$B$26*$P$16)),2)+R26</f>
        <v>14007.689999999999</v>
      </c>
      <c r="H27" s="412"/>
      <c r="I27" s="412">
        <f ca="1">ROUND(IF($E27&lt;40001,$E27*$R$19/100,40000*$R$19/100+($E27-40000)*$R$20/100)+MAX(100, $B$26)*$R$18+IF($B$26&lt;101,$R$14,IF($B$26&lt;301,$R$15+$B$26*$S$15,$R$16+$B$26*$S$16)),2)+R27</f>
        <v>14525.689999999999</v>
      </c>
      <c r="J27" s="393"/>
      <c r="K27" s="413">
        <f ca="1">ROUND(I27/G27-1,4)</f>
        <v>3.6999999999999998E-2</v>
      </c>
      <c r="L27" s="413"/>
      <c r="M27" s="384"/>
      <c r="P27" s="343" t="s">
        <v>419</v>
      </c>
      <c r="R27" s="416">
        <f>R26</f>
        <v>37.89</v>
      </c>
    </row>
    <row r="28" spans="1:21" ht="15.75">
      <c r="A28" s="384"/>
      <c r="B28" s="393"/>
      <c r="C28" s="393"/>
      <c r="D28" s="393">
        <v>700</v>
      </c>
      <c r="E28" s="410">
        <f>ROUND((B$26*D28),0)</f>
        <v>280000</v>
      </c>
      <c r="F28" s="393"/>
      <c r="G28" s="412">
        <f>ROUND(IF($E28&lt;40001,$E28*$O$19/100,40000*$O$19/100+($E28-40000)*$O$20/100)+MAX(100, $B$26)*$O$18+IF($B$26&lt;101,$O$14,IF($B$26&lt;301,$O$15+$B$26*$P$15,$O$16+$B$26*$P$16)),2)+R26</f>
        <v>18196.489999999998</v>
      </c>
      <c r="H28" s="412"/>
      <c r="I28" s="412">
        <f ca="1">ROUND(IF($E28&lt;40001,$E28*$R$19/100,40000*$R$19/100+($E28-40000)*$R$20/100)+MAX(100, $B$26)*$R$18+IF($B$26&lt;101,$R$14,IF($B$26&lt;301,$R$15+$B$26*$S$15,$R$16+$B$26*$S$16)),2)+R27</f>
        <v>18921.689999999999</v>
      </c>
      <c r="J28" s="393"/>
      <c r="K28" s="413">
        <f ca="1">ROUND(I28/G28-1,4)</f>
        <v>3.9899999999999998E-2</v>
      </c>
      <c r="L28" s="413"/>
    </row>
    <row r="29" spans="1:21" ht="15.75">
      <c r="A29" s="384"/>
      <c r="B29" s="393"/>
      <c r="C29" s="393"/>
      <c r="D29" s="393"/>
      <c r="E29" s="393"/>
      <c r="F29" s="393"/>
      <c r="G29" s="412"/>
      <c r="H29" s="412"/>
      <c r="I29" s="412"/>
      <c r="J29" s="396"/>
      <c r="K29" s="413"/>
      <c r="L29" s="413"/>
      <c r="M29" s="384"/>
      <c r="P29" s="501" t="s">
        <v>534</v>
      </c>
      <c r="R29" s="501">
        <v>-0.255</v>
      </c>
    </row>
    <row r="30" spans="1:21" ht="15.75">
      <c r="A30" s="384"/>
      <c r="B30" s="393">
        <v>600</v>
      </c>
      <c r="C30" s="393"/>
      <c r="D30" s="393">
        <v>300</v>
      </c>
      <c r="E30" s="410">
        <f>ROUND((B$30*D30),0)</f>
        <v>180000</v>
      </c>
      <c r="F30" s="393"/>
      <c r="G30" s="412">
        <f>ROUND(IF($E30&lt;40001,$E30*$O$19/100,40000*$O$19/100+($E30-40000)*$O$20/100)+MAX(100, $B$30)*$O$18+IF($B$30&lt;101,$O$14,IF($B$30&lt;301,$O$15+$B$30*$P$15,$O$16+$B$30*$P$16)),2)+R26</f>
        <v>14516.49</v>
      </c>
      <c r="H30" s="412"/>
      <c r="I30" s="412">
        <f ca="1">ROUND(IF($E30&lt;40001,$E30*$R$19/100,40000*$R$19/100+($E30-40000)*$R$20/100)+MAX(100, $B$30)*$R$18+IF($B$30&lt;101,$R$14,IF($B$30&lt;301,$R$15+$B$30*$S$15,$R$16+$B$30*$S$16)),2)+R27</f>
        <v>14982.689999999999</v>
      </c>
      <c r="J30" s="393"/>
      <c r="K30" s="413">
        <f ca="1">ROUND(I30/G30-1,4)</f>
        <v>3.2099999999999997E-2</v>
      </c>
      <c r="L30" s="413"/>
      <c r="M30" s="384"/>
      <c r="P30" s="501" t="s">
        <v>533</v>
      </c>
      <c r="R30" s="501">
        <v>-0.255</v>
      </c>
    </row>
    <row r="31" spans="1:21" ht="15.75">
      <c r="A31" s="384"/>
      <c r="B31" s="393"/>
      <c r="C31" s="393"/>
      <c r="D31" s="393">
        <v>500</v>
      </c>
      <c r="E31" s="410">
        <f>ROUND((B$30*D31),0)</f>
        <v>300000</v>
      </c>
      <c r="F31" s="393"/>
      <c r="G31" s="412">
        <f>ROUND(IF($E31&lt;40001,$E31*$O$19/100,40000*$O$19/100+($E31-40000)*$O$20/100)+MAX(100, $B$30)*$O$18+IF($B$30&lt;101,$O$14,IF($B$30&lt;301,$O$15+$B$30*$P$15,$O$16+$B$30*$P$16)),2)+R26</f>
        <v>20799.689999999999</v>
      </c>
      <c r="H31" s="412"/>
      <c r="I31" s="412">
        <f ca="1">ROUND(IF($E31&lt;40001,$E31*$R$19/100,40000*$R$19/100+($E31-40000)*$R$20/100)+MAX(100, $B$30)*$R$18+IF($B$30&lt;101,$R$14,IF($B$30&lt;301,$R$15+$B$30*$S$15,$R$16+$B$30*$S$16)),2)+R27</f>
        <v>21576.69</v>
      </c>
      <c r="J31" s="393"/>
      <c r="K31" s="413">
        <f ca="1">ROUND(I31/G31-1,4)</f>
        <v>3.7400000000000003E-2</v>
      </c>
      <c r="L31" s="413"/>
      <c r="M31" s="384"/>
      <c r="P31" s="501"/>
      <c r="R31" s="690"/>
    </row>
    <row r="32" spans="1:21" ht="15.75">
      <c r="A32" s="384"/>
      <c r="B32" s="393"/>
      <c r="C32" s="393"/>
      <c r="D32" s="393">
        <v>700</v>
      </c>
      <c r="E32" s="410">
        <f>ROUND((B$30*D32),0)</f>
        <v>420000</v>
      </c>
      <c r="F32" s="393"/>
      <c r="G32" s="412">
        <f>ROUND(IF($E32&lt;40001,$E32*$O$19/100,40000*$O$19/100+($E32-40000)*$O$20/100)+MAX(100, $B$30)*$O$18+IF($B$30&lt;101,$O$14,IF($B$30&lt;301,$O$15+$B$30*$P$15,$O$16+$B$30*$P$16)),2)+R26</f>
        <v>27082.89</v>
      </c>
      <c r="H32" s="412"/>
      <c r="I32" s="412">
        <f ca="1">ROUND(IF($E32&lt;40001,$E32*$R$19/100,40000*$R$19/100+($E32-40000)*$R$20/100)+MAX(100, $B$30)*$R$18+IF($B$30&lt;101,$R$14,IF($B$30&lt;301,$R$15+$B$30*$S$15,$R$16+$B$30*$S$16)),2)+R27</f>
        <v>28170.69</v>
      </c>
      <c r="J32" s="393"/>
      <c r="K32" s="413">
        <f ca="1">ROUND(I32/G32-1,4)</f>
        <v>4.02E-2</v>
      </c>
      <c r="L32" s="413"/>
      <c r="P32" s="501" t="s">
        <v>1472</v>
      </c>
      <c r="R32" s="343">
        <f ca="1">'Exhibit No.__(RMM-2)pg1'!S24</f>
        <v>-0.05</v>
      </c>
    </row>
    <row r="33" spans="1:18" ht="15.75">
      <c r="A33" s="384"/>
      <c r="B33" s="393"/>
      <c r="C33" s="393"/>
      <c r="D33" s="393"/>
      <c r="E33" s="393"/>
      <c r="F33" s="393"/>
      <c r="G33" s="412"/>
      <c r="H33" s="412"/>
      <c r="I33" s="412"/>
      <c r="J33" s="396"/>
      <c r="K33" s="413"/>
      <c r="L33" s="413"/>
      <c r="M33" s="384"/>
      <c r="R33" s="343" t="s">
        <v>13</v>
      </c>
    </row>
    <row r="34" spans="1:18" ht="15.75">
      <c r="A34" s="384"/>
      <c r="B34" s="393">
        <v>800</v>
      </c>
      <c r="C34" s="393"/>
      <c r="D34" s="393">
        <v>300</v>
      </c>
      <c r="E34" s="410">
        <f>ROUND((B$34*D34),0)</f>
        <v>240000</v>
      </c>
      <c r="F34" s="393"/>
      <c r="G34" s="412">
        <f>ROUND(IF($E34&lt;40001,$E34*$O$19/100,40000*$O$19/100+($E34-40000)*$O$20/100)+MAX(100, $B$34)*$O$18+IF($B$34&lt;101,$O$14,IF($B$34&lt;301,$O$15+$B$34*$P$15,$O$16+$B$34*$P$16)),2)+R26</f>
        <v>19214.09</v>
      </c>
      <c r="H34" s="412"/>
      <c r="I34" s="412">
        <f ca="1">ROUND(IF($E34&lt;40001,$E34*$R$19/100,40000*$R$19/100+($E34-40000)*$R$20/100)+MAX(100, $B$34)*$R$18+IF($B$34&lt;101,$R$14,IF($B$34&lt;301,$R$15+$B$34*$S$15,$R$16+$B$34*$S$16)),2)+R27</f>
        <v>19835.689999999999</v>
      </c>
      <c r="J34" s="393"/>
      <c r="K34" s="413">
        <f ca="1">ROUND(I34/G34-1,4)</f>
        <v>3.2399999999999998E-2</v>
      </c>
      <c r="L34" s="413"/>
      <c r="M34" s="384"/>
      <c r="N34" s="489" t="s">
        <v>427</v>
      </c>
      <c r="O34" s="469">
        <f ca="1">'Exhibit No.__(RMM-2)pg2'!X26</f>
        <v>3.1913666336480184E-2</v>
      </c>
    </row>
    <row r="35" spans="1:18" ht="15.75">
      <c r="A35" s="384"/>
      <c r="B35" s="393"/>
      <c r="C35" s="393"/>
      <c r="D35" s="393">
        <v>500</v>
      </c>
      <c r="E35" s="410">
        <f>ROUND((B$34*D35),0)</f>
        <v>400000</v>
      </c>
      <c r="F35" s="393"/>
      <c r="G35" s="412">
        <f>ROUND(IF($E35&lt;40001,$E35*$O$19/100,40000*$O$19/100+($E35-40000)*$O$20/100)+MAX(100, $B$34)*$O$18+IF($B$34&lt;101,$O$14,IF($B$34&lt;301,$O$15+$B$34*$P$15,$O$16+$B$34*$P$16)),2)+R26</f>
        <v>27591.69</v>
      </c>
      <c r="H35" s="412"/>
      <c r="I35" s="412">
        <f ca="1">ROUND(IF($E35&lt;40001,$E35*$R$19/100,40000*$R$19/100+($E35-40000)*$R$20/100)+MAX(100, $B$34)*$R$18+IF($B$34&lt;101,$R$14,IF($B$34&lt;301,$R$15+$B$34*$S$15,$R$16+$B$34*$S$16)),2)+R27</f>
        <v>28627.69</v>
      </c>
      <c r="J35" s="393"/>
      <c r="K35" s="413">
        <f ca="1">ROUND(I35/G35-1,4)</f>
        <v>3.7499999999999999E-2</v>
      </c>
      <c r="L35" s="413"/>
      <c r="M35" s="384"/>
    </row>
    <row r="36" spans="1:18" ht="15.75">
      <c r="A36" s="384"/>
      <c r="B36" s="393"/>
      <c r="C36" s="393"/>
      <c r="D36" s="393">
        <v>700</v>
      </c>
      <c r="E36" s="410">
        <f>ROUND((B$34*D36),0)</f>
        <v>560000</v>
      </c>
      <c r="F36" s="393"/>
      <c r="G36" s="412">
        <f>ROUND(IF($E36&lt;40001,$E36*$O$19/100,40000*$O$19/100+($E36-40000)*$O$20/100)+MAX(100, $B$34)*$O$18+IF($B$34&lt;101,$O$14,IF($B$34&lt;301,$O$15+$B$34*$P$15,$O$16+$B$34*$P$16)),2)+R26</f>
        <v>35969.29</v>
      </c>
      <c r="H36" s="412"/>
      <c r="I36" s="412">
        <f ca="1">ROUND(IF($E36&lt;40001,$E36*$R$19/100,40000*$R$19/100+($E36-40000)*$R$20/100)+MAX(100, $B$34)*$R$18+IF($B$34&lt;101,$R$14,IF($B$34&lt;301,$R$15+$B$34*$S$15,$R$16+$B$34*$S$16)),2)+R27</f>
        <v>37419.69</v>
      </c>
      <c r="J36" s="393"/>
      <c r="K36" s="413">
        <f ca="1">ROUND(I36/G36-1,4)</f>
        <v>4.0300000000000002E-2</v>
      </c>
      <c r="L36" s="413"/>
    </row>
    <row r="37" spans="1:18" ht="15.75">
      <c r="A37" s="384"/>
      <c r="B37" s="393"/>
      <c r="C37" s="393"/>
      <c r="D37" s="393"/>
      <c r="E37" s="393"/>
      <c r="F37" s="393"/>
      <c r="G37" s="412"/>
      <c r="H37" s="412"/>
      <c r="I37" s="412"/>
      <c r="J37" s="396"/>
      <c r="K37" s="413"/>
      <c r="L37" s="413"/>
      <c r="M37" s="384"/>
    </row>
    <row r="38" spans="1:18" ht="15.75">
      <c r="A38" s="384"/>
      <c r="B38" s="393">
        <v>1000</v>
      </c>
      <c r="C38" s="393"/>
      <c r="D38" s="393">
        <v>300</v>
      </c>
      <c r="E38" s="410">
        <f>ROUND((B$38*D38),0)</f>
        <v>300000</v>
      </c>
      <c r="F38" s="393"/>
      <c r="G38" s="412">
        <f>ROUND(IF($E38&lt;40001,$E38*$O$19/100,40000*$O$19/100+($E38-40000)*$O$20/100)+MAX(100, $B$38)*$O$18+IF($B$38&lt;101,$O$14,IF($B$38&lt;301,$O$15+$B$38*$P$15,$O$16+$B$38*$P$16)),2)+R26</f>
        <v>23911.69</v>
      </c>
      <c r="H38" s="412"/>
      <c r="I38" s="412">
        <f ca="1">ROUND(IF($E38&lt;40001,$E38*$R$19/100,40000*$R$19/100+($E38-40000)*$R$20/100)+MAX(100, $B$38)*$R$18+IF($B$38&lt;101,$R$14,IF($B$38&lt;301,$R$15+$B$38*$S$15,$R$16+$B$38*$S$16)),2)+R27</f>
        <v>24688.69</v>
      </c>
      <c r="J38" s="393"/>
      <c r="K38" s="413">
        <f ca="1">ROUND(I38/G38-1,4)</f>
        <v>3.2500000000000001E-2</v>
      </c>
      <c r="L38" s="413"/>
      <c r="M38" s="384"/>
    </row>
    <row r="39" spans="1:18" ht="15.75">
      <c r="A39" s="384"/>
      <c r="B39" s="393"/>
      <c r="C39" s="393"/>
      <c r="D39" s="393">
        <v>500</v>
      </c>
      <c r="E39" s="410">
        <f>ROUND((B$38*D39),0)</f>
        <v>500000</v>
      </c>
      <c r="F39" s="393"/>
      <c r="G39" s="412">
        <f>ROUND(IF($E39&lt;40001,$E39*$O$19/100,40000*$O$19/100+($E39-40000)*$O$20/100)+MAX(100, $B$38)*$O$18+IF($B$38&lt;101,$O$14,IF($B$38&lt;301,$O$15+$B$38*$P$15,$O$16+$B$38*$P$16)),2)+R26</f>
        <v>34383.69</v>
      </c>
      <c r="H39" s="412"/>
      <c r="I39" s="412">
        <f ca="1">ROUND(IF($E39&lt;40001,$E39*$R$19/100,40000*$R$19/100+($E39-40000)*$R$20/100)+MAX(100, $B$38)*$R$18+IF($B$38&lt;101,$R$14,IF($B$38&lt;301,$R$15+$B$38*$S$15,$R$16+$B$38*$S$16)),2)+R27</f>
        <v>35678.69</v>
      </c>
      <c r="J39" s="393"/>
      <c r="K39" s="413">
        <f ca="1">ROUND(I39/G39-1,4)</f>
        <v>3.7699999999999997E-2</v>
      </c>
      <c r="L39" s="413"/>
      <c r="M39" s="384"/>
    </row>
    <row r="40" spans="1:18" ht="15.75">
      <c r="A40" s="384"/>
      <c r="B40" s="393"/>
      <c r="C40" s="393"/>
      <c r="D40" s="393">
        <v>700</v>
      </c>
      <c r="E40" s="410">
        <f>ROUND((B$38*D40),0)</f>
        <v>700000</v>
      </c>
      <c r="F40" s="393"/>
      <c r="G40" s="412">
        <f>ROUND(IF($E40&lt;40001,$E40*$O$19/100,40000*$O$19/100+($E40-40000)*$O$20/100)+MAX(100, $B$38)*$O$18+IF($B$38&lt;101,$O$14,IF($B$38&lt;301,$O$15+$B$38*$P$15,$O$16+$B$38*$P$16)),2)+R26</f>
        <v>44855.69</v>
      </c>
      <c r="H40" s="412"/>
      <c r="I40" s="412">
        <f ca="1">ROUND(IF($E40&lt;40001,$E40*$R$19/100,40000*$R$19/100+($E40-40000)*$R$20/100)+MAX(100, $B$38)*$R$18+IF($B$38&lt;101,$R$14,IF($B$38&lt;301,$R$15+$B$38*$S$15,$R$16+$B$38*$S$16)),2)+R27</f>
        <v>46668.69</v>
      </c>
      <c r="J40" s="393"/>
      <c r="K40" s="413">
        <f ca="1">ROUND(I40/G40-1,4)</f>
        <v>4.0399999999999998E-2</v>
      </c>
      <c r="L40" s="413"/>
    </row>
    <row r="41" spans="1:18" ht="15.75">
      <c r="A41" s="384"/>
      <c r="B41" s="446"/>
      <c r="C41" s="446"/>
      <c r="D41" s="446"/>
      <c r="E41" s="446"/>
      <c r="F41" s="446"/>
      <c r="G41" s="446"/>
      <c r="H41" s="446"/>
      <c r="I41" s="446"/>
      <c r="J41" s="447"/>
      <c r="K41" s="447"/>
      <c r="L41" s="447"/>
      <c r="M41" s="384"/>
    </row>
    <row r="42" spans="1:18" ht="15.75">
      <c r="A42" s="384"/>
      <c r="B42" s="396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84"/>
    </row>
    <row r="43" spans="1:18" ht="15.75">
      <c r="A43" s="384"/>
      <c r="B43" s="396" t="s">
        <v>333</v>
      </c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84"/>
    </row>
    <row r="44" spans="1:18" ht="15.75">
      <c r="A44" s="384"/>
      <c r="B44" s="431" t="s">
        <v>1474</v>
      </c>
      <c r="C44" s="396"/>
      <c r="D44" s="396"/>
      <c r="E44" s="396"/>
      <c r="F44" s="396"/>
      <c r="G44" s="396"/>
      <c r="H44" s="396"/>
      <c r="I44" s="396"/>
      <c r="J44" s="396"/>
      <c r="K44" s="396"/>
      <c r="L44" s="396"/>
    </row>
    <row r="45" spans="1:18" ht="15.75">
      <c r="A45" s="384"/>
      <c r="B45" s="393"/>
      <c r="M45" s="384"/>
    </row>
    <row r="46" spans="1:18" ht="15.75">
      <c r="A46" s="384"/>
      <c r="B46" s="393"/>
    </row>
    <row r="47" spans="1:18" ht="15.75">
      <c r="B47" s="393"/>
    </row>
    <row r="48" spans="1:18" ht="15.75">
      <c r="B48" s="393"/>
      <c r="P48" s="381"/>
    </row>
    <row r="49" spans="1:2" ht="15.75">
      <c r="A49" s="384"/>
      <c r="B49" s="393"/>
    </row>
    <row r="50" spans="1:2" ht="15.75">
      <c r="A50" s="384"/>
      <c r="B50" s="393"/>
    </row>
    <row r="51" spans="1:2">
      <c r="A51" s="384"/>
    </row>
    <row r="52" spans="1:2">
      <c r="A52" s="384"/>
    </row>
    <row r="53" spans="1:2">
      <c r="A53" s="384"/>
    </row>
    <row r="54" spans="1:2">
      <c r="A54" s="384"/>
    </row>
    <row r="55" spans="1:2">
      <c r="A55" s="384"/>
    </row>
    <row r="56" spans="1:2">
      <c r="A56" s="384"/>
    </row>
    <row r="57" spans="1:2">
      <c r="A57" s="384"/>
    </row>
  </sheetData>
  <phoneticPr fontId="0" type="noConversion"/>
  <printOptions horizontalCentered="1"/>
  <pageMargins left="0.5" right="0.5" top="0.5" bottom="0.5" header="0.5" footer="0.5"/>
  <pageSetup scale="7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pageSetUpPr fitToPage="1"/>
  </sheetPr>
  <dimension ref="B2:AD51"/>
  <sheetViews>
    <sheetView view="pageBreakPreview" zoomScale="60" zoomScaleNormal="100" workbookViewId="0"/>
  </sheetViews>
  <sheetFormatPr defaultColWidth="8.5" defaultRowHeight="15"/>
  <cols>
    <col min="1" max="1" width="1.875" style="343" customWidth="1"/>
    <col min="2" max="2" width="10.875" style="343" customWidth="1"/>
    <col min="3" max="3" width="1.75" style="343" customWidth="1"/>
    <col min="4" max="4" width="11.25" style="343" hidden="1" customWidth="1"/>
    <col min="5" max="5" width="8.25" style="343" bestFit="1" customWidth="1"/>
    <col min="6" max="6" width="3.25" style="343" customWidth="1"/>
    <col min="7" max="7" width="13.75" style="343" bestFit="1" customWidth="1"/>
    <col min="8" max="8" width="2.125" style="343" customWidth="1"/>
    <col min="9" max="9" width="8.5" style="343" bestFit="1" customWidth="1"/>
    <col min="10" max="10" width="2.125" style="343" customWidth="1"/>
    <col min="11" max="11" width="12.625" style="343" bestFit="1" customWidth="1"/>
    <col min="12" max="12" width="1.75" style="343" customWidth="1"/>
    <col min="13" max="13" width="8.5" style="343" bestFit="1" customWidth="1"/>
    <col min="14" max="14" width="2" style="343" customWidth="1"/>
    <col min="15" max="15" width="10.5" style="343" bestFit="1" customWidth="1"/>
    <col min="16" max="16" width="1.875" style="343" customWidth="1"/>
    <col min="17" max="17" width="8.5" style="343" bestFit="1" customWidth="1"/>
    <col min="18" max="19" width="3" style="343" customWidth="1"/>
    <col min="20" max="20" width="16.125" style="343" customWidth="1"/>
    <col min="21" max="21" width="15.875" style="343" customWidth="1"/>
    <col min="22" max="22" width="10" style="343" customWidth="1"/>
    <col min="23" max="23" width="8.375" style="343" customWidth="1"/>
    <col min="24" max="24" width="2.25" style="343" customWidth="1"/>
    <col min="25" max="16384" width="8.5" style="343"/>
  </cols>
  <sheetData>
    <row r="2" spans="2:23" ht="18.75">
      <c r="B2" s="350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448"/>
      <c r="P2" s="346" t="s">
        <v>13</v>
      </c>
      <c r="Q2" s="448"/>
      <c r="R2" s="448"/>
    </row>
    <row r="3" spans="2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</row>
    <row r="4" spans="2:23" ht="18.75">
      <c r="B4" s="347" t="s">
        <v>358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</row>
    <row r="5" spans="2:23" ht="18.75">
      <c r="B5" s="347" t="s">
        <v>359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</row>
    <row r="6" spans="2:23" ht="18.75">
      <c r="B6" s="347" t="s">
        <v>13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</row>
    <row r="7" spans="2:23">
      <c r="B7" s="348"/>
      <c r="C7" s="348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</row>
    <row r="8" spans="2:23"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</row>
    <row r="9" spans="2:23">
      <c r="G9" s="350"/>
      <c r="H9" s="350"/>
      <c r="I9" s="350"/>
      <c r="J9" s="350"/>
      <c r="K9" s="350"/>
      <c r="L9" s="350"/>
      <c r="M9" s="350"/>
    </row>
    <row r="10" spans="2:23">
      <c r="B10" s="350"/>
      <c r="C10" s="350"/>
      <c r="D10" s="350"/>
      <c r="E10" s="350"/>
      <c r="G10" s="350"/>
      <c r="H10" s="350"/>
      <c r="I10" s="350"/>
      <c r="J10" s="350"/>
      <c r="K10" s="350"/>
      <c r="L10" s="350"/>
      <c r="M10" s="350"/>
    </row>
    <row r="11" spans="2:23">
      <c r="B11" s="350"/>
      <c r="C11" s="350"/>
      <c r="D11" s="350"/>
      <c r="E11" s="350"/>
      <c r="G11" s="352"/>
      <c r="H11" s="352"/>
      <c r="I11" s="352"/>
      <c r="J11" s="352"/>
      <c r="K11" s="352"/>
      <c r="L11" s="352"/>
      <c r="M11" s="352"/>
      <c r="O11" s="348"/>
      <c r="P11" s="348"/>
      <c r="Q11" s="348"/>
      <c r="R11" s="348"/>
    </row>
    <row r="12" spans="2:23" ht="15.75" thickBot="1">
      <c r="G12" s="869" t="s">
        <v>360</v>
      </c>
      <c r="H12" s="869"/>
      <c r="I12" s="869"/>
      <c r="K12" s="869" t="s">
        <v>413</v>
      </c>
      <c r="L12" s="869"/>
      <c r="M12" s="869"/>
      <c r="O12" s="869" t="s">
        <v>361</v>
      </c>
      <c r="P12" s="869"/>
      <c r="Q12" s="869"/>
      <c r="R12" s="351"/>
    </row>
    <row r="13" spans="2:23">
      <c r="B13" s="449" t="s">
        <v>335</v>
      </c>
      <c r="G13" s="450" t="s">
        <v>326</v>
      </c>
      <c r="H13" s="351"/>
      <c r="I13" s="351" t="s">
        <v>362</v>
      </c>
      <c r="J13" s="361"/>
      <c r="K13" s="450" t="s">
        <v>120</v>
      </c>
      <c r="L13" s="351"/>
      <c r="M13" s="351" t="s">
        <v>362</v>
      </c>
      <c r="O13" s="351"/>
      <c r="P13" s="351"/>
      <c r="Q13" s="351" t="s">
        <v>362</v>
      </c>
      <c r="R13" s="351"/>
      <c r="T13" s="451" t="s">
        <v>328</v>
      </c>
      <c r="U13" s="407"/>
      <c r="V13" s="406" t="s">
        <v>329</v>
      </c>
      <c r="W13" s="407"/>
    </row>
    <row r="14" spans="2:23">
      <c r="B14" s="452" t="s">
        <v>337</v>
      </c>
      <c r="C14" s="450"/>
      <c r="D14" s="450" t="s">
        <v>338</v>
      </c>
      <c r="G14" s="624" t="s">
        <v>414</v>
      </c>
      <c r="H14" s="351" t="s">
        <v>13</v>
      </c>
      <c r="I14" s="351" t="s">
        <v>208</v>
      </c>
      <c r="J14" s="361"/>
      <c r="K14" s="453" t="s">
        <v>414</v>
      </c>
      <c r="L14" s="351" t="s">
        <v>13</v>
      </c>
      <c r="M14" s="351" t="s">
        <v>208</v>
      </c>
      <c r="O14" s="351" t="s">
        <v>415</v>
      </c>
      <c r="P14" s="351" t="s">
        <v>13</v>
      </c>
      <c r="Q14" s="351" t="s">
        <v>208</v>
      </c>
      <c r="R14" s="351"/>
      <c r="T14" s="408" t="s">
        <v>363</v>
      </c>
      <c r="U14" s="362">
        <f>'Exhibit No.__(RMM-3)'!D674+W22+W30</f>
        <v>6.8470000000000004</v>
      </c>
      <c r="V14" s="415"/>
      <c r="W14" s="362">
        <f ca="1">'Exhibit No.__(RMM-3)'!J674+W23+W31+W33</f>
        <v>7.1050000000000004</v>
      </c>
    </row>
    <row r="15" spans="2:23">
      <c r="B15" s="453" t="s">
        <v>210</v>
      </c>
      <c r="C15" s="450"/>
      <c r="D15" s="454" t="s">
        <v>340</v>
      </c>
      <c r="E15" s="355" t="s">
        <v>9</v>
      </c>
      <c r="G15" s="355" t="s">
        <v>364</v>
      </c>
      <c r="H15" s="351"/>
      <c r="I15" s="355" t="s">
        <v>365</v>
      </c>
      <c r="J15" s="361"/>
      <c r="K15" s="355" t="s">
        <v>364</v>
      </c>
      <c r="L15" s="351"/>
      <c r="M15" s="355" t="s">
        <v>365</v>
      </c>
      <c r="O15" s="355" t="s">
        <v>366</v>
      </c>
      <c r="P15" s="351"/>
      <c r="Q15" s="355" t="s">
        <v>365</v>
      </c>
      <c r="R15" s="351"/>
      <c r="T15" s="408" t="s">
        <v>13</v>
      </c>
      <c r="U15" s="455" t="s">
        <v>13</v>
      </c>
      <c r="V15" s="456" t="s">
        <v>13</v>
      </c>
      <c r="W15" s="455" t="s">
        <v>13</v>
      </c>
    </row>
    <row r="16" spans="2:23">
      <c r="B16" s="351"/>
      <c r="C16" s="450"/>
      <c r="D16" s="454"/>
      <c r="E16" s="351"/>
      <c r="G16" s="351"/>
      <c r="H16" s="351"/>
      <c r="I16" s="351"/>
      <c r="J16" s="361"/>
      <c r="K16" s="351"/>
      <c r="L16" s="351"/>
      <c r="M16" s="351"/>
      <c r="O16" s="351"/>
      <c r="P16" s="351"/>
      <c r="Q16" s="351"/>
      <c r="R16" s="351"/>
      <c r="T16" s="457" t="s">
        <v>208</v>
      </c>
      <c r="U16" s="673"/>
      <c r="V16" s="458"/>
      <c r="W16" s="459"/>
    </row>
    <row r="17" spans="2:30">
      <c r="B17" s="460" t="s">
        <v>341</v>
      </c>
      <c r="C17" s="361"/>
      <c r="G17" s="361"/>
      <c r="H17" s="361"/>
      <c r="I17" s="361"/>
      <c r="J17" s="361"/>
      <c r="T17" s="461" t="s">
        <v>367</v>
      </c>
      <c r="U17" s="360">
        <f>'Exhibit No.__(RMM-3)'!D663</f>
        <v>31.58</v>
      </c>
      <c r="V17" s="415"/>
      <c r="W17" s="462">
        <f>'Exhibit No.__(RMM-3)'!J663</f>
        <v>31.58</v>
      </c>
    </row>
    <row r="18" spans="2:30">
      <c r="B18" s="343">
        <v>10</v>
      </c>
      <c r="D18" s="364">
        <v>200</v>
      </c>
      <c r="E18" s="364">
        <f>ROUND((B$18*D18),0)</f>
        <v>2000</v>
      </c>
      <c r="G18" s="373">
        <f>ROUND(((E18*$U$14/100))+(E18*$W$25/100),2)</f>
        <v>122.38</v>
      </c>
      <c r="H18" s="463"/>
      <c r="I18" s="463">
        <f>$B$18*$U$17+W27</f>
        <v>331.44999999999993</v>
      </c>
      <c r="J18" s="381"/>
      <c r="K18" s="373">
        <f ca="1">ROUND((($E18*$W$14/100))+(($E18*$W$26)/100),2)</f>
        <v>127.54</v>
      </c>
      <c r="L18" s="463"/>
      <c r="M18" s="463">
        <f>$B$18*$W$17+W28</f>
        <v>331.44999999999993</v>
      </c>
      <c r="O18" s="367">
        <f ca="1">ROUND((K18-G18)/G18,4)</f>
        <v>4.2200000000000001E-2</v>
      </c>
      <c r="P18" s="367"/>
      <c r="Q18" s="367">
        <f>ROUND((M18-I18)/I18,4)</f>
        <v>0</v>
      </c>
      <c r="R18" s="367"/>
      <c r="T18" s="461" t="s">
        <v>368</v>
      </c>
      <c r="U18" s="360">
        <f>'Exhibit No.__(RMM-3)'!D666</f>
        <v>21.97</v>
      </c>
      <c r="V18" s="415"/>
      <c r="W18" s="462">
        <f>'Exhibit No.__(RMM-3)'!J666</f>
        <v>21.97</v>
      </c>
    </row>
    <row r="19" spans="2:30">
      <c r="D19" s="364">
        <v>300</v>
      </c>
      <c r="E19" s="364">
        <f>ROUND((B$18*D19),0)</f>
        <v>3000</v>
      </c>
      <c r="G19" s="463">
        <f>ROUND(((E19*$U$14/100))+(E19*$W$25/100),2)</f>
        <v>183.57</v>
      </c>
      <c r="H19" s="463"/>
      <c r="I19" s="463">
        <f>$B$18*$U$17+W27</f>
        <v>331.44999999999993</v>
      </c>
      <c r="J19" s="381"/>
      <c r="K19" s="463">
        <f ca="1">ROUND((($E19*$W$14/100))+(($E19*$W$26)/100),2)</f>
        <v>191.31</v>
      </c>
      <c r="L19" s="463"/>
      <c r="M19" s="463">
        <f>$B$18*$W$17+W28</f>
        <v>331.44999999999993</v>
      </c>
      <c r="O19" s="367">
        <f ca="1">ROUND((K19-G19)/G19,4)</f>
        <v>4.2200000000000001E-2</v>
      </c>
      <c r="P19" s="367"/>
      <c r="Q19" s="367">
        <f>ROUND((M19-I19)/I19,4)</f>
        <v>0</v>
      </c>
      <c r="R19" s="367"/>
      <c r="T19" s="461" t="s">
        <v>369</v>
      </c>
      <c r="U19" s="360">
        <f>'Exhibit No.__(RMM-3)'!D667</f>
        <v>17.18</v>
      </c>
      <c r="V19" s="415"/>
      <c r="W19" s="462">
        <f>'Exhibit No.__(RMM-3)'!J667</f>
        <v>17.18</v>
      </c>
    </row>
    <row r="20" spans="2:30">
      <c r="D20" s="364">
        <v>500</v>
      </c>
      <c r="E20" s="364">
        <f>ROUND((B$18*D20),0)</f>
        <v>5000</v>
      </c>
      <c r="G20" s="463">
        <f>ROUND(((E20*$U$14/100))+(E20*$W$25/100),2)</f>
        <v>305.95</v>
      </c>
      <c r="H20" s="463"/>
      <c r="I20" s="463">
        <f>$B$18*$U$17+W27</f>
        <v>331.44999999999993</v>
      </c>
      <c r="J20" s="381"/>
      <c r="K20" s="463">
        <f ca="1">ROUND((($E20*$W$14/100))+(($E20*$W$26)/100),2)</f>
        <v>318.85000000000002</v>
      </c>
      <c r="L20" s="463"/>
      <c r="M20" s="463">
        <f>$B$18*$W$17+W28</f>
        <v>331.44999999999993</v>
      </c>
      <c r="O20" s="367">
        <f ca="1">ROUND((K20-G20)/G20,4)</f>
        <v>4.2200000000000001E-2</v>
      </c>
      <c r="P20" s="367"/>
      <c r="Q20" s="367">
        <f>ROUND((M20-I20)/I20,4)</f>
        <v>0</v>
      </c>
      <c r="R20" s="367"/>
      <c r="T20" s="461" t="s">
        <v>368</v>
      </c>
      <c r="U20" s="674">
        <f>'Exhibit No.__(RMM-3)'!D657</f>
        <v>449</v>
      </c>
      <c r="V20" s="415"/>
      <c r="W20" s="464">
        <f>'Exhibit No.__(RMM-3)'!J657</f>
        <v>449</v>
      </c>
    </row>
    <row r="21" spans="2:30">
      <c r="G21" s="463"/>
      <c r="H21" s="463"/>
      <c r="I21" s="463"/>
      <c r="J21" s="381"/>
      <c r="K21" s="463"/>
      <c r="L21" s="463"/>
      <c r="M21" s="463"/>
      <c r="T21" s="465" t="s">
        <v>369</v>
      </c>
      <c r="U21" s="675">
        <f>'Exhibit No.__(RMM-3)'!D658</f>
        <v>1825</v>
      </c>
      <c r="V21" s="466"/>
      <c r="W21" s="467">
        <f>'Exhibit No.__(RMM-3)'!J658</f>
        <v>1825</v>
      </c>
      <c r="AD21" s="501" t="s">
        <v>13</v>
      </c>
    </row>
    <row r="22" spans="2:30">
      <c r="B22" s="460" t="s">
        <v>342</v>
      </c>
      <c r="C22" s="361"/>
      <c r="G22" s="463"/>
      <c r="H22" s="463"/>
      <c r="I22" s="463"/>
      <c r="J22" s="381"/>
      <c r="K22" s="463"/>
      <c r="L22" s="463"/>
      <c r="M22" s="463"/>
      <c r="U22" s="370" t="s">
        <v>88</v>
      </c>
      <c r="V22" s="370"/>
      <c r="W22" s="371">
        <v>0.26400000000000001</v>
      </c>
    </row>
    <row r="23" spans="2:30">
      <c r="B23" s="343">
        <v>20</v>
      </c>
      <c r="D23" s="364">
        <v>200</v>
      </c>
      <c r="E23" s="364">
        <f>ROUND((B$23*D23),0)</f>
        <v>4000</v>
      </c>
      <c r="G23" s="463">
        <f>ROUND(((E23*$U$14/100))+(E23*$W$25/100),2)</f>
        <v>244.76</v>
      </c>
      <c r="H23" s="463"/>
      <c r="I23" s="463">
        <f>IF($B$23&lt;51,$B$23*$U$17,IF($B$23&lt;301,$B$23*$U$18+$U$20,$U$21+$U$19*$B$23))+W27</f>
        <v>647.24999999999989</v>
      </c>
      <c r="J23" s="381"/>
      <c r="K23" s="463">
        <f ca="1">ROUND((($E23*$W$14/100))+(($E23*$W$26)/100),2)</f>
        <v>255.08</v>
      </c>
      <c r="L23" s="463"/>
      <c r="M23" s="463">
        <f>IF($B$23&lt;51,$B$23*$W$17,IF($B$23&lt;301,$B$23*$W$18+$W$20,$W$21+$W$19*$B$23))+W28</f>
        <v>647.24999999999989</v>
      </c>
      <c r="O23" s="367">
        <f ca="1">ROUND((K23-G23)/G23,4)</f>
        <v>4.2200000000000001E-2</v>
      </c>
      <c r="P23" s="367"/>
      <c r="Q23" s="367">
        <f>ROUND((M23-I23)/I23,4)</f>
        <v>0</v>
      </c>
      <c r="R23" s="367"/>
      <c r="U23" s="370"/>
      <c r="V23" s="370"/>
      <c r="W23" s="371">
        <v>0.26400000000000001</v>
      </c>
    </row>
    <row r="24" spans="2:30">
      <c r="D24" s="364">
        <v>300</v>
      </c>
      <c r="E24" s="364">
        <f>ROUND((B$23*D24),0)</f>
        <v>6000</v>
      </c>
      <c r="G24" s="463">
        <f>ROUND(((E24*$U$14/100))+(E24*$W$25/100),2)</f>
        <v>367.14</v>
      </c>
      <c r="H24" s="463"/>
      <c r="I24" s="463">
        <f>IF($B$23&lt;51,$B$23*$U$17,IF($B$23&lt;301,$B$23*$U$18+$U$20,$U$21+$U$19*$B$23))+W27</f>
        <v>647.24999999999989</v>
      </c>
      <c r="J24" s="381"/>
      <c r="K24" s="463">
        <f ca="1">ROUND((($E24*$W$14/100))+(($E24*$W$26)/100),2)</f>
        <v>382.62</v>
      </c>
      <c r="L24" s="463"/>
      <c r="M24" s="463">
        <f>IF($B$23&lt;51,$B$23*$W$17,IF($B$23&lt;301,$B$23*$W$18+$W$20,$W$21+$W$19*$B$23))+W28</f>
        <v>647.24999999999989</v>
      </c>
      <c r="O24" s="367">
        <f ca="1">ROUND((K24-G24)/G24,4)</f>
        <v>4.2200000000000001E-2</v>
      </c>
      <c r="P24" s="367"/>
      <c r="Q24" s="367">
        <f>ROUND((M24-I24)/I24,4)</f>
        <v>0</v>
      </c>
      <c r="R24" s="367"/>
      <c r="U24" s="370"/>
      <c r="V24" s="370"/>
      <c r="W24" s="374"/>
    </row>
    <row r="25" spans="2:30">
      <c r="D25" s="364">
        <v>500</v>
      </c>
      <c r="E25" s="364">
        <f>ROUND((B$23*D25),0)</f>
        <v>10000</v>
      </c>
      <c r="G25" s="463">
        <f>ROUND(((E25*$U$14/100))+(E25*$W$25/100),2)</f>
        <v>611.9</v>
      </c>
      <c r="H25" s="463"/>
      <c r="I25" s="463">
        <f>IF($B$23&lt;51,$B$23*$U$17,IF($B$23&lt;301,$B$23*$U$18+$U$20,$U$21+$U$19*$B$23))+W27</f>
        <v>647.24999999999989</v>
      </c>
      <c r="J25" s="381"/>
      <c r="K25" s="463">
        <f ca="1">ROUND((($E25*$W$14/100))+(($E25*$W$26)/100),2)</f>
        <v>637.70000000000005</v>
      </c>
      <c r="L25" s="463"/>
      <c r="M25" s="463">
        <f>IF($B$23&lt;51,$B$23*$W$17,IF($B$23&lt;301,$B$23*$W$18+$W$20,$W$21+$W$19*$B$23))+W28</f>
        <v>647.24999999999989</v>
      </c>
      <c r="O25" s="367">
        <f ca="1">ROUND((K25-G25)/G25,4)</f>
        <v>4.2200000000000001E-2</v>
      </c>
      <c r="P25" s="367"/>
      <c r="Q25" s="367">
        <f>ROUND((M25-I25)/I25,4)</f>
        <v>0</v>
      </c>
      <c r="R25" s="367"/>
      <c r="U25" s="370" t="s">
        <v>332</v>
      </c>
      <c r="V25" s="370"/>
      <c r="W25" s="371">
        <v>-0.72799999999999998</v>
      </c>
    </row>
    <row r="26" spans="2:30">
      <c r="G26" s="463"/>
      <c r="H26" s="463"/>
      <c r="I26" s="463"/>
      <c r="J26" s="381"/>
      <c r="K26" s="463"/>
      <c r="L26" s="463"/>
      <c r="M26" s="463"/>
      <c r="U26" s="343" t="s">
        <v>13</v>
      </c>
      <c r="V26" s="343" t="s">
        <v>13</v>
      </c>
      <c r="W26" s="427">
        <v>-0.72799999999999998</v>
      </c>
    </row>
    <row r="27" spans="2:30">
      <c r="B27" s="343">
        <v>100</v>
      </c>
      <c r="D27" s="364">
        <v>200</v>
      </c>
      <c r="E27" s="364">
        <f>ROUND((B$27*D27),0)</f>
        <v>20000</v>
      </c>
      <c r="G27" s="463">
        <f>ROUND(((E27*$U$14/100))+(E27*$W$25/100),2)</f>
        <v>1223.8</v>
      </c>
      <c r="H27" s="463"/>
      <c r="I27" s="463">
        <f>IF($B$27&lt;51,$B$27*$U$17,IF($B$27&lt;301,$B$27*$U$18+$U$20,$U$21+$U$19*$B$27))+W27</f>
        <v>2661.65</v>
      </c>
      <c r="J27" s="381"/>
      <c r="K27" s="463">
        <f ca="1">ROUND((($E27*$W$14/100))+(($E27*$W$26)/100),2)</f>
        <v>1275.4000000000001</v>
      </c>
      <c r="L27" s="463"/>
      <c r="M27" s="463">
        <f>IF($B$27&lt;51,$B$27*$W$17,IF($B$27&lt;301,$B$27*$W$18+$W$20,$W$21+$W$19*$B$27))+W28</f>
        <v>2661.65</v>
      </c>
      <c r="O27" s="367">
        <f ca="1">ROUND((K27-G27)/G27,4)</f>
        <v>4.2200000000000001E-2</v>
      </c>
      <c r="P27" s="367"/>
      <c r="Q27" s="367">
        <f>ROUND((M27-I27)/I27,4)</f>
        <v>0</v>
      </c>
      <c r="R27" s="367"/>
      <c r="U27" s="343" t="s">
        <v>420</v>
      </c>
      <c r="W27" s="416">
        <v>15.65</v>
      </c>
      <c r="X27" s="343" t="s">
        <v>13</v>
      </c>
    </row>
    <row r="28" spans="2:30">
      <c r="D28" s="364">
        <v>300</v>
      </c>
      <c r="E28" s="364">
        <f>ROUND((B$27*D28),0)</f>
        <v>30000</v>
      </c>
      <c r="G28" s="463">
        <f>ROUND(((E28*$U$14/100))+(E28*$W$25/100),2)</f>
        <v>1835.7</v>
      </c>
      <c r="H28" s="463"/>
      <c r="I28" s="463">
        <f>IF($B$27&lt;51,$B$27*$U$17,IF($B$27&lt;301,$B$27*$U$18+$U$20,$U$21+$U$19*$B$27))+W27</f>
        <v>2661.65</v>
      </c>
      <c r="J28" s="381"/>
      <c r="K28" s="463">
        <f ca="1">ROUND((($E28*$W$14/100))+(($E28*$W$26)/100),2)</f>
        <v>1913.1</v>
      </c>
      <c r="L28" s="463"/>
      <c r="M28" s="463">
        <f>IF($B$27&lt;51,$B$27*$W$17,IF($B$27&lt;301,$B$27*$W$18+$W$20,$W$21+$W$19*$B$27))+W28</f>
        <v>2661.65</v>
      </c>
      <c r="O28" s="367">
        <f ca="1">ROUND((K28-G28)/G28,4)</f>
        <v>4.2200000000000001E-2</v>
      </c>
      <c r="P28" s="367"/>
      <c r="Q28" s="367">
        <f>ROUND((M28-I28)/I28,4)</f>
        <v>0</v>
      </c>
      <c r="R28" s="367"/>
      <c r="U28" s="343" t="s">
        <v>419</v>
      </c>
      <c r="W28" s="416">
        <f>W27</f>
        <v>15.65</v>
      </c>
    </row>
    <row r="29" spans="2:30">
      <c r="D29" s="364">
        <v>500</v>
      </c>
      <c r="E29" s="364">
        <f>ROUND((B$27*D29),0)</f>
        <v>50000</v>
      </c>
      <c r="G29" s="463">
        <f>ROUND(((E29*$U$14/100))+(E29*$W$25/100),2)</f>
        <v>3059.5</v>
      </c>
      <c r="H29" s="463"/>
      <c r="I29" s="463">
        <f>IF($B$27&lt;51,$B$27*$U$17,IF($B$27&lt;301,$B$27*$U$18+$U$20,$U$21+$U$19*$B$27))+W27</f>
        <v>2661.65</v>
      </c>
      <c r="J29" s="381"/>
      <c r="K29" s="463">
        <f ca="1">ROUND((($E29*$W$14/100))+(($E29*$W$26)/100),2)</f>
        <v>3188.5</v>
      </c>
      <c r="L29" s="463"/>
      <c r="M29" s="463">
        <f>IF($B$27&lt;51,$B$27*$W$17,IF($B$27&lt;301,$B$27*$W$18+$W$20,$W$21+$W$19*$B$27))+W28</f>
        <v>2661.65</v>
      </c>
      <c r="O29" s="367">
        <f ca="1">ROUND((K29-G29)/G29,4)</f>
        <v>4.2200000000000001E-2</v>
      </c>
      <c r="P29" s="367"/>
      <c r="Q29" s="367">
        <f>ROUND((M29-I29)/I29,4)</f>
        <v>0</v>
      </c>
      <c r="R29" s="367"/>
    </row>
    <row r="30" spans="2:30">
      <c r="G30" s="463"/>
      <c r="H30" s="463"/>
      <c r="I30" s="463"/>
      <c r="J30" s="381"/>
      <c r="K30" s="463"/>
      <c r="L30" s="463"/>
      <c r="M30" s="463"/>
      <c r="U30" s="501" t="s">
        <v>534</v>
      </c>
      <c r="W30" s="501">
        <v>-0.308</v>
      </c>
    </row>
    <row r="31" spans="2:30">
      <c r="B31" s="343">
        <v>300</v>
      </c>
      <c r="D31" s="364">
        <v>200</v>
      </c>
      <c r="E31" s="364">
        <f>ROUND((B$31*D31),0)</f>
        <v>60000</v>
      </c>
      <c r="G31" s="463">
        <f>ROUND(((E31*$U$14/100))+(E31*$W$25/100),2)</f>
        <v>3671.4</v>
      </c>
      <c r="H31" s="463"/>
      <c r="I31" s="463">
        <f>IF($B$31&lt;51,$B$31*$U$17,IF($B$31&lt;301,$B$31*$U$18+$U$20,$U$21+$U$19*$B$31))+W27</f>
        <v>7055.65</v>
      </c>
      <c r="J31" s="381"/>
      <c r="K31" s="463">
        <f ca="1">ROUND((($E31*$W$14/100))+(($E31*$W$26)/100),2)</f>
        <v>3826.2</v>
      </c>
      <c r="L31" s="463"/>
      <c r="M31" s="463">
        <f>IF($B$31&lt;51,$B$31*$W$17,IF($B$31&lt;301,$B$31*$W$18+$W$20,$W$21+$W$19*$B$31))+W28</f>
        <v>7055.65</v>
      </c>
      <c r="O31" s="367">
        <f ca="1">ROUND((K31-G31)/G31,4)</f>
        <v>4.2200000000000001E-2</v>
      </c>
      <c r="P31" s="367"/>
      <c r="Q31" s="367">
        <f>ROUND((M31-I31)/I31,4)</f>
        <v>0</v>
      </c>
      <c r="R31" s="367"/>
      <c r="U31" s="501" t="s">
        <v>533</v>
      </c>
      <c r="W31" s="669">
        <v>-0.308</v>
      </c>
    </row>
    <row r="32" spans="2:30">
      <c r="D32" s="364">
        <v>300</v>
      </c>
      <c r="E32" s="364">
        <f>ROUND((B$31*D32),0)</f>
        <v>90000</v>
      </c>
      <c r="G32" s="463">
        <f>ROUND(((E32*$U$14/100))+(E32*$W$25/100),2)</f>
        <v>5507.1</v>
      </c>
      <c r="H32" s="463"/>
      <c r="I32" s="463">
        <f>IF($B$31&lt;51,$B$31*$U$17,IF($B$31&lt;301,$B$31*$U$18+$U$20,$U$21+$U$19*$B$31))+W27</f>
        <v>7055.65</v>
      </c>
      <c r="J32" s="381"/>
      <c r="K32" s="463">
        <f ca="1">ROUND((($E32*$W$14/100))+(($E32*$W$26)/100),2)</f>
        <v>5739.3</v>
      </c>
      <c r="L32" s="463"/>
      <c r="M32" s="463">
        <f>IF($B$31&lt;51,$B$31*$W$17,IF($B$31&lt;301,$B$31*$W$18+$W$20,$W$21+$W$19*$B$31))+W28</f>
        <v>7055.65</v>
      </c>
      <c r="O32" s="367">
        <f ca="1">ROUND((K32-G32)/G32,4)</f>
        <v>4.2200000000000001E-2</v>
      </c>
      <c r="P32" s="367"/>
      <c r="Q32" s="367">
        <f>ROUND((M32-I32)/I32,4)</f>
        <v>0</v>
      </c>
      <c r="R32" s="367"/>
      <c r="U32" s="501"/>
      <c r="W32" s="690"/>
    </row>
    <row r="33" spans="2:23">
      <c r="D33" s="364">
        <v>500</v>
      </c>
      <c r="E33" s="364">
        <f>ROUND((B$31*D33),0)</f>
        <v>150000</v>
      </c>
      <c r="G33" s="463">
        <f>ROUND(((E33*$U$14/100))+(E33*$W$25/100),2)</f>
        <v>9178.5</v>
      </c>
      <c r="H33" s="463"/>
      <c r="I33" s="463">
        <f>IF($B$31&lt;51,$B$31*$U$17,IF($B$31&lt;301,$B$31*$U$18+$U$20,$U$21+$U$19*$B$31))+W27</f>
        <v>7055.65</v>
      </c>
      <c r="J33" s="381"/>
      <c r="K33" s="463">
        <f ca="1">ROUND((($E33*$W$14/100))+(($E33*$W$26)/100),2)</f>
        <v>9565.5</v>
      </c>
      <c r="L33" s="463"/>
      <c r="M33" s="463">
        <f>IF($B$31&lt;51,$B$31*$W$17,IF($B$31&lt;301,$B$31*$W$18+$W$20,$W$21+$W$19*$B$31))+W28</f>
        <v>7055.65</v>
      </c>
      <c r="O33" s="367">
        <f ca="1">ROUND((K33-G33)/G33,4)</f>
        <v>4.2200000000000001E-2</v>
      </c>
      <c r="P33" s="367"/>
      <c r="Q33" s="367">
        <f>ROUND((M33-I33)/I33,4)</f>
        <v>0</v>
      </c>
      <c r="R33" s="367"/>
      <c r="U33" s="501" t="s">
        <v>1472</v>
      </c>
      <c r="W33" s="343">
        <f ca="1">'Exhibit No.__(RMM-2)pg1'!S25</f>
        <v>-0.05</v>
      </c>
    </row>
    <row r="34" spans="2:23"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</row>
    <row r="35" spans="2:23">
      <c r="T35" s="489" t="s">
        <v>427</v>
      </c>
      <c r="U35" s="469">
        <f ca="1">'Exhibit No.__(RMM-2)pg2'!X27</f>
        <v>2.6226668379763639E-2</v>
      </c>
    </row>
    <row r="36" spans="2:23">
      <c r="C36" s="379"/>
    </row>
    <row r="37" spans="2:23">
      <c r="B37" s="343" t="s">
        <v>333</v>
      </c>
      <c r="C37" s="379"/>
    </row>
    <row r="38" spans="2:23">
      <c r="B38" s="468" t="s">
        <v>1475</v>
      </c>
      <c r="C38" s="379"/>
    </row>
    <row r="39" spans="2:23">
      <c r="B39" s="379" t="s">
        <v>446</v>
      </c>
      <c r="C39" s="379"/>
    </row>
    <row r="40" spans="2:23">
      <c r="B40" s="379"/>
      <c r="C40" s="379"/>
    </row>
    <row r="41" spans="2:23">
      <c r="B41" s="379"/>
      <c r="C41" s="379"/>
    </row>
    <row r="42" spans="2:23">
      <c r="B42" s="379"/>
      <c r="C42" s="379"/>
    </row>
    <row r="43" spans="2:23">
      <c r="B43" s="379"/>
      <c r="C43" s="379"/>
    </row>
    <row r="44" spans="2:23">
      <c r="B44" s="379"/>
      <c r="C44" s="379"/>
    </row>
    <row r="45" spans="2:23">
      <c r="B45" s="379"/>
      <c r="C45" s="379"/>
    </row>
    <row r="46" spans="2:23">
      <c r="B46" s="379"/>
      <c r="C46" s="379"/>
    </row>
    <row r="47" spans="2:23">
      <c r="B47" s="379"/>
      <c r="C47" s="379"/>
    </row>
    <row r="48" spans="2:23">
      <c r="B48" s="379"/>
      <c r="C48" s="379"/>
      <c r="P48" s="381"/>
    </row>
    <row r="49" spans="2:3">
      <c r="B49" s="379"/>
      <c r="C49" s="379"/>
    </row>
    <row r="50" spans="2:3">
      <c r="B50" s="379"/>
      <c r="C50" s="379"/>
    </row>
    <row r="51" spans="2:3">
      <c r="B51" s="379"/>
      <c r="C51" s="379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7">
    <pageSetUpPr fitToPage="1"/>
  </sheetPr>
  <dimension ref="A2:X48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9.75" style="343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3" width="2.375" style="343" customWidth="1"/>
    <col min="14" max="14" width="20.25" style="343" customWidth="1"/>
    <col min="15" max="15" width="11" style="343" bestFit="1" customWidth="1"/>
    <col min="16" max="16" width="17.25" style="343" customWidth="1"/>
    <col min="17" max="17" width="8.875" style="343" customWidth="1"/>
    <col min="18" max="18" width="10.25" style="343" customWidth="1"/>
    <col min="19" max="19" width="7.375" style="343" customWidth="1"/>
    <col min="20" max="20" width="3.125" style="343" customWidth="1"/>
    <col min="21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  <c r="M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</row>
    <row r="5" spans="1:23" ht="18.75">
      <c r="B5" s="347" t="s">
        <v>370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</row>
    <row r="6" spans="1:23" ht="18.75">
      <c r="B6" s="347" t="s">
        <v>371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</row>
    <row r="7" spans="1:23" ht="18.75">
      <c r="B7" s="347" t="s">
        <v>13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</row>
    <row r="8" spans="1:23" ht="18.75">
      <c r="A8" s="470"/>
      <c r="B8" s="348"/>
      <c r="C8" s="348"/>
      <c r="D8" s="348"/>
      <c r="E8" s="348"/>
      <c r="F8" s="348"/>
      <c r="G8" s="348"/>
      <c r="H8" s="348"/>
      <c r="I8" s="348"/>
      <c r="J8" s="348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348" t="s">
        <v>121</v>
      </c>
      <c r="K12" s="348" t="s">
        <v>327</v>
      </c>
      <c r="L12" s="348"/>
      <c r="M12" s="348"/>
    </row>
    <row r="13" spans="1:23">
      <c r="B13" s="453" t="s">
        <v>210</v>
      </c>
      <c r="C13" s="454" t="s">
        <v>340</v>
      </c>
      <c r="D13" s="361"/>
      <c r="E13" s="355" t="s">
        <v>9</v>
      </c>
      <c r="F13" s="361"/>
      <c r="G13" s="356" t="s">
        <v>372</v>
      </c>
      <c r="I13" s="356" t="s">
        <v>373</v>
      </c>
      <c r="K13" s="349" t="s">
        <v>114</v>
      </c>
      <c r="L13" s="352"/>
      <c r="M13" s="352"/>
      <c r="N13" s="471" t="s">
        <v>328</v>
      </c>
      <c r="O13" s="437"/>
      <c r="P13" s="438"/>
      <c r="Q13" s="406"/>
      <c r="R13" s="437" t="s">
        <v>329</v>
      </c>
      <c r="S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409"/>
    </row>
    <row r="15" spans="1:23">
      <c r="B15" s="364">
        <v>1000</v>
      </c>
      <c r="C15" s="343">
        <v>300</v>
      </c>
      <c r="E15" s="364">
        <f>ROUND((B$15*C15),0)</f>
        <v>300000</v>
      </c>
      <c r="F15" s="364"/>
      <c r="G15" s="463">
        <f>ROUND($E15*$P$18*O$18/100+$E15*$P$19*O$19/100+$B$15*O$17+IF($B$15&lt;3001,$B$15*P$15+O$15,$B$15*P$16+O$16),2)+$R$24</f>
        <v>25731.75</v>
      </c>
      <c r="H15" s="463"/>
      <c r="I15" s="463">
        <f ca="1">ROUND($E15*$S$18*R$18/100+$E15*$S$19*R$19/100+$B$15*R$17+IF($B$15&lt;3001,$B$15*S$15+R$15,$B$15*S$16+R$16),2)+$R$25</f>
        <v>26514.75</v>
      </c>
      <c r="K15" s="367">
        <f ca="1">(I15-G15)/G15</f>
        <v>3.0429333411058322E-2</v>
      </c>
      <c r="L15" s="367"/>
      <c r="M15" s="367"/>
      <c r="N15" s="408" t="s">
        <v>374</v>
      </c>
      <c r="O15" s="414">
        <f>'Exhibit No.__(RMM-3)'!D875</f>
        <v>1313</v>
      </c>
      <c r="P15" s="360">
        <f>'Exhibit No.__(RMM-3)'!D878</f>
        <v>1.22</v>
      </c>
      <c r="Q15" s="415"/>
      <c r="R15" s="414">
        <f>'Exhibit No.__(RMM-3)'!J875</f>
        <v>1313</v>
      </c>
      <c r="S15" s="360">
        <f>'Exhibit No.__(RMM-3)'!J878</f>
        <v>1.22</v>
      </c>
      <c r="W15" s="502" t="s">
        <v>13</v>
      </c>
    </row>
    <row r="16" spans="1:23">
      <c r="C16" s="343">
        <v>500</v>
      </c>
      <c r="E16" s="364">
        <f>ROUND((B$15*C16),0)</f>
        <v>500000</v>
      </c>
      <c r="F16" s="364"/>
      <c r="G16" s="463">
        <f>ROUND($E16*$P$18*O$18/100+$E16*$P$19*O$19/100+$B$15*O$17+IF($B$15&lt;3001,$B$15*P$15+O$15,$B$15*P$16+O$16),2)+$R$24</f>
        <v>35205.910000000003</v>
      </c>
      <c r="H16" s="463"/>
      <c r="I16" s="463">
        <f ca="1">ROUND($E16*$S$18*R$18/100+$E16*$S$19*R$19/100+$B$15*R$17+IF($B$15&lt;3001,$B$15*S$15+R$15,$B$15*S$16+R$16),2)+$R$25</f>
        <v>36510.910000000003</v>
      </c>
      <c r="K16" s="367">
        <f ca="1">(I16-G16)/G16</f>
        <v>3.7067640063841549E-2</v>
      </c>
      <c r="L16" s="367"/>
      <c r="M16" s="367"/>
      <c r="N16" s="408" t="s">
        <v>375</v>
      </c>
      <c r="O16" s="414">
        <f>'Exhibit No.__(RMM-3)'!D876</f>
        <v>1587</v>
      </c>
      <c r="P16" s="360">
        <f>'Exhibit No.__(RMM-3)'!D879</f>
        <v>1.0900000000000001</v>
      </c>
      <c r="Q16" s="415"/>
      <c r="R16" s="414">
        <f>'Exhibit No.__(RMM-3)'!J876</f>
        <v>1587</v>
      </c>
      <c r="S16" s="360">
        <f>'Exhibit No.__(RMM-3)'!J879</f>
        <v>1.0900000000000001</v>
      </c>
    </row>
    <row r="17" spans="2:24">
      <c r="C17" s="343">
        <v>700</v>
      </c>
      <c r="E17" s="364">
        <f>ROUND((B$15*C17),0)</f>
        <v>700000</v>
      </c>
      <c r="F17" s="364"/>
      <c r="G17" s="463">
        <f>ROUND($E17*$P$18*O$18/100+$E17*$P$19*O$19/100+$B$15*O$17+IF($B$15&lt;3001,$B$15*P$15+O$15,$B$15*P$16+O$16),2)+$R$24</f>
        <v>44680.08</v>
      </c>
      <c r="H17" s="463"/>
      <c r="I17" s="463">
        <f ca="1">ROUND($E17*$S$18*R$18/100+$E17*$S$19*R$19/100+$B$15*R$17+IF($B$15&lt;3001,$B$15*S$15+R$15,$B$15*S$16+R$16),2)+$R$25</f>
        <v>46507.08</v>
      </c>
      <c r="K17" s="367">
        <f ca="1">(I17-G17)/G17</f>
        <v>4.0890705656749043E-2</v>
      </c>
      <c r="L17" s="367"/>
      <c r="M17" s="367"/>
      <c r="N17" s="408" t="s">
        <v>210</v>
      </c>
      <c r="O17" s="414">
        <f>'Exhibit No.__(RMM-3)'!D880</f>
        <v>8.73</v>
      </c>
      <c r="P17" s="420"/>
      <c r="Q17" s="415"/>
      <c r="R17" s="414">
        <f>'Exhibit No.__(RMM-3)'!J880</f>
        <v>8.73</v>
      </c>
      <c r="S17" s="420"/>
      <c r="U17" s="535">
        <f>(R17-O17)/O17</f>
        <v>0</v>
      </c>
    </row>
    <row r="18" spans="2:24">
      <c r="G18" s="463"/>
      <c r="H18" s="463"/>
      <c r="I18" s="463"/>
      <c r="K18" s="367"/>
      <c r="L18" s="367"/>
      <c r="M18" s="367"/>
      <c r="N18" s="721" t="s">
        <v>531</v>
      </c>
      <c r="O18" s="423">
        <f>('Exhibit No.__(RMM-3)'!D883)+R20+R27</f>
        <v>5.3029999999999999</v>
      </c>
      <c r="P18" s="681">
        <v>0.39344309562646129</v>
      </c>
      <c r="Q18" s="415" t="s">
        <v>531</v>
      </c>
      <c r="R18" s="423">
        <f ca="1">('Exhibit No.__(RMM-3)'!J883)+R21+R28+R30</f>
        <v>5.5640000000000001</v>
      </c>
      <c r="S18" s="681">
        <v>0.39344309562646129</v>
      </c>
      <c r="U18" s="535">
        <f>(('Exhibit No.__(RMM-3)'!G882+R20)-O18)/O18</f>
        <v>-0.96171978125589286</v>
      </c>
      <c r="W18" s="423" t="s">
        <v>13</v>
      </c>
      <c r="X18" s="669" t="s">
        <v>13</v>
      </c>
    </row>
    <row r="19" spans="2:24" ht="15.75" thickBot="1">
      <c r="B19" s="364">
        <v>2000</v>
      </c>
      <c r="C19" s="343">
        <v>300</v>
      </c>
      <c r="E19" s="364">
        <f>ROUND((B$19*C19),0)</f>
        <v>600000</v>
      </c>
      <c r="F19" s="364"/>
      <c r="G19" s="463">
        <f>ROUND($E19*$P$18*O$18/100+$E19*$P$19*O$19/100+$B$19*O$17+IF($B$19&lt;3001,$B$19*P$15+O$15,$B$19*P$16+O$16),2)+$R$24</f>
        <v>49892.99</v>
      </c>
      <c r="H19" s="463"/>
      <c r="I19" s="463">
        <f ca="1">ROUND($E19*$S$18*R$18/100+$E19*$S$19*R$19/100+$B$19*R$17+IF($B$19&lt;3001,$B$19*S$15+R$15,$B$19*S$16+R$16),2)+$R$25</f>
        <v>51458.99</v>
      </c>
      <c r="K19" s="367">
        <f ca="1">(I19-G19)/G19</f>
        <v>3.1387174831574535E-2</v>
      </c>
      <c r="L19" s="367"/>
      <c r="M19" s="367"/>
      <c r="N19" s="680" t="s">
        <v>529</v>
      </c>
      <c r="O19" s="722">
        <f>('Exhibit No.__(RMM-3)'!D884)+R20+R27</f>
        <v>4.37</v>
      </c>
      <c r="P19" s="682">
        <f>1-P18</f>
        <v>0.60655690437353871</v>
      </c>
      <c r="Q19" s="680" t="s">
        <v>529</v>
      </c>
      <c r="R19" s="722">
        <f ca="1">('Exhibit No.__(RMM-3)'!J884)+R21+R28+R30</f>
        <v>4.6310000000000002</v>
      </c>
      <c r="S19" s="682">
        <f>1-S18</f>
        <v>0.60655690437353871</v>
      </c>
      <c r="X19" s="669" t="s">
        <v>13</v>
      </c>
    </row>
    <row r="20" spans="2:24">
      <c r="C20" s="343">
        <v>500</v>
      </c>
      <c r="E20" s="364">
        <f>ROUND((B$19*C20),0)</f>
        <v>1000000</v>
      </c>
      <c r="F20" s="364"/>
      <c r="G20" s="463">
        <f t="shared" ref="G20:G21" si="0">ROUND($E20*$P$18*O$18/100+$E20*$P$19*O$19/100+$B$19*O$17+IF($B$19&lt;3001,$B$19*P$15+O$15,$B$19*P$16+O$16),2)+$R$24</f>
        <v>68841.320000000007</v>
      </c>
      <c r="H20" s="463"/>
      <c r="I20" s="463">
        <f ca="1">ROUND($E20*$S$18*R$18/100+$E20*$S$19*R$19/100+$B$19*R$17+IF($B$19&lt;3001,$B$19*S$15+R$15,$B$19*S$16+R$16),2)+$R$25</f>
        <v>71451.320000000007</v>
      </c>
      <c r="K20" s="367">
        <f ca="1">(I20-G20)/G20</f>
        <v>3.7913276503123414E-2</v>
      </c>
      <c r="L20" s="367"/>
      <c r="M20" s="367"/>
      <c r="P20" s="370" t="s">
        <v>88</v>
      </c>
      <c r="Q20" s="370"/>
      <c r="R20" s="371">
        <v>0.20300000000000001</v>
      </c>
      <c r="U20" s="423" t="s">
        <v>13</v>
      </c>
    </row>
    <row r="21" spans="2:24">
      <c r="C21" s="343">
        <v>700</v>
      </c>
      <c r="E21" s="364">
        <f>ROUND((B$19*C21),0)</f>
        <v>1400000</v>
      </c>
      <c r="F21" s="364"/>
      <c r="G21" s="463">
        <f t="shared" si="0"/>
        <v>87789.65</v>
      </c>
      <c r="H21" s="463"/>
      <c r="I21" s="463">
        <f ca="1">ROUND($E21*$S$18*R$18/100+$E21*$S$19*R$19/100+$B$19*R$17+IF($B$19&lt;3001,$B$19*S$15+R$15,$B$19*S$16+R$16),2)+$R$25</f>
        <v>91443.65</v>
      </c>
      <c r="K21" s="367">
        <f ca="1">(I21-G21)/G21</f>
        <v>4.1622218564489097E-2</v>
      </c>
      <c r="L21" s="367"/>
      <c r="M21" s="367"/>
      <c r="P21" s="370"/>
      <c r="Q21" s="370"/>
      <c r="R21" s="371">
        <v>0.20300000000000001</v>
      </c>
    </row>
    <row r="22" spans="2:24">
      <c r="G22" s="463"/>
      <c r="H22" s="463"/>
      <c r="I22" s="463"/>
      <c r="K22" s="367"/>
      <c r="L22" s="367"/>
      <c r="M22" s="367"/>
      <c r="P22" s="370"/>
      <c r="Q22" s="370"/>
      <c r="R22" s="374"/>
    </row>
    <row r="23" spans="2:24">
      <c r="B23" s="364">
        <v>4000</v>
      </c>
      <c r="C23" s="343">
        <v>300</v>
      </c>
      <c r="E23" s="364">
        <f>ROUND((B$23*C23),0)</f>
        <v>1200000</v>
      </c>
      <c r="F23" s="364"/>
      <c r="G23" s="463">
        <f>ROUND($E23*$P$18*O$18/100+$E23*$P$19*O$19/100+$B$23*O$17+IF($B$23&lt;3001,$B$23*P$15+O$15,$B$23*P$16+O$16),2)+$R$24</f>
        <v>97969.49</v>
      </c>
      <c r="H23" s="463"/>
      <c r="I23" s="463">
        <f ca="1">ROUND($E23*$S$18*R$18/100+$E23*$S$19*R$19/100+$B$23*R$17+IF($B$23&lt;3001,$B$23*S$15+R$15,$B$23*S$16+R$16),2)+$R$25</f>
        <v>101101.49</v>
      </c>
      <c r="K23" s="367">
        <f ca="1">(I23-G23)/G23</f>
        <v>3.1969136513826907E-2</v>
      </c>
      <c r="L23" s="367"/>
      <c r="M23" s="367"/>
      <c r="P23" s="343" t="s">
        <v>13</v>
      </c>
      <c r="Q23" s="343" t="s">
        <v>13</v>
      </c>
      <c r="R23" s="343" t="s">
        <v>13</v>
      </c>
      <c r="U23" s="501" t="s">
        <v>13</v>
      </c>
    </row>
    <row r="24" spans="2:24">
      <c r="C24" s="343">
        <v>500</v>
      </c>
      <c r="E24" s="364">
        <f>ROUND((B$23*C24),0)</f>
        <v>2000000</v>
      </c>
      <c r="F24" s="364"/>
      <c r="G24" s="463">
        <f t="shared" ref="G24:G25" si="1">ROUND($E24*$P$18*O$18/100+$E24*$P$19*O$19/100+$B$23*O$17+IF($B$23&lt;3001,$B$23*P$15+O$15,$B$23*P$16+O$16),2)+$R$24</f>
        <v>135866.15</v>
      </c>
      <c r="H24" s="463"/>
      <c r="I24" s="463">
        <f ca="1">ROUND($E24*$S$18*R$18/100+$E24*$S$19*R$19/100+$B$23*R$17+IF($B$23&lt;3001,$B$23*S$15+R$15,$B$23*S$16+R$16),2)+$R$25</f>
        <v>141086.15</v>
      </c>
      <c r="K24" s="367">
        <f ca="1">(I24-G24)/G24</f>
        <v>3.842016572928577E-2</v>
      </c>
      <c r="L24" s="367"/>
      <c r="M24" s="367"/>
      <c r="P24" s="343" t="s">
        <v>420</v>
      </c>
      <c r="R24" s="416">
        <v>257.5</v>
      </c>
      <c r="S24" s="343" t="s">
        <v>13</v>
      </c>
    </row>
    <row r="25" spans="2:24">
      <c r="C25" s="343">
        <v>700</v>
      </c>
      <c r="E25" s="364">
        <f>ROUND((B$23*C25),0)</f>
        <v>2800000</v>
      </c>
      <c r="F25" s="364"/>
      <c r="G25" s="463">
        <f t="shared" si="1"/>
        <v>173762.81</v>
      </c>
      <c r="H25" s="463"/>
      <c r="I25" s="463">
        <f ca="1">ROUND($E25*$S$18*R$18/100+$E25*$S$19*R$19/100+$B$23*R$17+IF($B$23&lt;3001,$B$23*S$15+R$15,$B$23*S$16+R$16),2)+$R$25</f>
        <v>181070.81</v>
      </c>
      <c r="K25" s="367">
        <f ca="1">(I25-G25)/G25</f>
        <v>4.2057330909876518E-2</v>
      </c>
      <c r="L25" s="367"/>
      <c r="M25" s="367"/>
      <c r="P25" s="343" t="s">
        <v>419</v>
      </c>
      <c r="R25" s="416">
        <f>R24</f>
        <v>257.5</v>
      </c>
    </row>
    <row r="26" spans="2:24">
      <c r="G26" s="463"/>
      <c r="H26" s="463"/>
      <c r="I26" s="463"/>
      <c r="K26" s="367"/>
      <c r="L26" s="367"/>
      <c r="M26" s="367"/>
      <c r="X26" s="501" t="s">
        <v>13</v>
      </c>
    </row>
    <row r="27" spans="2:24">
      <c r="B27" s="364">
        <v>6000</v>
      </c>
      <c r="C27" s="343">
        <v>300</v>
      </c>
      <c r="E27" s="364">
        <f>ROUND((B$27*C27),0)</f>
        <v>1800000</v>
      </c>
      <c r="F27" s="364"/>
      <c r="G27" s="463">
        <f>ROUND($E27*$P$18*O$18/100+$E27*$P$19*O$19/100+$B$27*O$17+IF($B$27&lt;3001,$B$27*P$15+O$15,$B$27*P$16+O$16),2)+$R$24</f>
        <v>146031.98000000001</v>
      </c>
      <c r="H27" s="463"/>
      <c r="I27" s="463">
        <f ca="1">ROUND($E27*$S$18*R$18/100+$E27*$S$19*R$19/100+$B$27*R$17+IF($B$27&lt;3001,$B$27*S$15+R$15,$B$27*S$16+R$16),2)+$R$25</f>
        <v>150729.98000000001</v>
      </c>
      <c r="K27" s="367">
        <f ca="1">(I27-G27)/G27</f>
        <v>3.217103541292804E-2</v>
      </c>
      <c r="L27" s="367"/>
      <c r="M27" s="367"/>
      <c r="P27" s="501" t="s">
        <v>534</v>
      </c>
      <c r="R27" s="427">
        <v>-0.20799999999999999</v>
      </c>
    </row>
    <row r="28" spans="2:24">
      <c r="C28" s="343">
        <v>500</v>
      </c>
      <c r="E28" s="364">
        <f>ROUND((B$27*C28),0)</f>
        <v>3000000</v>
      </c>
      <c r="F28" s="364"/>
      <c r="G28" s="463">
        <f t="shared" ref="G28:G29" si="2">ROUND($E28*$P$18*O$18/100+$E28*$P$19*O$19/100+$B$27*O$17+IF($B$27&lt;3001,$B$27*P$15+O$15,$B$27*P$16+O$16),2)+$R$24</f>
        <v>202876.97</v>
      </c>
      <c r="H28" s="463"/>
      <c r="I28" s="463">
        <f ca="1">ROUND($E28*$S$18*R$18/100+$E28*$S$19*R$19/100+$B$27*R$17+IF($B$27&lt;3001,$B$27*S$15+R$15,$B$27*S$16+R$16),2)+$R$25</f>
        <v>210706.97</v>
      </c>
      <c r="K28" s="367">
        <f ca="1">(I28-G28)/G28</f>
        <v>3.8594819313399642E-2</v>
      </c>
      <c r="L28" s="367"/>
      <c r="M28" s="367"/>
      <c r="P28" s="501" t="s">
        <v>533</v>
      </c>
      <c r="R28" s="427">
        <v>-0.20799999999999999</v>
      </c>
      <c r="W28" s="501" t="s">
        <v>13</v>
      </c>
    </row>
    <row r="29" spans="2:24">
      <c r="C29" s="343">
        <v>700</v>
      </c>
      <c r="E29" s="364">
        <f>ROUND((B$27*C29),0)</f>
        <v>4200000</v>
      </c>
      <c r="F29" s="364"/>
      <c r="G29" s="463">
        <f t="shared" si="2"/>
        <v>259721.96</v>
      </c>
      <c r="H29" s="463"/>
      <c r="I29" s="463">
        <f ca="1">ROUND($E29*$S$18*R$18/100+$E29*$S$19*R$19/100+$B$27*R$17+IF($B$27&lt;3001,$B$27*S$15+R$15,$B$27*S$16+R$16),2)+$R$25</f>
        <v>270683.96000000002</v>
      </c>
      <c r="K29" s="367">
        <f ca="1">(I29-G29)/G29</f>
        <v>4.2206673628983969E-2</v>
      </c>
      <c r="L29" s="367"/>
      <c r="M29" s="367"/>
      <c r="P29" s="501"/>
      <c r="R29" s="690"/>
    </row>
    <row r="30" spans="2:24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72"/>
      <c r="P30" s="501" t="s">
        <v>1472</v>
      </c>
      <c r="R30" s="343">
        <f ca="1">'Exhibit No.__(RMM-2)pg1'!S27</f>
        <v>-4.8000000000000001E-2</v>
      </c>
    </row>
    <row r="31" spans="2:24">
      <c r="O31" s="620" t="s">
        <v>13</v>
      </c>
    </row>
    <row r="32" spans="2:24">
      <c r="N32" s="619" t="s">
        <v>492</v>
      </c>
      <c r="O32" s="469">
        <f ca="1">'Exhibit No.__(RMM-2)pg2'!X29</f>
        <v>3.5200888903957887E-2</v>
      </c>
    </row>
    <row r="33" spans="2:17">
      <c r="B33" s="343" t="s">
        <v>333</v>
      </c>
      <c r="N33" s="501" t="s">
        <v>13</v>
      </c>
    </row>
    <row r="34" spans="2:17">
      <c r="B34" s="431" t="s">
        <v>1474</v>
      </c>
    </row>
    <row r="35" spans="2:17">
      <c r="B35" s="379"/>
    </row>
    <row r="36" spans="2:17">
      <c r="B36" s="379"/>
    </row>
    <row r="37" spans="2:17">
      <c r="B37" s="379"/>
    </row>
    <row r="38" spans="2:17">
      <c r="B38" s="379"/>
    </row>
    <row r="39" spans="2:17">
      <c r="B39" s="379"/>
    </row>
    <row r="40" spans="2:17">
      <c r="B40" s="379"/>
    </row>
    <row r="41" spans="2:17">
      <c r="B41" s="379"/>
    </row>
    <row r="42" spans="2:17">
      <c r="B42" s="379"/>
    </row>
    <row r="43" spans="2:17">
      <c r="B43" s="379"/>
    </row>
    <row r="44" spans="2:17">
      <c r="B44" s="379"/>
    </row>
    <row r="45" spans="2:17">
      <c r="B45" s="379"/>
    </row>
    <row r="46" spans="2:17">
      <c r="B46" s="379"/>
    </row>
    <row r="48" spans="2:17">
      <c r="Q48" s="381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X48"/>
  <sheetViews>
    <sheetView view="pageBreakPreview" zoomScale="60" zoomScaleNormal="100" workbookViewId="0"/>
  </sheetViews>
  <sheetFormatPr defaultColWidth="8.5" defaultRowHeight="15"/>
  <cols>
    <col min="1" max="1" width="2" style="343" customWidth="1"/>
    <col min="2" max="2" width="8.5" style="343"/>
    <col min="3" max="3" width="8.5" style="343" hidden="1" customWidth="1"/>
    <col min="4" max="4" width="3.25" style="343" customWidth="1"/>
    <col min="5" max="5" width="9.75" style="343" customWidth="1"/>
    <col min="6" max="6" width="3.75" style="343" customWidth="1"/>
    <col min="7" max="7" width="19.875" style="343" customWidth="1"/>
    <col min="8" max="8" width="3.5" style="343" customWidth="1"/>
    <col min="9" max="9" width="19.5" style="343" customWidth="1"/>
    <col min="10" max="10" width="2.875" style="343" customWidth="1"/>
    <col min="11" max="11" width="12.125" style="343" customWidth="1"/>
    <col min="12" max="12" width="3.625" style="343" customWidth="1"/>
    <col min="13" max="13" width="3.5" style="469" customWidth="1"/>
    <col min="14" max="14" width="16" style="343" customWidth="1"/>
    <col min="15" max="15" width="11" style="343" bestFit="1" customWidth="1"/>
    <col min="16" max="16" width="17.25" style="343" customWidth="1"/>
    <col min="17" max="17" width="10" style="343" customWidth="1"/>
    <col min="18" max="18" width="10.25" style="343" customWidth="1"/>
    <col min="19" max="19" width="7.375" style="343" customWidth="1"/>
    <col min="20" max="20" width="3.125" style="343" customWidth="1"/>
    <col min="21" max="16384" width="8.5" style="343"/>
  </cols>
  <sheetData>
    <row r="2" spans="1:23" ht="18.75">
      <c r="B2" s="350"/>
      <c r="C2" s="348"/>
      <c r="D2" s="348"/>
      <c r="E2" s="348"/>
      <c r="F2" s="348"/>
      <c r="G2" s="348"/>
      <c r="H2" s="348"/>
      <c r="I2" s="348"/>
      <c r="J2" s="346" t="s">
        <v>13</v>
      </c>
      <c r="K2" s="448"/>
      <c r="L2" s="448"/>
    </row>
    <row r="3" spans="1:23" ht="18.75">
      <c r="B3" s="347" t="s">
        <v>443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</row>
    <row r="4" spans="1:23" ht="18.75">
      <c r="B4" s="347" t="s">
        <v>324</v>
      </c>
      <c r="C4" s="347"/>
      <c r="D4" s="347"/>
      <c r="E4" s="347"/>
      <c r="F4" s="347"/>
      <c r="G4" s="347"/>
      <c r="H4" s="347"/>
      <c r="I4" s="347"/>
      <c r="J4" s="347"/>
      <c r="K4" s="347"/>
      <c r="L4" s="347"/>
    </row>
    <row r="5" spans="1:23" ht="18.75">
      <c r="B5" s="347" t="s">
        <v>376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</row>
    <row r="6" spans="1:23" ht="18.75">
      <c r="B6" s="347" t="s">
        <v>371</v>
      </c>
      <c r="C6" s="347"/>
      <c r="D6" s="347"/>
      <c r="E6" s="347"/>
      <c r="F6" s="347"/>
      <c r="G6" s="347"/>
      <c r="H6" s="347"/>
      <c r="I6" s="347"/>
      <c r="J6" s="347"/>
      <c r="K6" s="347"/>
      <c r="L6" s="347"/>
    </row>
    <row r="7" spans="1:23" ht="18.75">
      <c r="B7" s="347" t="s">
        <v>13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</row>
    <row r="8" spans="1:23" ht="18.75">
      <c r="A8" s="470"/>
      <c r="B8" s="348"/>
      <c r="C8" s="348"/>
      <c r="D8" s="348"/>
      <c r="E8" s="348"/>
      <c r="F8" s="348"/>
      <c r="G8" s="348"/>
      <c r="H8" s="348"/>
      <c r="I8" s="348"/>
      <c r="J8" s="348"/>
    </row>
    <row r="9" spans="1:23" ht="18.75">
      <c r="A9" s="470"/>
      <c r="B9" s="348"/>
      <c r="C9" s="348"/>
      <c r="D9" s="348"/>
      <c r="E9" s="348"/>
      <c r="F9" s="348"/>
      <c r="G9" s="348"/>
      <c r="H9" s="348"/>
      <c r="I9" s="348"/>
      <c r="J9" s="348"/>
    </row>
    <row r="11" spans="1:23">
      <c r="B11" s="449" t="s">
        <v>335</v>
      </c>
      <c r="G11" s="356" t="s">
        <v>336</v>
      </c>
      <c r="H11" s="356"/>
      <c r="I11" s="356"/>
    </row>
    <row r="12" spans="1:23" ht="15.75" thickBot="1">
      <c r="B12" s="452" t="s">
        <v>337</v>
      </c>
      <c r="C12" s="450" t="s">
        <v>338</v>
      </c>
      <c r="G12" s="348" t="s">
        <v>85</v>
      </c>
      <c r="I12" s="348" t="s">
        <v>121</v>
      </c>
      <c r="K12" s="450" t="s">
        <v>327</v>
      </c>
      <c r="L12" s="348"/>
    </row>
    <row r="13" spans="1:23">
      <c r="B13" s="453" t="s">
        <v>210</v>
      </c>
      <c r="C13" s="454" t="s">
        <v>340</v>
      </c>
      <c r="D13" s="361"/>
      <c r="E13" s="678" t="s">
        <v>9</v>
      </c>
      <c r="F13" s="361"/>
      <c r="G13" s="356" t="s">
        <v>372</v>
      </c>
      <c r="I13" s="356" t="s">
        <v>373</v>
      </c>
      <c r="K13" s="689" t="s">
        <v>114</v>
      </c>
      <c r="L13" s="352"/>
      <c r="N13" s="471" t="s">
        <v>328</v>
      </c>
      <c r="O13" s="437"/>
      <c r="P13" s="438"/>
      <c r="Q13" s="406"/>
      <c r="R13" s="437" t="s">
        <v>329</v>
      </c>
      <c r="S13" s="438"/>
    </row>
    <row r="14" spans="1:23">
      <c r="G14" s="454"/>
      <c r="H14" s="361"/>
      <c r="I14" s="454"/>
      <c r="N14" s="408" t="s">
        <v>208</v>
      </c>
      <c r="O14" s="372"/>
      <c r="P14" s="409"/>
      <c r="Q14" s="372"/>
      <c r="R14" s="372"/>
      <c r="S14" s="409"/>
    </row>
    <row r="15" spans="1:23">
      <c r="B15" s="364">
        <v>1000</v>
      </c>
      <c r="C15" s="343">
        <v>300</v>
      </c>
      <c r="E15" s="364">
        <f>ROUND((B$15*C15),0)</f>
        <v>300000</v>
      </c>
      <c r="F15" s="364"/>
      <c r="G15" s="463">
        <f>ROUND($E15*$P$18*O$18/100+$E15*$P$19*O$19/100+$B$15*O$17+IF($B$15&lt;3001,$B$15*P$15+O$15,$B$15*P$16+O$16),2)+$R$24</f>
        <v>25063.3</v>
      </c>
      <c r="H15" s="463"/>
      <c r="I15" s="463">
        <f ca="1">ROUND($E15*$S$18*R$18/100+$E15*$S$19*R$19/100+$B$15*R$17+IF($B$15&lt;3001,$B$15*S$15+R$15,$B$15*S$16+R$16),2)+$R$25</f>
        <v>25846.3</v>
      </c>
      <c r="K15" s="367">
        <f ca="1">(I15-G15)/G15</f>
        <v>3.1240898046147155E-2</v>
      </c>
      <c r="L15" s="367"/>
      <c r="N15" s="408" t="s">
        <v>374</v>
      </c>
      <c r="O15" s="414">
        <f>'Exhibit No.__(RMM-3)'!D934</f>
        <v>1344</v>
      </c>
      <c r="P15" s="360">
        <f>'Exhibit No.__(RMM-3)'!D937</f>
        <v>0.61</v>
      </c>
      <c r="Q15" s="415"/>
      <c r="R15" s="414">
        <f>'Exhibit No.__(RMM-3)'!J934</f>
        <v>1344</v>
      </c>
      <c r="S15" s="360">
        <f>'Exhibit No.__(RMM-3)'!J937</f>
        <v>0.61</v>
      </c>
      <c r="W15" s="502" t="s">
        <v>13</v>
      </c>
    </row>
    <row r="16" spans="1:23">
      <c r="C16" s="343">
        <v>500</v>
      </c>
      <c r="E16" s="364">
        <f>ROUND((B$15*C16),0)</f>
        <v>500000</v>
      </c>
      <c r="F16" s="364"/>
      <c r="G16" s="463">
        <f t="shared" ref="G16:G17" si="0">ROUND($E16*$P$18*O$18/100+$E16*$P$19*O$19/100+$B$15*O$17+IF($B$15&lt;3001,$B$15*P$15+O$15,$B$15*P$16+O$16),2)+$R$24</f>
        <v>34431.160000000003</v>
      </c>
      <c r="H16" s="463"/>
      <c r="I16" s="463">
        <f ca="1">ROUND($E16*$S$18*R$18/100+$E16*$S$19*R$19/100+$B$15*R$17+IF($B$15&lt;3001,$B$15*S$15+R$15,$B$15*S$16+R$16),2)+$R$25</f>
        <v>35736.160000000003</v>
      </c>
      <c r="K16" s="367">
        <f ca="1">(I16-G16)/G16</f>
        <v>3.7901714609673329E-2</v>
      </c>
      <c r="L16" s="367"/>
      <c r="N16" s="408" t="s">
        <v>375</v>
      </c>
      <c r="O16" s="414">
        <f>'Exhibit No.__(RMM-3)'!D935</f>
        <v>1618</v>
      </c>
      <c r="P16" s="360">
        <f>'Exhibit No.__(RMM-3)'!D938</f>
        <v>0.5</v>
      </c>
      <c r="Q16" s="415"/>
      <c r="R16" s="414">
        <f>'Exhibit No.__(RMM-3)'!J935</f>
        <v>1618</v>
      </c>
      <c r="S16" s="360">
        <f>'Exhibit No.__(RMM-3)'!J938</f>
        <v>0.5</v>
      </c>
    </row>
    <row r="17" spans="2:24">
      <c r="C17" s="343">
        <v>700</v>
      </c>
      <c r="E17" s="364">
        <f>ROUND((B$15*C17),0)</f>
        <v>700000</v>
      </c>
      <c r="F17" s="364"/>
      <c r="G17" s="463">
        <f t="shared" si="0"/>
        <v>43799.03</v>
      </c>
      <c r="H17" s="463"/>
      <c r="I17" s="463">
        <f ca="1">ROUND($E17*$S$18*R$18/100+$E17*$S$19*R$19/100+$B$15*R$17+IF($B$15&lt;3001,$B$15*S$15+R$15,$B$15*S$16+R$16),2)+$R$25</f>
        <v>45626.03</v>
      </c>
      <c r="K17" s="367">
        <f ca="1">(I17-G17)/G17</f>
        <v>4.1713252553766601E-2</v>
      </c>
      <c r="L17" s="367"/>
      <c r="N17" s="408" t="s">
        <v>210</v>
      </c>
      <c r="O17" s="414">
        <f>'Exhibit No.__(RMM-3)'!D939</f>
        <v>8.8000000000000007</v>
      </c>
      <c r="P17" s="420"/>
      <c r="Q17" s="415"/>
      <c r="R17" s="414">
        <f>'Exhibit No.__(RMM-3)'!J939</f>
        <v>8.8000000000000007</v>
      </c>
      <c r="S17" s="420"/>
      <c r="U17" s="535">
        <f>(R17-O17)/O17</f>
        <v>0</v>
      </c>
      <c r="W17" s="343">
        <v>9.08</v>
      </c>
      <c r="X17" s="501" t="s">
        <v>532</v>
      </c>
    </row>
    <row r="18" spans="2:24">
      <c r="G18" s="463"/>
      <c r="H18" s="463"/>
      <c r="I18" s="463"/>
      <c r="K18" s="367"/>
      <c r="L18" s="367"/>
      <c r="N18" s="721" t="s">
        <v>531</v>
      </c>
      <c r="O18" s="423">
        <f>('Exhibit No.__(RMM-3)'!D942)+R20+R27</f>
        <v>5.2430000000000003</v>
      </c>
      <c r="P18" s="681">
        <v>0.40078497262736629</v>
      </c>
      <c r="Q18" s="415" t="s">
        <v>531</v>
      </c>
      <c r="R18" s="423">
        <f ca="1">('Exhibit No.__(RMM-3)'!J942)+R21+R28+R30</f>
        <v>5.5040000000000004</v>
      </c>
      <c r="S18" s="681">
        <v>0.40078497262736629</v>
      </c>
      <c r="U18" s="535">
        <f>(('Exhibit No.__(RMM-3)'!G882+R20)-O18)/O18</f>
        <v>-0.96128170894526033</v>
      </c>
      <c r="W18" s="423" t="s">
        <v>13</v>
      </c>
      <c r="X18" s="669" t="s">
        <v>13</v>
      </c>
    </row>
    <row r="19" spans="2:24" ht="15.75" thickBot="1">
      <c r="B19" s="364">
        <v>2000</v>
      </c>
      <c r="C19" s="343">
        <v>300</v>
      </c>
      <c r="E19" s="364">
        <f>ROUND((B$19*C19),0)</f>
        <v>600000</v>
      </c>
      <c r="F19" s="364"/>
      <c r="G19" s="463">
        <f>ROUND($E19*$P$18*O$18/100+$E19*$P$19*O$19/100+$B$19*O$17+IF($B$19&lt;3001,$B$19*P$15+O$15,$B$19*P$16+O$16),2)+$R$24</f>
        <v>48525.09</v>
      </c>
      <c r="H19" s="463"/>
      <c r="I19" s="463">
        <f ca="1">ROUND($E19*$S$18*R$18/100+$E19*$S$19*R$19/100+$B$19*R$17+IF($B$19&lt;3001,$B$19*S$15+R$15,$B$19*S$16+R$16),2)+$R$25</f>
        <v>50091.09</v>
      </c>
      <c r="K19" s="367">
        <f ca="1">(I19-G19)/G19</f>
        <v>3.2271964874253711E-2</v>
      </c>
      <c r="L19" s="367"/>
      <c r="N19" s="680" t="s">
        <v>529</v>
      </c>
      <c r="O19" s="722">
        <f>('Exhibit No.__(RMM-3)'!D943)+R20+R27</f>
        <v>4.3100000000000005</v>
      </c>
      <c r="P19" s="682">
        <f>1-P18</f>
        <v>0.59921502737263377</v>
      </c>
      <c r="Q19" s="680" t="s">
        <v>529</v>
      </c>
      <c r="R19" s="722">
        <f ca="1">('Exhibit No.__(RMM-3)'!J943)+R21+R28+R30</f>
        <v>4.5709999999999997</v>
      </c>
      <c r="S19" s="682">
        <f>1-S18</f>
        <v>0.59921502737263377</v>
      </c>
      <c r="X19" s="669" t="s">
        <v>13</v>
      </c>
    </row>
    <row r="20" spans="2:24">
      <c r="C20" s="343">
        <v>500</v>
      </c>
      <c r="E20" s="364">
        <f>ROUND((B$19*C20),0)</f>
        <v>1000000</v>
      </c>
      <c r="F20" s="364"/>
      <c r="G20" s="463">
        <f>ROUND($E20*$P$18*O$18/100+$E20*$P$19*O$19/100+$B$19*O$17+IF($B$19&lt;3001,$B$19*P$15+O$15,$B$19*P$16+O$16),2)+$R$24</f>
        <v>67260.820000000007</v>
      </c>
      <c r="H20" s="463"/>
      <c r="I20" s="463">
        <f ca="1">ROUND($E20*$S$18*R$18/100+$E20*$S$19*R$19/100+$B$19*R$17+IF($B$19&lt;3001,$B$19*S$15+R$15,$B$19*S$16+R$16),2)+$R$25</f>
        <v>69870.820000000007</v>
      </c>
      <c r="K20" s="367">
        <f ca="1">(I20-G20)/G20</f>
        <v>3.8804165634614619E-2</v>
      </c>
      <c r="L20" s="367"/>
      <c r="P20" s="370" t="s">
        <v>88</v>
      </c>
      <c r="Q20" s="370"/>
      <c r="R20" s="371">
        <v>0.20300000000000001</v>
      </c>
      <c r="U20" s="423" t="s">
        <v>13</v>
      </c>
    </row>
    <row r="21" spans="2:24">
      <c r="C21" s="343">
        <v>700</v>
      </c>
      <c r="E21" s="364">
        <f>ROUND((B$19*C21),0)</f>
        <v>1400000</v>
      </c>
      <c r="F21" s="364"/>
      <c r="G21" s="463">
        <f>ROUND($E21*$P$18*O$18/100+$E21*$P$19*O$19/100+$B$19*O$17+IF($B$19&lt;3001,$B$19*P$15+O$15,$B$19*P$16+O$16),2)+$R$24</f>
        <v>85996.55</v>
      </c>
      <c r="H21" s="463"/>
      <c r="I21" s="463">
        <f ca="1">ROUND($E21*$S$18*R$18/100+$E21*$S$19*R$19/100+$B$19*R$17+IF($B$19&lt;3001,$B$19*S$15+R$15,$B$19*S$16+R$16),2)+$R$25</f>
        <v>89650.55</v>
      </c>
      <c r="K21" s="367">
        <f ca="1">(I21-G21)/G21</f>
        <v>4.2490076636795313E-2</v>
      </c>
      <c r="L21" s="367"/>
      <c r="P21" s="370"/>
      <c r="Q21" s="370"/>
      <c r="R21" s="371">
        <v>0.20300000000000001</v>
      </c>
    </row>
    <row r="22" spans="2:24">
      <c r="G22" s="463"/>
      <c r="H22" s="463"/>
      <c r="I22" s="463"/>
      <c r="K22" s="367"/>
      <c r="L22" s="367"/>
      <c r="P22" s="370"/>
      <c r="Q22" s="370"/>
      <c r="R22" s="374"/>
    </row>
    <row r="23" spans="2:24">
      <c r="B23" s="364">
        <v>4000</v>
      </c>
      <c r="C23" s="343">
        <v>300</v>
      </c>
      <c r="E23" s="364">
        <f>ROUND((B$23*C23),0)</f>
        <v>1200000</v>
      </c>
      <c r="F23" s="364"/>
      <c r="G23" s="463">
        <f>ROUND($E23*$P$18*O$18/100+$E23*$P$19*O$19/100+$B$23*O$17+IF($B$23&lt;3001,$B$23*P$15+O$15,$B$23*P$16+O$16),2)+$R$24</f>
        <v>95282.69</v>
      </c>
      <c r="H23" s="463"/>
      <c r="I23" s="463">
        <f ca="1">ROUND($E23*$S$18*R$18/100+$E23*$S$19*R$19/100+$B$23*R$17+IF($B$23&lt;3001,$B$23*S$15+R$15,$B$23*S$16+R$16),2)+$R$25</f>
        <v>98414.69</v>
      </c>
      <c r="K23" s="367">
        <f ca="1">(I23-G23)/G23</f>
        <v>3.2870608501922013E-2</v>
      </c>
      <c r="L23" s="367"/>
      <c r="P23" s="343" t="s">
        <v>13</v>
      </c>
      <c r="Q23" s="343" t="s">
        <v>13</v>
      </c>
      <c r="R23" s="343" t="s">
        <v>13</v>
      </c>
      <c r="U23" s="501" t="s">
        <v>13</v>
      </c>
    </row>
    <row r="24" spans="2:24">
      <c r="C24" s="343">
        <v>500</v>
      </c>
      <c r="E24" s="364">
        <f>ROUND((B$23*C24),0)</f>
        <v>2000000</v>
      </c>
      <c r="F24" s="364"/>
      <c r="G24" s="463">
        <f>ROUND($E24*$P$18*O$18/100+$E24*$P$19*O$19/100+$B$23*O$17+IF($B$23&lt;3001,$B$23*P$15+O$15,$B$23*P$16+O$16),2)+$R$24</f>
        <v>132754.15</v>
      </c>
      <c r="H24" s="463"/>
      <c r="I24" s="463">
        <f ca="1">ROUND($E24*$S$18*R$18/100+$E24*$S$19*R$19/100+$B$23*R$17+IF($B$23&lt;3001,$B$23*S$15+R$15,$B$23*S$16+R$16),2)+$R$25</f>
        <v>137974.15</v>
      </c>
      <c r="K24" s="367">
        <f ca="1">(I24-G24)/G24</f>
        <v>3.9320804660343954E-2</v>
      </c>
      <c r="L24" s="367"/>
      <c r="P24" s="343" t="s">
        <v>420</v>
      </c>
      <c r="R24" s="416">
        <v>257.5</v>
      </c>
      <c r="S24" s="343" t="s">
        <v>13</v>
      </c>
    </row>
    <row r="25" spans="2:24">
      <c r="C25" s="343">
        <v>700</v>
      </c>
      <c r="E25" s="364">
        <f>ROUND((B$23*C25),0)</f>
        <v>2800000</v>
      </c>
      <c r="F25" s="364"/>
      <c r="G25" s="463">
        <f>ROUND($E25*$P$18*O$18/100+$E25*$P$19*O$19/100+$B$23*O$17+IF($B$23&lt;3001,$B$23*P$15+O$15,$B$23*P$16+O$16),2)+$R$24</f>
        <v>170225.61</v>
      </c>
      <c r="H25" s="463"/>
      <c r="I25" s="463">
        <f ca="1">ROUND($E25*$S$18*R$18/100+$E25*$S$19*R$19/100+$B$23*R$17+IF($B$23&lt;3001,$B$23*S$15+R$15,$B$23*S$16+R$16),2)+$R$25</f>
        <v>177533.61</v>
      </c>
      <c r="K25" s="367">
        <f ca="1">(I25-G25)/G25</f>
        <v>4.2931260460749708E-2</v>
      </c>
      <c r="L25" s="367"/>
      <c r="P25" s="343" t="s">
        <v>419</v>
      </c>
      <c r="R25" s="416">
        <f>R24</f>
        <v>257.5</v>
      </c>
    </row>
    <row r="26" spans="2:24">
      <c r="G26" s="463"/>
      <c r="H26" s="463"/>
      <c r="I26" s="463"/>
      <c r="K26" s="367"/>
      <c r="L26" s="367"/>
      <c r="X26" s="501" t="s">
        <v>13</v>
      </c>
    </row>
    <row r="27" spans="2:24">
      <c r="B27" s="364">
        <v>6000</v>
      </c>
      <c r="C27" s="343">
        <v>300</v>
      </c>
      <c r="E27" s="364">
        <f>ROUND((B$27*C27),0)</f>
        <v>1800000</v>
      </c>
      <c r="F27" s="364"/>
      <c r="G27" s="463">
        <f>ROUND($E27*$P$18*O$18/100+$E27*$P$19*O$19/100+$B$27*O$17+IF($B$27&lt;3001,$B$27*P$15+O$15,$B$27*P$16+O$16),2)+$R$24</f>
        <v>141986.28</v>
      </c>
      <c r="H27" s="463"/>
      <c r="I27" s="463">
        <f ca="1">ROUND($E27*$S$18*R$18/100+$E27*$S$19*R$19/100+$B$27*R$17+IF($B$27&lt;3001,$B$27*S$15+R$15,$B$27*S$16+R$16),2)+$R$25</f>
        <v>146684.28</v>
      </c>
      <c r="K27" s="367">
        <f ca="1">(I27-G27)/G27</f>
        <v>3.3087703966890321E-2</v>
      </c>
      <c r="L27" s="367"/>
      <c r="P27" s="501" t="s">
        <v>533</v>
      </c>
      <c r="R27" s="427">
        <v>-0.20799999999999999</v>
      </c>
    </row>
    <row r="28" spans="2:24">
      <c r="C28" s="343">
        <v>500</v>
      </c>
      <c r="E28" s="364">
        <f>ROUND((B$27*C28),0)</f>
        <v>3000000</v>
      </c>
      <c r="F28" s="364"/>
      <c r="G28" s="463">
        <f>ROUND($E28*$P$18*O$18/100+$E28*$P$19*O$19/100+$B$27*O$17+IF($B$27&lt;3001,$B$27*P$15+O$15,$B$27*P$16+O$16),2)+$R$24</f>
        <v>198193.47</v>
      </c>
      <c r="H28" s="463"/>
      <c r="I28" s="463">
        <f ca="1">ROUND($E28*$S$18*R$18/100+$E28*$S$19*R$19/100+$B$27*R$17+IF($B$27&lt;3001,$B$27*S$15+R$15,$B$27*S$16+R$16),2)+$R$25</f>
        <v>206023.47</v>
      </c>
      <c r="K28" s="367">
        <f ca="1">(I28-G28)/G28</f>
        <v>3.9506851562768439E-2</v>
      </c>
      <c r="L28" s="367"/>
      <c r="P28" s="501" t="s">
        <v>533</v>
      </c>
      <c r="R28" s="427">
        <v>-0.20799999999999999</v>
      </c>
      <c r="W28" s="501" t="s">
        <v>13</v>
      </c>
    </row>
    <row r="29" spans="2:24">
      <c r="C29" s="343">
        <v>700</v>
      </c>
      <c r="E29" s="364">
        <f>ROUND((B$27*C29),0)</f>
        <v>4200000</v>
      </c>
      <c r="F29" s="364"/>
      <c r="G29" s="463">
        <f>ROUND($E29*$P$18*O$18/100+$E29*$P$19*O$19/100+$B$27*O$17+IF($B$27&lt;3001,$B$27*P$15+O$15,$B$27*P$16+O$16),2)+$R$24</f>
        <v>254400.66</v>
      </c>
      <c r="H29" s="463"/>
      <c r="I29" s="463">
        <f ca="1">ROUND($E29*$S$18*R$18/100+$E29*$S$19*R$19/100+$B$27*R$17+IF($B$27&lt;3001,$B$27*S$15+R$15,$B$27*S$16+R$16),2)+$R$25</f>
        <v>265362.65999999997</v>
      </c>
      <c r="K29" s="367">
        <f ca="1">(I29-G29)/G29</f>
        <v>4.308951085268399E-2</v>
      </c>
      <c r="L29" s="367"/>
      <c r="P29" s="501"/>
      <c r="R29" s="690"/>
    </row>
    <row r="30" spans="2:24"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P30" s="501" t="s">
        <v>1472</v>
      </c>
      <c r="R30" s="343">
        <f ca="1">'Exhibit No.__(RMM-2)pg1'!S27</f>
        <v>-4.8000000000000001E-2</v>
      </c>
    </row>
    <row r="32" spans="2:24">
      <c r="N32" s="619" t="s">
        <v>492</v>
      </c>
      <c r="O32" s="469">
        <f ca="1">'Exhibit No.__(RMM-2)pg2'!X29</f>
        <v>3.5200888903957887E-2</v>
      </c>
    </row>
    <row r="33" spans="2:17">
      <c r="B33" s="343" t="s">
        <v>333</v>
      </c>
      <c r="N33" s="501" t="s">
        <v>13</v>
      </c>
    </row>
    <row r="34" spans="2:17">
      <c r="B34" s="431" t="s">
        <v>1474</v>
      </c>
    </row>
    <row r="35" spans="2:17">
      <c r="B35" s="379"/>
    </row>
    <row r="36" spans="2:17">
      <c r="B36" s="379"/>
    </row>
    <row r="37" spans="2:17">
      <c r="B37" s="379"/>
    </row>
    <row r="38" spans="2:17">
      <c r="B38" s="379"/>
    </row>
    <row r="39" spans="2:17">
      <c r="B39" s="379"/>
    </row>
    <row r="40" spans="2:17">
      <c r="B40" s="379"/>
    </row>
    <row r="41" spans="2:17">
      <c r="B41" s="379"/>
    </row>
    <row r="42" spans="2:17">
      <c r="B42" s="379"/>
    </row>
    <row r="43" spans="2:17">
      <c r="B43" s="379"/>
    </row>
    <row r="44" spans="2:17">
      <c r="B44" s="379"/>
    </row>
    <row r="45" spans="2:17">
      <c r="B45" s="379"/>
    </row>
    <row r="46" spans="2:17">
      <c r="B46" s="379"/>
    </row>
    <row r="48" spans="2:17">
      <c r="Q48" s="381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FDB890DE267284EA2E995D4D4EF8915" ma:contentTypeVersion="36" ma:contentTypeDescription="" ma:contentTypeScope="" ma:versionID="5e1d769c2f6f52aae18cfe6d739633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2021-07-01T07:00:00+00:00</OpenedDate>
    <SignificantOrder xmlns="dc463f71-b30c-4ab2-9473-d307f9d35888">false</SignificantOrder>
    <Date1 xmlns="dc463f71-b30c-4ab2-9473-d307f9d35888">2021-07-01T07:00:00+00:00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210532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330CA06-58B9-41B8-845D-1AD59E04E421}"/>
</file>

<file path=customXml/itemProps2.xml><?xml version="1.0" encoding="utf-8"?>
<ds:datastoreItem xmlns:ds="http://schemas.openxmlformats.org/officeDocument/2006/customXml" ds:itemID="{557781B4-82CA-480B-8114-A3512F067BA1}"/>
</file>

<file path=customXml/itemProps3.xml><?xml version="1.0" encoding="utf-8"?>
<ds:datastoreItem xmlns:ds="http://schemas.openxmlformats.org/officeDocument/2006/customXml" ds:itemID="{E01D860B-538B-4734-8D44-0533D7EE0EEF}"/>
</file>

<file path=customXml/itemProps4.xml><?xml version="1.0" encoding="utf-8"?>
<ds:datastoreItem xmlns:ds="http://schemas.openxmlformats.org/officeDocument/2006/customXml" ds:itemID="{D2B0ECBD-F0A1-47A7-B650-6D5A746CC4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Exhibit No.__(RMM-2)pg1</vt:lpstr>
      <vt:lpstr>Exhibit No.__(RMM-2)pg2</vt:lpstr>
      <vt:lpstr>Exhibit No.__(RMM-3)</vt:lpstr>
      <vt:lpstr>Exhibit No.__(RMM-4) p1</vt:lpstr>
      <vt:lpstr>Exhibit No.__(RMM-4) p2</vt:lpstr>
      <vt:lpstr>Exhibit No.__(RMM-4) p3</vt:lpstr>
      <vt:lpstr>Exhibit No.__(RMM-4) p4</vt:lpstr>
      <vt:lpstr>Exhibit No.__(RMM-4) p5</vt:lpstr>
      <vt:lpstr>Exhibit No.__(RMM-4) p6</vt:lpstr>
      <vt:lpstr>Exhibit No.__(RMM-4) p7</vt:lpstr>
      <vt:lpstr>Not Exhibit &gt;&gt;&gt;&gt;</vt:lpstr>
      <vt:lpstr>G+T+D+C+CO (GRC Settlement)</vt:lpstr>
      <vt:lpstr>Rate Design Work-Res NM</vt:lpstr>
      <vt:lpstr>Table A by class</vt:lpstr>
      <vt:lpstr>SBC (Old)</vt:lpstr>
      <vt:lpstr>Billing Determinants (2)</vt:lpstr>
      <vt:lpstr>Blocking - detail</vt:lpstr>
      <vt:lpstr>'Billing Determinants (2)'!Print_Area</vt:lpstr>
      <vt:lpstr>'Blocking - detail'!Print_Area</vt:lpstr>
      <vt:lpstr>'Exhibit No.__(RMM-3)'!Print_Area</vt:lpstr>
      <vt:lpstr>'Exhibit No.__(RMM-4) p1'!Print_Area</vt:lpstr>
      <vt:lpstr>'Exhibit No.__(RMM-4) p2'!Print_Area</vt:lpstr>
      <vt:lpstr>'Exhibit No.__(RMM-4) p3'!Print_Area</vt:lpstr>
      <vt:lpstr>'Exhibit No.__(RMM-4) p4'!Print_Area</vt:lpstr>
      <vt:lpstr>'Exhibit No.__(RMM-4) p5'!Print_Area</vt:lpstr>
      <vt:lpstr>'Exhibit No.__(RMM-4) p6'!Print_Area</vt:lpstr>
      <vt:lpstr>'Exhibit No.__(RMM-4) p7'!Print_Area</vt:lpstr>
      <vt:lpstr>'G+T+D+C+CO (GRC Settlement)'!Print_Area</vt:lpstr>
      <vt:lpstr>'Rate Design Work-Res NM'!Print_Area</vt:lpstr>
      <vt:lpstr>'Table A by class'!Print_Area</vt:lpstr>
      <vt:lpstr>'Billing Determinants (2)'!Print_Titles</vt:lpstr>
      <vt:lpstr>'Blocking - detail'!Print_Titles</vt:lpstr>
      <vt:lpstr>'Rate Design Work-Res NM'!Print_Titles</vt:lpstr>
      <vt:lpstr>'Table A by class'!Print_Titles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Zimmerman, Michael</dc:creator>
  <cp:lastModifiedBy>McNay, Kaley</cp:lastModifiedBy>
  <cp:lastPrinted>2021-07-01T15:28:42Z</cp:lastPrinted>
  <dcterms:created xsi:type="dcterms:W3CDTF">1997-08-20T18:29:19Z</dcterms:created>
  <dcterms:modified xsi:type="dcterms:W3CDTF">2021-07-01T15:29:07Z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0x0101006E56B4D1795A2E4DB2F0B01679ED314A002FDB890DE267284EA2E995D4D4EF8915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